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1.xml" ContentType="application/vnd.ms-office.chartcolorstyle+xml"/>
  <Override PartName="/xl/charts/style1.xml" ContentType="application/vnd.ms-office.chartstyle+xml"/>
  <Override PartName="/xl/worksheets/sheet1.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defaultThemeVersion="124226"/>
  <mc:AlternateContent xmlns:mc="http://schemas.openxmlformats.org/markup-compatibility/2006">
    <mc:Choice Requires="x15">
      <x15ac:absPath xmlns:x15ac="http://schemas.microsoft.com/office/spreadsheetml/2010/11/ac" url="I:\NYT\Jakoavain\"/>
    </mc:Choice>
  </mc:AlternateContent>
  <bookViews>
    <workbookView xWindow="-180" yWindow="1665" windowWidth="11880" windowHeight="6030" tabRatio="757"/>
  </bookViews>
  <sheets>
    <sheet name="Resultaträkning" sheetId="3" r:id="rId1"/>
    <sheet name="Finansieringsanalys" sheetId="6" r:id="rId2"/>
    <sheet name="Balansräkning" sheetId="5" r:id="rId3"/>
    <sheet name="Inkomststruktur" sheetId="11" r:id="rId4"/>
    <sheet name="FMs uppgifter (februari 2017)" sheetId="10" r:id="rId5"/>
    <sheet name="FMs uppgifter (december 2016)" sheetId="8" r:id="rId6"/>
    <sheet name="Kommunvisa uppgifter (BS 2015)" sheetId="7" r:id="rId7"/>
  </sheets>
  <definedNames>
    <definedName name="Kunnat">'Kommunvisa uppgifter (BS 2015)'!$B$11:$B$307</definedName>
    <definedName name="Kunnat2">'Kommunvisa uppgifter (BS 2015)'!$B$10:$B$307</definedName>
    <definedName name="Lähtötaso">'Kommunvisa uppgifter (BS 2015)'!$B$364:$B$365</definedName>
    <definedName name="_xlnm.Print_Area" localSheetId="0">Resultaträkning!$A$1:$B$64</definedName>
  </definedNames>
  <calcPr calcId="162913"/>
</workbook>
</file>

<file path=xl/calcChain.xml><?xml version="1.0" encoding="utf-8"?>
<calcChain xmlns="http://schemas.openxmlformats.org/spreadsheetml/2006/main">
  <c r="BS22" i="10" l="1"/>
  <c r="BT22" i="10" l="1"/>
  <c r="F26" i="11" l="1"/>
  <c r="E26" i="11"/>
  <c r="D26" i="11"/>
  <c r="C26" i="11"/>
  <c r="B26" i="11"/>
  <c r="A26" i="11"/>
  <c r="BN23" i="10"/>
  <c r="BO23" i="10"/>
  <c r="BP23" i="10"/>
  <c r="BQ23" i="10"/>
  <c r="BR23" i="10"/>
  <c r="BN24" i="10"/>
  <c r="BO24" i="10"/>
  <c r="BP24" i="10"/>
  <c r="BQ24" i="10"/>
  <c r="BR24" i="10"/>
  <c r="BN25" i="10"/>
  <c r="BO25" i="10"/>
  <c r="BP25" i="10"/>
  <c r="BQ25" i="10"/>
  <c r="BR25" i="10"/>
  <c r="BN26" i="10"/>
  <c r="BO26" i="10"/>
  <c r="BP26" i="10"/>
  <c r="BQ26" i="10"/>
  <c r="BR26" i="10"/>
  <c r="BN27" i="10"/>
  <c r="BO27" i="10"/>
  <c r="BP27" i="10"/>
  <c r="BQ27" i="10"/>
  <c r="BR27" i="10"/>
  <c r="BN28" i="10"/>
  <c r="BO28" i="10"/>
  <c r="BP28" i="10"/>
  <c r="BQ28" i="10"/>
  <c r="BR28" i="10"/>
  <c r="BN29" i="10"/>
  <c r="BO29" i="10"/>
  <c r="BP29" i="10"/>
  <c r="BQ29" i="10"/>
  <c r="BR29" i="10"/>
  <c r="BN30" i="10"/>
  <c r="BO30" i="10"/>
  <c r="BP30" i="10"/>
  <c r="BQ30" i="10"/>
  <c r="BR30" i="10"/>
  <c r="BN31" i="10"/>
  <c r="BO31" i="10"/>
  <c r="BP31" i="10"/>
  <c r="BQ31" i="10"/>
  <c r="BR31" i="10"/>
  <c r="BN32" i="10"/>
  <c r="BO32" i="10"/>
  <c r="BP32" i="10"/>
  <c r="BQ32" i="10"/>
  <c r="BR32" i="10"/>
  <c r="BN33" i="10"/>
  <c r="BO33" i="10"/>
  <c r="BP33" i="10"/>
  <c r="BQ33" i="10"/>
  <c r="BR33" i="10"/>
  <c r="BN34" i="10"/>
  <c r="BO34" i="10"/>
  <c r="BP34" i="10"/>
  <c r="BQ34" i="10"/>
  <c r="BR34" i="10"/>
  <c r="BN35" i="10"/>
  <c r="BO35" i="10"/>
  <c r="BP35" i="10"/>
  <c r="BQ35" i="10"/>
  <c r="BR35" i="10"/>
  <c r="BN36" i="10"/>
  <c r="BO36" i="10"/>
  <c r="BP36" i="10"/>
  <c r="BQ36" i="10"/>
  <c r="BR36" i="10"/>
  <c r="BN37" i="10"/>
  <c r="BO37" i="10"/>
  <c r="BP37" i="10"/>
  <c r="BQ37" i="10"/>
  <c r="BR37" i="10"/>
  <c r="BN38" i="10"/>
  <c r="BO38" i="10"/>
  <c r="BP38" i="10"/>
  <c r="BQ38" i="10"/>
  <c r="BR38" i="10"/>
  <c r="BN39" i="10"/>
  <c r="BO39" i="10"/>
  <c r="BP39" i="10"/>
  <c r="BQ39" i="10"/>
  <c r="BR39" i="10"/>
  <c r="BN40" i="10"/>
  <c r="BO40" i="10"/>
  <c r="BP40" i="10"/>
  <c r="BQ40" i="10"/>
  <c r="BR40" i="10"/>
  <c r="BN41" i="10"/>
  <c r="BO41" i="10"/>
  <c r="BP41" i="10"/>
  <c r="BQ41" i="10"/>
  <c r="BR41" i="10"/>
  <c r="BN42" i="10"/>
  <c r="BO42" i="10"/>
  <c r="BP42" i="10"/>
  <c r="BQ42" i="10"/>
  <c r="BR42" i="10"/>
  <c r="BN43" i="10"/>
  <c r="BO43" i="10"/>
  <c r="BP43" i="10"/>
  <c r="BQ43" i="10"/>
  <c r="BR43" i="10"/>
  <c r="BN44" i="10"/>
  <c r="BO44" i="10"/>
  <c r="BP44" i="10"/>
  <c r="BQ44" i="10"/>
  <c r="BR44" i="10"/>
  <c r="BN45" i="10"/>
  <c r="BO45" i="10"/>
  <c r="BP45" i="10"/>
  <c r="BQ45" i="10"/>
  <c r="BR45" i="10"/>
  <c r="BN46" i="10"/>
  <c r="BO46" i="10"/>
  <c r="BP46" i="10"/>
  <c r="BQ46" i="10"/>
  <c r="BR46" i="10"/>
  <c r="BN47" i="10"/>
  <c r="BO47" i="10"/>
  <c r="BP47" i="10"/>
  <c r="BQ47" i="10"/>
  <c r="BR47" i="10"/>
  <c r="BN48" i="10"/>
  <c r="BO48" i="10"/>
  <c r="BP48" i="10"/>
  <c r="BQ48" i="10"/>
  <c r="BR48" i="10"/>
  <c r="BN49" i="10"/>
  <c r="BO49" i="10"/>
  <c r="BP49" i="10"/>
  <c r="BQ49" i="10"/>
  <c r="BR49" i="10"/>
  <c r="BN50" i="10"/>
  <c r="BO50" i="10"/>
  <c r="BP50" i="10"/>
  <c r="BQ50" i="10"/>
  <c r="BR50" i="10"/>
  <c r="BN51" i="10"/>
  <c r="BO51" i="10"/>
  <c r="BP51" i="10"/>
  <c r="BQ51" i="10"/>
  <c r="BR51" i="10"/>
  <c r="BN52" i="10"/>
  <c r="BO52" i="10"/>
  <c r="BP52" i="10"/>
  <c r="BQ52" i="10"/>
  <c r="BR52" i="10"/>
  <c r="BN53" i="10"/>
  <c r="BO53" i="10"/>
  <c r="BP53" i="10"/>
  <c r="BQ53" i="10"/>
  <c r="BR53" i="10"/>
  <c r="BN54" i="10"/>
  <c r="BO54" i="10"/>
  <c r="BP54" i="10"/>
  <c r="BQ54" i="10"/>
  <c r="BR54" i="10"/>
  <c r="BN55" i="10"/>
  <c r="BO55" i="10"/>
  <c r="BP55" i="10"/>
  <c r="BQ55" i="10"/>
  <c r="BR55" i="10"/>
  <c r="BN56" i="10"/>
  <c r="BO56" i="10"/>
  <c r="BP56" i="10"/>
  <c r="BQ56" i="10"/>
  <c r="BR56" i="10"/>
  <c r="BN57" i="10"/>
  <c r="BO57" i="10"/>
  <c r="BP57" i="10"/>
  <c r="BQ57" i="10"/>
  <c r="BR57" i="10"/>
  <c r="BN58" i="10"/>
  <c r="BO58" i="10"/>
  <c r="BP58" i="10"/>
  <c r="BQ58" i="10"/>
  <c r="BR58" i="10"/>
  <c r="BN59" i="10"/>
  <c r="BO59" i="10"/>
  <c r="BP59" i="10"/>
  <c r="BQ59" i="10"/>
  <c r="BR59" i="10"/>
  <c r="BN60" i="10"/>
  <c r="BO60" i="10"/>
  <c r="BP60" i="10"/>
  <c r="BQ60" i="10"/>
  <c r="BR60" i="10"/>
  <c r="BN61" i="10"/>
  <c r="BO61" i="10"/>
  <c r="BP61" i="10"/>
  <c r="BQ61" i="10"/>
  <c r="BR61" i="10"/>
  <c r="BN62" i="10"/>
  <c r="BO62" i="10"/>
  <c r="BP62" i="10"/>
  <c r="BQ62" i="10"/>
  <c r="BR62" i="10"/>
  <c r="BN63" i="10"/>
  <c r="BO63" i="10"/>
  <c r="BP63" i="10"/>
  <c r="BQ63" i="10"/>
  <c r="BR63" i="10"/>
  <c r="BN64" i="10"/>
  <c r="BO64" i="10"/>
  <c r="BP64" i="10"/>
  <c r="BQ64" i="10"/>
  <c r="BR64" i="10"/>
  <c r="BN65" i="10"/>
  <c r="BO65" i="10"/>
  <c r="BP65" i="10"/>
  <c r="BQ65" i="10"/>
  <c r="BR65" i="10"/>
  <c r="BN66" i="10"/>
  <c r="BO66" i="10"/>
  <c r="BP66" i="10"/>
  <c r="BQ66" i="10"/>
  <c r="BR66" i="10"/>
  <c r="BN67" i="10"/>
  <c r="BO67" i="10"/>
  <c r="BP67" i="10"/>
  <c r="BQ67" i="10"/>
  <c r="BR67" i="10"/>
  <c r="BN68" i="10"/>
  <c r="BO68" i="10"/>
  <c r="BP68" i="10"/>
  <c r="BQ68" i="10"/>
  <c r="BR68" i="10"/>
  <c r="BN69" i="10"/>
  <c r="BO69" i="10"/>
  <c r="BP69" i="10"/>
  <c r="BQ69" i="10"/>
  <c r="BR69" i="10"/>
  <c r="BN70" i="10"/>
  <c r="BO70" i="10"/>
  <c r="BP70" i="10"/>
  <c r="BQ70" i="10"/>
  <c r="BR70" i="10"/>
  <c r="BN71" i="10"/>
  <c r="BO71" i="10"/>
  <c r="BP71" i="10"/>
  <c r="BQ71" i="10"/>
  <c r="BR71" i="10"/>
  <c r="BN72" i="10"/>
  <c r="BO72" i="10"/>
  <c r="BP72" i="10"/>
  <c r="BQ72" i="10"/>
  <c r="BR72" i="10"/>
  <c r="BN73" i="10"/>
  <c r="BO73" i="10"/>
  <c r="BP73" i="10"/>
  <c r="BQ73" i="10"/>
  <c r="BR73" i="10"/>
  <c r="BN74" i="10"/>
  <c r="BO74" i="10"/>
  <c r="BP74" i="10"/>
  <c r="BQ74" i="10"/>
  <c r="BR74" i="10"/>
  <c r="BN75" i="10"/>
  <c r="BO75" i="10"/>
  <c r="BP75" i="10"/>
  <c r="BQ75" i="10"/>
  <c r="BR75" i="10"/>
  <c r="BN76" i="10"/>
  <c r="BO76" i="10"/>
  <c r="BP76" i="10"/>
  <c r="BQ76" i="10"/>
  <c r="BR76" i="10"/>
  <c r="BN77" i="10"/>
  <c r="BO77" i="10"/>
  <c r="BP77" i="10"/>
  <c r="BQ77" i="10"/>
  <c r="BR77" i="10"/>
  <c r="BN78" i="10"/>
  <c r="BO78" i="10"/>
  <c r="BP78" i="10"/>
  <c r="BQ78" i="10"/>
  <c r="BR78" i="10"/>
  <c r="BN79" i="10"/>
  <c r="BO79" i="10"/>
  <c r="BP79" i="10"/>
  <c r="BQ79" i="10"/>
  <c r="BR79" i="10"/>
  <c r="BN80" i="10"/>
  <c r="BO80" i="10"/>
  <c r="BP80" i="10"/>
  <c r="BQ80" i="10"/>
  <c r="BR80" i="10"/>
  <c r="BN81" i="10"/>
  <c r="BO81" i="10"/>
  <c r="BP81" i="10"/>
  <c r="BQ81" i="10"/>
  <c r="BR81" i="10"/>
  <c r="BN82" i="10"/>
  <c r="BO82" i="10"/>
  <c r="BP82" i="10"/>
  <c r="BQ82" i="10"/>
  <c r="BR82" i="10"/>
  <c r="BN83" i="10"/>
  <c r="BO83" i="10"/>
  <c r="BP83" i="10"/>
  <c r="BQ83" i="10"/>
  <c r="BR83" i="10"/>
  <c r="BN84" i="10"/>
  <c r="BO84" i="10"/>
  <c r="BP84" i="10"/>
  <c r="BQ84" i="10"/>
  <c r="BR84" i="10"/>
  <c r="BN85" i="10"/>
  <c r="BO85" i="10"/>
  <c r="BP85" i="10"/>
  <c r="BQ85" i="10"/>
  <c r="BR85" i="10"/>
  <c r="BN86" i="10"/>
  <c r="BO86" i="10"/>
  <c r="BP86" i="10"/>
  <c r="BQ86" i="10"/>
  <c r="BR86" i="10"/>
  <c r="BN87" i="10"/>
  <c r="BO87" i="10"/>
  <c r="BP87" i="10"/>
  <c r="BQ87" i="10"/>
  <c r="BR87" i="10"/>
  <c r="BN88" i="10"/>
  <c r="BO88" i="10"/>
  <c r="BP88" i="10"/>
  <c r="BQ88" i="10"/>
  <c r="BR88" i="10"/>
  <c r="BN89" i="10"/>
  <c r="BO89" i="10"/>
  <c r="BP89" i="10"/>
  <c r="BQ89" i="10"/>
  <c r="BR89" i="10"/>
  <c r="BN90" i="10"/>
  <c r="BO90" i="10"/>
  <c r="BP90" i="10"/>
  <c r="BQ90" i="10"/>
  <c r="BR90" i="10"/>
  <c r="BN91" i="10"/>
  <c r="BO91" i="10"/>
  <c r="BP91" i="10"/>
  <c r="BQ91" i="10"/>
  <c r="BR91" i="10"/>
  <c r="BN92" i="10"/>
  <c r="BO92" i="10"/>
  <c r="BP92" i="10"/>
  <c r="BQ92" i="10"/>
  <c r="BR92" i="10"/>
  <c r="BN93" i="10"/>
  <c r="BO93" i="10"/>
  <c r="BP93" i="10"/>
  <c r="BQ93" i="10"/>
  <c r="BR93" i="10"/>
  <c r="BN94" i="10"/>
  <c r="BO94" i="10"/>
  <c r="BP94" i="10"/>
  <c r="BQ94" i="10"/>
  <c r="BR94" i="10"/>
  <c r="BN95" i="10"/>
  <c r="BO95" i="10"/>
  <c r="BP95" i="10"/>
  <c r="BQ95" i="10"/>
  <c r="BR95" i="10"/>
  <c r="BN96" i="10"/>
  <c r="BO96" i="10"/>
  <c r="BP96" i="10"/>
  <c r="BQ96" i="10"/>
  <c r="BR96" i="10"/>
  <c r="BN97" i="10"/>
  <c r="BO97" i="10"/>
  <c r="BP97" i="10"/>
  <c r="BQ97" i="10"/>
  <c r="BR97" i="10"/>
  <c r="BN98" i="10"/>
  <c r="BO98" i="10"/>
  <c r="BP98" i="10"/>
  <c r="BQ98" i="10"/>
  <c r="BR98" i="10"/>
  <c r="BN99" i="10"/>
  <c r="BO99" i="10"/>
  <c r="BP99" i="10"/>
  <c r="BQ99" i="10"/>
  <c r="BR99" i="10"/>
  <c r="BN100" i="10"/>
  <c r="BO100" i="10"/>
  <c r="BP100" i="10"/>
  <c r="BQ100" i="10"/>
  <c r="BR100" i="10"/>
  <c r="BN101" i="10"/>
  <c r="BO101" i="10"/>
  <c r="BP101" i="10"/>
  <c r="BQ101" i="10"/>
  <c r="BR101" i="10"/>
  <c r="BN102" i="10"/>
  <c r="BO102" i="10"/>
  <c r="BP102" i="10"/>
  <c r="BQ102" i="10"/>
  <c r="BR102" i="10"/>
  <c r="BN103" i="10"/>
  <c r="BO103" i="10"/>
  <c r="BP103" i="10"/>
  <c r="BQ103" i="10"/>
  <c r="BR103" i="10"/>
  <c r="BN104" i="10"/>
  <c r="BO104" i="10"/>
  <c r="BP104" i="10"/>
  <c r="BQ104" i="10"/>
  <c r="BR104" i="10"/>
  <c r="BN105" i="10"/>
  <c r="BO105" i="10"/>
  <c r="BP105" i="10"/>
  <c r="BQ105" i="10"/>
  <c r="BR105" i="10"/>
  <c r="BN106" i="10"/>
  <c r="BO106" i="10"/>
  <c r="BP106" i="10"/>
  <c r="BQ106" i="10"/>
  <c r="BR106" i="10"/>
  <c r="BN107" i="10"/>
  <c r="BO107" i="10"/>
  <c r="BP107" i="10"/>
  <c r="BQ107" i="10"/>
  <c r="BR107" i="10"/>
  <c r="BN108" i="10"/>
  <c r="BO108" i="10"/>
  <c r="BP108" i="10"/>
  <c r="BQ108" i="10"/>
  <c r="BR108" i="10"/>
  <c r="BN109" i="10"/>
  <c r="BO109" i="10"/>
  <c r="BP109" i="10"/>
  <c r="BQ109" i="10"/>
  <c r="BR109" i="10"/>
  <c r="BN110" i="10"/>
  <c r="BO110" i="10"/>
  <c r="BP110" i="10"/>
  <c r="BQ110" i="10"/>
  <c r="BR110" i="10"/>
  <c r="BN111" i="10"/>
  <c r="BO111" i="10"/>
  <c r="BP111" i="10"/>
  <c r="BQ111" i="10"/>
  <c r="BR111" i="10"/>
  <c r="BN112" i="10"/>
  <c r="BO112" i="10"/>
  <c r="BP112" i="10"/>
  <c r="BQ112" i="10"/>
  <c r="BR112" i="10"/>
  <c r="BN113" i="10"/>
  <c r="BO113" i="10"/>
  <c r="BP113" i="10"/>
  <c r="BQ113" i="10"/>
  <c r="BR113" i="10"/>
  <c r="BN114" i="10"/>
  <c r="BO114" i="10"/>
  <c r="BP114" i="10"/>
  <c r="BQ114" i="10"/>
  <c r="BR114" i="10"/>
  <c r="BN115" i="10"/>
  <c r="BO115" i="10"/>
  <c r="BP115" i="10"/>
  <c r="BQ115" i="10"/>
  <c r="BR115" i="10"/>
  <c r="BN116" i="10"/>
  <c r="BO116" i="10"/>
  <c r="BP116" i="10"/>
  <c r="BQ116" i="10"/>
  <c r="BR116" i="10"/>
  <c r="BN117" i="10"/>
  <c r="BO117" i="10"/>
  <c r="BP117" i="10"/>
  <c r="BQ117" i="10"/>
  <c r="BR117" i="10"/>
  <c r="BN118" i="10"/>
  <c r="BO118" i="10"/>
  <c r="BP118" i="10"/>
  <c r="BQ118" i="10"/>
  <c r="BR118" i="10"/>
  <c r="BN119" i="10"/>
  <c r="BO119" i="10"/>
  <c r="BP119" i="10"/>
  <c r="BQ119" i="10"/>
  <c r="BR119" i="10"/>
  <c r="BN120" i="10"/>
  <c r="BO120" i="10"/>
  <c r="BP120" i="10"/>
  <c r="BQ120" i="10"/>
  <c r="BR120" i="10"/>
  <c r="BN121" i="10"/>
  <c r="BO121" i="10"/>
  <c r="BP121" i="10"/>
  <c r="BQ121" i="10"/>
  <c r="BR121" i="10"/>
  <c r="BN122" i="10"/>
  <c r="BO122" i="10"/>
  <c r="BP122" i="10"/>
  <c r="BQ122" i="10"/>
  <c r="BR122" i="10"/>
  <c r="BN123" i="10"/>
  <c r="BO123" i="10"/>
  <c r="BP123" i="10"/>
  <c r="BQ123" i="10"/>
  <c r="BR123" i="10"/>
  <c r="BN124" i="10"/>
  <c r="BO124" i="10"/>
  <c r="BP124" i="10"/>
  <c r="BQ124" i="10"/>
  <c r="BR124" i="10"/>
  <c r="BN125" i="10"/>
  <c r="BO125" i="10"/>
  <c r="BP125" i="10"/>
  <c r="BQ125" i="10"/>
  <c r="BR125" i="10"/>
  <c r="BN126" i="10"/>
  <c r="BO126" i="10"/>
  <c r="BP126" i="10"/>
  <c r="BQ126" i="10"/>
  <c r="BR126" i="10"/>
  <c r="BN127" i="10"/>
  <c r="BO127" i="10"/>
  <c r="BP127" i="10"/>
  <c r="BQ127" i="10"/>
  <c r="BR127" i="10"/>
  <c r="BN128" i="10"/>
  <c r="BO128" i="10"/>
  <c r="BP128" i="10"/>
  <c r="BQ128" i="10"/>
  <c r="BR128" i="10"/>
  <c r="BN129" i="10"/>
  <c r="BO129" i="10"/>
  <c r="BP129" i="10"/>
  <c r="BQ129" i="10"/>
  <c r="BR129" i="10"/>
  <c r="BN130" i="10"/>
  <c r="BO130" i="10"/>
  <c r="BP130" i="10"/>
  <c r="BQ130" i="10"/>
  <c r="BR130" i="10"/>
  <c r="BN131" i="10"/>
  <c r="BO131" i="10"/>
  <c r="BP131" i="10"/>
  <c r="BQ131" i="10"/>
  <c r="BR131" i="10"/>
  <c r="BN132" i="10"/>
  <c r="BO132" i="10"/>
  <c r="BP132" i="10"/>
  <c r="BQ132" i="10"/>
  <c r="BR132" i="10"/>
  <c r="BN133" i="10"/>
  <c r="BO133" i="10"/>
  <c r="BP133" i="10"/>
  <c r="BQ133" i="10"/>
  <c r="BR133" i="10"/>
  <c r="BN134" i="10"/>
  <c r="BO134" i="10"/>
  <c r="BP134" i="10"/>
  <c r="BQ134" i="10"/>
  <c r="BR134" i="10"/>
  <c r="BN135" i="10"/>
  <c r="BO135" i="10"/>
  <c r="BP135" i="10"/>
  <c r="BQ135" i="10"/>
  <c r="BR135" i="10"/>
  <c r="BN136" i="10"/>
  <c r="BO136" i="10"/>
  <c r="BP136" i="10"/>
  <c r="BQ136" i="10"/>
  <c r="BR136" i="10"/>
  <c r="BN137" i="10"/>
  <c r="BO137" i="10"/>
  <c r="BP137" i="10"/>
  <c r="BQ137" i="10"/>
  <c r="BR137" i="10"/>
  <c r="BN138" i="10"/>
  <c r="BO138" i="10"/>
  <c r="BP138" i="10"/>
  <c r="BQ138" i="10"/>
  <c r="BR138" i="10"/>
  <c r="BN139" i="10"/>
  <c r="BO139" i="10"/>
  <c r="BP139" i="10"/>
  <c r="BQ139" i="10"/>
  <c r="BR139" i="10"/>
  <c r="BN140" i="10"/>
  <c r="BO140" i="10"/>
  <c r="BP140" i="10"/>
  <c r="BQ140" i="10"/>
  <c r="BR140" i="10"/>
  <c r="BN141" i="10"/>
  <c r="BO141" i="10"/>
  <c r="BP141" i="10"/>
  <c r="BQ141" i="10"/>
  <c r="BR141" i="10"/>
  <c r="BN142" i="10"/>
  <c r="BO142" i="10"/>
  <c r="BP142" i="10"/>
  <c r="BQ142" i="10"/>
  <c r="BR142" i="10"/>
  <c r="BN143" i="10"/>
  <c r="BO143" i="10"/>
  <c r="BP143" i="10"/>
  <c r="BQ143" i="10"/>
  <c r="BR143" i="10"/>
  <c r="BN144" i="10"/>
  <c r="BO144" i="10"/>
  <c r="BP144" i="10"/>
  <c r="BQ144" i="10"/>
  <c r="BR144" i="10"/>
  <c r="BN145" i="10"/>
  <c r="BO145" i="10"/>
  <c r="BP145" i="10"/>
  <c r="BQ145" i="10"/>
  <c r="BR145" i="10"/>
  <c r="BN146" i="10"/>
  <c r="BO146" i="10"/>
  <c r="BP146" i="10"/>
  <c r="BQ146" i="10"/>
  <c r="BR146" i="10"/>
  <c r="BN147" i="10"/>
  <c r="BO147" i="10"/>
  <c r="BP147" i="10"/>
  <c r="BQ147" i="10"/>
  <c r="BR147" i="10"/>
  <c r="BN148" i="10"/>
  <c r="BO148" i="10"/>
  <c r="BP148" i="10"/>
  <c r="BQ148" i="10"/>
  <c r="BR148" i="10"/>
  <c r="BN149" i="10"/>
  <c r="BO149" i="10"/>
  <c r="BP149" i="10"/>
  <c r="BQ149" i="10"/>
  <c r="BR149" i="10"/>
  <c r="BN150" i="10"/>
  <c r="BO150" i="10"/>
  <c r="BP150" i="10"/>
  <c r="BQ150" i="10"/>
  <c r="BR150" i="10"/>
  <c r="BN151" i="10"/>
  <c r="BO151" i="10"/>
  <c r="BP151" i="10"/>
  <c r="BQ151" i="10"/>
  <c r="BR151" i="10"/>
  <c r="BN152" i="10"/>
  <c r="BO152" i="10"/>
  <c r="BP152" i="10"/>
  <c r="BQ152" i="10"/>
  <c r="BR152" i="10"/>
  <c r="BN153" i="10"/>
  <c r="BO153" i="10"/>
  <c r="BP153" i="10"/>
  <c r="BQ153" i="10"/>
  <c r="BR153" i="10"/>
  <c r="BN154" i="10"/>
  <c r="BO154" i="10"/>
  <c r="BP154" i="10"/>
  <c r="BQ154" i="10"/>
  <c r="BR154" i="10"/>
  <c r="BN155" i="10"/>
  <c r="BO155" i="10"/>
  <c r="BP155" i="10"/>
  <c r="BQ155" i="10"/>
  <c r="BR155" i="10"/>
  <c r="BN156" i="10"/>
  <c r="BO156" i="10"/>
  <c r="BP156" i="10"/>
  <c r="BQ156" i="10"/>
  <c r="BR156" i="10"/>
  <c r="BN157" i="10"/>
  <c r="BO157" i="10"/>
  <c r="BP157" i="10"/>
  <c r="BQ157" i="10"/>
  <c r="BR157" i="10"/>
  <c r="BN158" i="10"/>
  <c r="BO158" i="10"/>
  <c r="BP158" i="10"/>
  <c r="BQ158" i="10"/>
  <c r="BR158" i="10"/>
  <c r="BN159" i="10"/>
  <c r="BO159" i="10"/>
  <c r="BP159" i="10"/>
  <c r="BQ159" i="10"/>
  <c r="BR159" i="10"/>
  <c r="BN160" i="10"/>
  <c r="BO160" i="10"/>
  <c r="BP160" i="10"/>
  <c r="BQ160" i="10"/>
  <c r="BR160" i="10"/>
  <c r="BN161" i="10"/>
  <c r="BO161" i="10"/>
  <c r="BP161" i="10"/>
  <c r="BQ161" i="10"/>
  <c r="BR161" i="10"/>
  <c r="BN162" i="10"/>
  <c r="BO162" i="10"/>
  <c r="BP162" i="10"/>
  <c r="BQ162" i="10"/>
  <c r="BR162" i="10"/>
  <c r="BN163" i="10"/>
  <c r="BO163" i="10"/>
  <c r="BP163" i="10"/>
  <c r="BQ163" i="10"/>
  <c r="BR163" i="10"/>
  <c r="BN164" i="10"/>
  <c r="BO164" i="10"/>
  <c r="BP164" i="10"/>
  <c r="BQ164" i="10"/>
  <c r="BR164" i="10"/>
  <c r="BN165" i="10"/>
  <c r="BO165" i="10"/>
  <c r="BP165" i="10"/>
  <c r="BQ165" i="10"/>
  <c r="BR165" i="10"/>
  <c r="BN166" i="10"/>
  <c r="BO166" i="10"/>
  <c r="BP166" i="10"/>
  <c r="BQ166" i="10"/>
  <c r="BR166" i="10"/>
  <c r="BN167" i="10"/>
  <c r="BO167" i="10"/>
  <c r="BP167" i="10"/>
  <c r="BQ167" i="10"/>
  <c r="BR167" i="10"/>
  <c r="BN168" i="10"/>
  <c r="BO168" i="10"/>
  <c r="BP168" i="10"/>
  <c r="BQ168" i="10"/>
  <c r="BR168" i="10"/>
  <c r="BN169" i="10"/>
  <c r="BO169" i="10"/>
  <c r="BP169" i="10"/>
  <c r="BQ169" i="10"/>
  <c r="BR169" i="10"/>
  <c r="BN170" i="10"/>
  <c r="BO170" i="10"/>
  <c r="BP170" i="10"/>
  <c r="BQ170" i="10"/>
  <c r="BR170" i="10"/>
  <c r="BN171" i="10"/>
  <c r="BO171" i="10"/>
  <c r="BP171" i="10"/>
  <c r="BQ171" i="10"/>
  <c r="BR171" i="10"/>
  <c r="BN172" i="10"/>
  <c r="BO172" i="10"/>
  <c r="BP172" i="10"/>
  <c r="BQ172" i="10"/>
  <c r="BR172" i="10"/>
  <c r="BN173" i="10"/>
  <c r="BO173" i="10"/>
  <c r="BP173" i="10"/>
  <c r="BQ173" i="10"/>
  <c r="BR173" i="10"/>
  <c r="BN174" i="10"/>
  <c r="BO174" i="10"/>
  <c r="BP174" i="10"/>
  <c r="BQ174" i="10"/>
  <c r="BR174" i="10"/>
  <c r="BN175" i="10"/>
  <c r="BO175" i="10"/>
  <c r="BP175" i="10"/>
  <c r="BQ175" i="10"/>
  <c r="BR175" i="10"/>
  <c r="BN176" i="10"/>
  <c r="BO176" i="10"/>
  <c r="BP176" i="10"/>
  <c r="BQ176" i="10"/>
  <c r="BR176" i="10"/>
  <c r="BN177" i="10"/>
  <c r="BO177" i="10"/>
  <c r="BP177" i="10"/>
  <c r="BQ177" i="10"/>
  <c r="BR177" i="10"/>
  <c r="BN178" i="10"/>
  <c r="BO178" i="10"/>
  <c r="BP178" i="10"/>
  <c r="BQ178" i="10"/>
  <c r="BR178" i="10"/>
  <c r="BN179" i="10"/>
  <c r="BO179" i="10"/>
  <c r="BP179" i="10"/>
  <c r="BQ179" i="10"/>
  <c r="BR179" i="10"/>
  <c r="BN180" i="10"/>
  <c r="BO180" i="10"/>
  <c r="BP180" i="10"/>
  <c r="BQ180" i="10"/>
  <c r="BR180" i="10"/>
  <c r="BN181" i="10"/>
  <c r="BO181" i="10"/>
  <c r="BP181" i="10"/>
  <c r="BQ181" i="10"/>
  <c r="BR181" i="10"/>
  <c r="BN182" i="10"/>
  <c r="BO182" i="10"/>
  <c r="BP182" i="10"/>
  <c r="BQ182" i="10"/>
  <c r="BR182" i="10"/>
  <c r="BN183" i="10"/>
  <c r="BO183" i="10"/>
  <c r="BP183" i="10"/>
  <c r="BQ183" i="10"/>
  <c r="BR183" i="10"/>
  <c r="BN184" i="10"/>
  <c r="BO184" i="10"/>
  <c r="BP184" i="10"/>
  <c r="BQ184" i="10"/>
  <c r="BR184" i="10"/>
  <c r="BN185" i="10"/>
  <c r="BO185" i="10"/>
  <c r="BP185" i="10"/>
  <c r="BQ185" i="10"/>
  <c r="BR185" i="10"/>
  <c r="BN186" i="10"/>
  <c r="BO186" i="10"/>
  <c r="BP186" i="10"/>
  <c r="BQ186" i="10"/>
  <c r="BR186" i="10"/>
  <c r="BN187" i="10"/>
  <c r="BO187" i="10"/>
  <c r="BP187" i="10"/>
  <c r="BQ187" i="10"/>
  <c r="BR187" i="10"/>
  <c r="BN188" i="10"/>
  <c r="BO188" i="10"/>
  <c r="BP188" i="10"/>
  <c r="BQ188" i="10"/>
  <c r="BR188" i="10"/>
  <c r="BN189" i="10"/>
  <c r="BO189" i="10"/>
  <c r="BP189" i="10"/>
  <c r="BQ189" i="10"/>
  <c r="BR189" i="10"/>
  <c r="BN190" i="10"/>
  <c r="BO190" i="10"/>
  <c r="BP190" i="10"/>
  <c r="BQ190" i="10"/>
  <c r="BR190" i="10"/>
  <c r="BN191" i="10"/>
  <c r="BO191" i="10"/>
  <c r="BP191" i="10"/>
  <c r="BQ191" i="10"/>
  <c r="BR191" i="10"/>
  <c r="BN192" i="10"/>
  <c r="BO192" i="10"/>
  <c r="BP192" i="10"/>
  <c r="BQ192" i="10"/>
  <c r="BR192" i="10"/>
  <c r="BN193" i="10"/>
  <c r="BO193" i="10"/>
  <c r="BP193" i="10"/>
  <c r="BQ193" i="10"/>
  <c r="BR193" i="10"/>
  <c r="BN194" i="10"/>
  <c r="BO194" i="10"/>
  <c r="BP194" i="10"/>
  <c r="BQ194" i="10"/>
  <c r="BR194" i="10"/>
  <c r="BN195" i="10"/>
  <c r="BO195" i="10"/>
  <c r="BP195" i="10"/>
  <c r="BQ195" i="10"/>
  <c r="BR195" i="10"/>
  <c r="BN196" i="10"/>
  <c r="BO196" i="10"/>
  <c r="BP196" i="10"/>
  <c r="BQ196" i="10"/>
  <c r="BR196" i="10"/>
  <c r="BN197" i="10"/>
  <c r="BO197" i="10"/>
  <c r="BP197" i="10"/>
  <c r="BQ197" i="10"/>
  <c r="BR197" i="10"/>
  <c r="BN198" i="10"/>
  <c r="BO198" i="10"/>
  <c r="BP198" i="10"/>
  <c r="BQ198" i="10"/>
  <c r="BR198" i="10"/>
  <c r="BN199" i="10"/>
  <c r="BO199" i="10"/>
  <c r="BP199" i="10"/>
  <c r="BQ199" i="10"/>
  <c r="BR199" i="10"/>
  <c r="BN200" i="10"/>
  <c r="BO200" i="10"/>
  <c r="BP200" i="10"/>
  <c r="BQ200" i="10"/>
  <c r="BR200" i="10"/>
  <c r="BN201" i="10"/>
  <c r="BO201" i="10"/>
  <c r="BP201" i="10"/>
  <c r="BQ201" i="10"/>
  <c r="BR201" i="10"/>
  <c r="BN202" i="10"/>
  <c r="BO202" i="10"/>
  <c r="BP202" i="10"/>
  <c r="BQ202" i="10"/>
  <c r="BR202" i="10"/>
  <c r="BN203" i="10"/>
  <c r="BO203" i="10"/>
  <c r="BP203" i="10"/>
  <c r="BQ203" i="10"/>
  <c r="BR203" i="10"/>
  <c r="BN204" i="10"/>
  <c r="BO204" i="10"/>
  <c r="BP204" i="10"/>
  <c r="BQ204" i="10"/>
  <c r="BR204" i="10"/>
  <c r="BN205" i="10"/>
  <c r="BO205" i="10"/>
  <c r="BP205" i="10"/>
  <c r="BQ205" i="10"/>
  <c r="BR205" i="10"/>
  <c r="BN206" i="10"/>
  <c r="BO206" i="10"/>
  <c r="BP206" i="10"/>
  <c r="BQ206" i="10"/>
  <c r="BR206" i="10"/>
  <c r="BN207" i="10"/>
  <c r="BO207" i="10"/>
  <c r="BP207" i="10"/>
  <c r="BQ207" i="10"/>
  <c r="BR207" i="10"/>
  <c r="BN208" i="10"/>
  <c r="BO208" i="10"/>
  <c r="BP208" i="10"/>
  <c r="BQ208" i="10"/>
  <c r="BR208" i="10"/>
  <c r="BN209" i="10"/>
  <c r="BO209" i="10"/>
  <c r="BP209" i="10"/>
  <c r="BQ209" i="10"/>
  <c r="BR209" i="10"/>
  <c r="BN210" i="10"/>
  <c r="BO210" i="10"/>
  <c r="BP210" i="10"/>
  <c r="BQ210" i="10"/>
  <c r="BR210" i="10"/>
  <c r="BN211" i="10"/>
  <c r="BO211" i="10"/>
  <c r="BP211" i="10"/>
  <c r="BQ211" i="10"/>
  <c r="BR211" i="10"/>
  <c r="BN212" i="10"/>
  <c r="BO212" i="10"/>
  <c r="BP212" i="10"/>
  <c r="BQ212" i="10"/>
  <c r="BR212" i="10"/>
  <c r="BN213" i="10"/>
  <c r="BO213" i="10"/>
  <c r="BP213" i="10"/>
  <c r="BQ213" i="10"/>
  <c r="BR213" i="10"/>
  <c r="BN214" i="10"/>
  <c r="BO214" i="10"/>
  <c r="BP214" i="10"/>
  <c r="BQ214" i="10"/>
  <c r="BR214" i="10"/>
  <c r="BN215" i="10"/>
  <c r="BO215" i="10"/>
  <c r="BP215" i="10"/>
  <c r="BQ215" i="10"/>
  <c r="BR215" i="10"/>
  <c r="BN216" i="10"/>
  <c r="BO216" i="10"/>
  <c r="BP216" i="10"/>
  <c r="BQ216" i="10"/>
  <c r="BR216" i="10"/>
  <c r="BN217" i="10"/>
  <c r="BO217" i="10"/>
  <c r="BP217" i="10"/>
  <c r="BQ217" i="10"/>
  <c r="BR217" i="10"/>
  <c r="BN218" i="10"/>
  <c r="BO218" i="10"/>
  <c r="BP218" i="10"/>
  <c r="BQ218" i="10"/>
  <c r="BR218" i="10"/>
  <c r="BN219" i="10"/>
  <c r="BO219" i="10"/>
  <c r="BP219" i="10"/>
  <c r="BQ219" i="10"/>
  <c r="BR219" i="10"/>
  <c r="BN220" i="10"/>
  <c r="BO220" i="10"/>
  <c r="BP220" i="10"/>
  <c r="BQ220" i="10"/>
  <c r="BR220" i="10"/>
  <c r="BN221" i="10"/>
  <c r="BO221" i="10"/>
  <c r="BP221" i="10"/>
  <c r="BQ221" i="10"/>
  <c r="BR221" i="10"/>
  <c r="BN222" i="10"/>
  <c r="BO222" i="10"/>
  <c r="BP222" i="10"/>
  <c r="BQ222" i="10"/>
  <c r="BR222" i="10"/>
  <c r="BN223" i="10"/>
  <c r="BO223" i="10"/>
  <c r="BP223" i="10"/>
  <c r="BQ223" i="10"/>
  <c r="BR223" i="10"/>
  <c r="BN224" i="10"/>
  <c r="BO224" i="10"/>
  <c r="BP224" i="10"/>
  <c r="BQ224" i="10"/>
  <c r="BR224" i="10"/>
  <c r="BN225" i="10"/>
  <c r="BO225" i="10"/>
  <c r="BP225" i="10"/>
  <c r="BQ225" i="10"/>
  <c r="BR225" i="10"/>
  <c r="BN226" i="10"/>
  <c r="BO226" i="10"/>
  <c r="BP226" i="10"/>
  <c r="BQ226" i="10"/>
  <c r="BR226" i="10"/>
  <c r="BN227" i="10"/>
  <c r="BO227" i="10"/>
  <c r="BP227" i="10"/>
  <c r="BQ227" i="10"/>
  <c r="BR227" i="10"/>
  <c r="BN228" i="10"/>
  <c r="BO228" i="10"/>
  <c r="BP228" i="10"/>
  <c r="BQ228" i="10"/>
  <c r="BR228" i="10"/>
  <c r="BN229" i="10"/>
  <c r="BO229" i="10"/>
  <c r="BP229" i="10"/>
  <c r="BQ229" i="10"/>
  <c r="BR229" i="10"/>
  <c r="BN230" i="10"/>
  <c r="BO230" i="10"/>
  <c r="BP230" i="10"/>
  <c r="BQ230" i="10"/>
  <c r="BR230" i="10"/>
  <c r="BN231" i="10"/>
  <c r="BO231" i="10"/>
  <c r="BP231" i="10"/>
  <c r="BQ231" i="10"/>
  <c r="BR231" i="10"/>
  <c r="BN232" i="10"/>
  <c r="BO232" i="10"/>
  <c r="BP232" i="10"/>
  <c r="BQ232" i="10"/>
  <c r="BR232" i="10"/>
  <c r="BN233" i="10"/>
  <c r="BO233" i="10"/>
  <c r="BP233" i="10"/>
  <c r="BQ233" i="10"/>
  <c r="BR233" i="10"/>
  <c r="BN234" i="10"/>
  <c r="BO234" i="10"/>
  <c r="BP234" i="10"/>
  <c r="BQ234" i="10"/>
  <c r="BR234" i="10"/>
  <c r="BN235" i="10"/>
  <c r="BO235" i="10"/>
  <c r="BP235" i="10"/>
  <c r="BQ235" i="10"/>
  <c r="BR235" i="10"/>
  <c r="BN236" i="10"/>
  <c r="BO236" i="10"/>
  <c r="BP236" i="10"/>
  <c r="BQ236" i="10"/>
  <c r="BR236" i="10"/>
  <c r="BN237" i="10"/>
  <c r="BO237" i="10"/>
  <c r="BP237" i="10"/>
  <c r="BQ237" i="10"/>
  <c r="BR237" i="10"/>
  <c r="BN238" i="10"/>
  <c r="BO238" i="10"/>
  <c r="BP238" i="10"/>
  <c r="BQ238" i="10"/>
  <c r="BR238" i="10"/>
  <c r="BN239" i="10"/>
  <c r="BO239" i="10"/>
  <c r="BP239" i="10"/>
  <c r="BQ239" i="10"/>
  <c r="BR239" i="10"/>
  <c r="BN240" i="10"/>
  <c r="BO240" i="10"/>
  <c r="BP240" i="10"/>
  <c r="BQ240" i="10"/>
  <c r="BR240" i="10"/>
  <c r="BN241" i="10"/>
  <c r="BO241" i="10"/>
  <c r="BP241" i="10"/>
  <c r="BQ241" i="10"/>
  <c r="BR241" i="10"/>
  <c r="BN242" i="10"/>
  <c r="BO242" i="10"/>
  <c r="BP242" i="10"/>
  <c r="BQ242" i="10"/>
  <c r="BR242" i="10"/>
  <c r="BN243" i="10"/>
  <c r="BO243" i="10"/>
  <c r="BP243" i="10"/>
  <c r="BQ243" i="10"/>
  <c r="BR243" i="10"/>
  <c r="BN244" i="10"/>
  <c r="BO244" i="10"/>
  <c r="BP244" i="10"/>
  <c r="BQ244" i="10"/>
  <c r="BR244" i="10"/>
  <c r="BN245" i="10"/>
  <c r="BO245" i="10"/>
  <c r="BP245" i="10"/>
  <c r="BQ245" i="10"/>
  <c r="BR245" i="10"/>
  <c r="BN246" i="10"/>
  <c r="BO246" i="10"/>
  <c r="BP246" i="10"/>
  <c r="BQ246" i="10"/>
  <c r="BR246" i="10"/>
  <c r="BN247" i="10"/>
  <c r="BO247" i="10"/>
  <c r="BP247" i="10"/>
  <c r="BQ247" i="10"/>
  <c r="BR247" i="10"/>
  <c r="BN248" i="10"/>
  <c r="BO248" i="10"/>
  <c r="BP248" i="10"/>
  <c r="BQ248" i="10"/>
  <c r="BR248" i="10"/>
  <c r="BN249" i="10"/>
  <c r="BO249" i="10"/>
  <c r="BP249" i="10"/>
  <c r="BQ249" i="10"/>
  <c r="BR249" i="10"/>
  <c r="BN250" i="10"/>
  <c r="BO250" i="10"/>
  <c r="BP250" i="10"/>
  <c r="BQ250" i="10"/>
  <c r="BR250" i="10"/>
  <c r="BN251" i="10"/>
  <c r="BO251" i="10"/>
  <c r="BP251" i="10"/>
  <c r="BQ251" i="10"/>
  <c r="BR251" i="10"/>
  <c r="BN252" i="10"/>
  <c r="BO252" i="10"/>
  <c r="BP252" i="10"/>
  <c r="BQ252" i="10"/>
  <c r="BR252" i="10"/>
  <c r="BN253" i="10"/>
  <c r="BO253" i="10"/>
  <c r="BP253" i="10"/>
  <c r="BQ253" i="10"/>
  <c r="BR253" i="10"/>
  <c r="BN254" i="10"/>
  <c r="BO254" i="10"/>
  <c r="BP254" i="10"/>
  <c r="BQ254" i="10"/>
  <c r="BR254" i="10"/>
  <c r="BN255" i="10"/>
  <c r="BO255" i="10"/>
  <c r="BP255" i="10"/>
  <c r="BQ255" i="10"/>
  <c r="BR255" i="10"/>
  <c r="BN256" i="10"/>
  <c r="BO256" i="10"/>
  <c r="BP256" i="10"/>
  <c r="BQ256" i="10"/>
  <c r="BR256" i="10"/>
  <c r="BN257" i="10"/>
  <c r="BO257" i="10"/>
  <c r="BP257" i="10"/>
  <c r="BQ257" i="10"/>
  <c r="BR257" i="10"/>
  <c r="BN258" i="10"/>
  <c r="BO258" i="10"/>
  <c r="BP258" i="10"/>
  <c r="BQ258" i="10"/>
  <c r="BR258" i="10"/>
  <c r="BN259" i="10"/>
  <c r="BO259" i="10"/>
  <c r="BP259" i="10"/>
  <c r="BQ259" i="10"/>
  <c r="BR259" i="10"/>
  <c r="BN260" i="10"/>
  <c r="BO260" i="10"/>
  <c r="BP260" i="10"/>
  <c r="BQ260" i="10"/>
  <c r="BR260" i="10"/>
  <c r="BN261" i="10"/>
  <c r="BO261" i="10"/>
  <c r="BP261" i="10"/>
  <c r="BQ261" i="10"/>
  <c r="BR261" i="10"/>
  <c r="BN262" i="10"/>
  <c r="BO262" i="10"/>
  <c r="BP262" i="10"/>
  <c r="BQ262" i="10"/>
  <c r="BR262" i="10"/>
  <c r="BN263" i="10"/>
  <c r="BO263" i="10"/>
  <c r="BP263" i="10"/>
  <c r="BQ263" i="10"/>
  <c r="BR263" i="10"/>
  <c r="BN264" i="10"/>
  <c r="BO264" i="10"/>
  <c r="BP264" i="10"/>
  <c r="BQ264" i="10"/>
  <c r="BR264" i="10"/>
  <c r="BN265" i="10"/>
  <c r="BO265" i="10"/>
  <c r="BP265" i="10"/>
  <c r="BQ265" i="10"/>
  <c r="BR265" i="10"/>
  <c r="BN266" i="10"/>
  <c r="BO266" i="10"/>
  <c r="BP266" i="10"/>
  <c r="BQ266" i="10"/>
  <c r="BR266" i="10"/>
  <c r="BN267" i="10"/>
  <c r="BO267" i="10"/>
  <c r="BP267" i="10"/>
  <c r="BQ267" i="10"/>
  <c r="BR267" i="10"/>
  <c r="BN268" i="10"/>
  <c r="BO268" i="10"/>
  <c r="BP268" i="10"/>
  <c r="BQ268" i="10"/>
  <c r="BR268" i="10"/>
  <c r="BN269" i="10"/>
  <c r="BO269" i="10"/>
  <c r="BP269" i="10"/>
  <c r="BQ269" i="10"/>
  <c r="BR269" i="10"/>
  <c r="BN270" i="10"/>
  <c r="BO270" i="10"/>
  <c r="BP270" i="10"/>
  <c r="BQ270" i="10"/>
  <c r="BR270" i="10"/>
  <c r="BN271" i="10"/>
  <c r="BO271" i="10"/>
  <c r="BP271" i="10"/>
  <c r="BQ271" i="10"/>
  <c r="BR271" i="10"/>
  <c r="BN272" i="10"/>
  <c r="BO272" i="10"/>
  <c r="BP272" i="10"/>
  <c r="BQ272" i="10"/>
  <c r="BR272" i="10"/>
  <c r="BN273" i="10"/>
  <c r="BO273" i="10"/>
  <c r="BP273" i="10"/>
  <c r="BQ273" i="10"/>
  <c r="BR273" i="10"/>
  <c r="BN274" i="10"/>
  <c r="BO274" i="10"/>
  <c r="BP274" i="10"/>
  <c r="BQ274" i="10"/>
  <c r="BR274" i="10"/>
  <c r="BN275" i="10"/>
  <c r="BO275" i="10"/>
  <c r="BP275" i="10"/>
  <c r="BQ275" i="10"/>
  <c r="BR275" i="10"/>
  <c r="BN276" i="10"/>
  <c r="BO276" i="10"/>
  <c r="BP276" i="10"/>
  <c r="BQ276" i="10"/>
  <c r="BR276" i="10"/>
  <c r="BN277" i="10"/>
  <c r="BO277" i="10"/>
  <c r="BP277" i="10"/>
  <c r="BQ277" i="10"/>
  <c r="BR277" i="10"/>
  <c r="BN278" i="10"/>
  <c r="BO278" i="10"/>
  <c r="BP278" i="10"/>
  <c r="BQ278" i="10"/>
  <c r="BR278" i="10"/>
  <c r="BN279" i="10"/>
  <c r="BO279" i="10"/>
  <c r="BP279" i="10"/>
  <c r="BQ279" i="10"/>
  <c r="BR279" i="10"/>
  <c r="BN280" i="10"/>
  <c r="BO280" i="10"/>
  <c r="BP280" i="10"/>
  <c r="BQ280" i="10"/>
  <c r="BR280" i="10"/>
  <c r="BN281" i="10"/>
  <c r="BO281" i="10"/>
  <c r="BP281" i="10"/>
  <c r="BQ281" i="10"/>
  <c r="BR281" i="10"/>
  <c r="BN282" i="10"/>
  <c r="BO282" i="10"/>
  <c r="BP282" i="10"/>
  <c r="BQ282" i="10"/>
  <c r="BR282" i="10"/>
  <c r="BN283" i="10"/>
  <c r="BO283" i="10"/>
  <c r="BP283" i="10"/>
  <c r="BQ283" i="10"/>
  <c r="BR283" i="10"/>
  <c r="BN284" i="10"/>
  <c r="BO284" i="10"/>
  <c r="BP284" i="10"/>
  <c r="BQ284" i="10"/>
  <c r="BR284" i="10"/>
  <c r="BN285" i="10"/>
  <c r="BO285" i="10"/>
  <c r="BP285" i="10"/>
  <c r="BQ285" i="10"/>
  <c r="BR285" i="10"/>
  <c r="BN286" i="10"/>
  <c r="BO286" i="10"/>
  <c r="BP286" i="10"/>
  <c r="BQ286" i="10"/>
  <c r="BR286" i="10"/>
  <c r="BN287" i="10"/>
  <c r="BO287" i="10"/>
  <c r="BP287" i="10"/>
  <c r="BQ287" i="10"/>
  <c r="BR287" i="10"/>
  <c r="BN288" i="10"/>
  <c r="BO288" i="10"/>
  <c r="BP288" i="10"/>
  <c r="BQ288" i="10"/>
  <c r="BR288" i="10"/>
  <c r="BN289" i="10"/>
  <c r="BO289" i="10"/>
  <c r="BP289" i="10"/>
  <c r="BQ289" i="10"/>
  <c r="BR289" i="10"/>
  <c r="BN290" i="10"/>
  <c r="BO290" i="10"/>
  <c r="BP290" i="10"/>
  <c r="BQ290" i="10"/>
  <c r="BR290" i="10"/>
  <c r="BN291" i="10"/>
  <c r="BO291" i="10"/>
  <c r="BP291" i="10"/>
  <c r="BQ291" i="10"/>
  <c r="BR291" i="10"/>
  <c r="BN292" i="10"/>
  <c r="BO292" i="10"/>
  <c r="BP292" i="10"/>
  <c r="BQ292" i="10"/>
  <c r="BR292" i="10"/>
  <c r="BN293" i="10"/>
  <c r="BO293" i="10"/>
  <c r="BP293" i="10"/>
  <c r="BQ293" i="10"/>
  <c r="BR293" i="10"/>
  <c r="BN294" i="10"/>
  <c r="BO294" i="10"/>
  <c r="BP294" i="10"/>
  <c r="BQ294" i="10"/>
  <c r="BR294" i="10"/>
  <c r="BN295" i="10"/>
  <c r="BO295" i="10"/>
  <c r="BP295" i="10"/>
  <c r="BQ295" i="10"/>
  <c r="BR295" i="10"/>
  <c r="BN296" i="10"/>
  <c r="BO296" i="10"/>
  <c r="BP296" i="10"/>
  <c r="BQ296" i="10"/>
  <c r="BR296" i="10"/>
  <c r="BN297" i="10"/>
  <c r="BO297" i="10"/>
  <c r="BP297" i="10"/>
  <c r="BQ297" i="10"/>
  <c r="BR297" i="10"/>
  <c r="BN298" i="10"/>
  <c r="BO298" i="10"/>
  <c r="BP298" i="10"/>
  <c r="BQ298" i="10"/>
  <c r="BR298" i="10"/>
  <c r="BN299" i="10"/>
  <c r="BO299" i="10"/>
  <c r="BP299" i="10"/>
  <c r="BQ299" i="10"/>
  <c r="BR299" i="10"/>
  <c r="BN300" i="10"/>
  <c r="BO300" i="10"/>
  <c r="BP300" i="10"/>
  <c r="BQ300" i="10"/>
  <c r="BR300" i="10"/>
  <c r="BN301" i="10"/>
  <c r="BO301" i="10"/>
  <c r="BP301" i="10"/>
  <c r="BQ301" i="10"/>
  <c r="BR301" i="10"/>
  <c r="BN302" i="10"/>
  <c r="BO302" i="10"/>
  <c r="BP302" i="10"/>
  <c r="BQ302" i="10"/>
  <c r="BR302" i="10"/>
  <c r="BN303" i="10"/>
  <c r="BO303" i="10"/>
  <c r="BP303" i="10"/>
  <c r="BQ303" i="10"/>
  <c r="BR303" i="10"/>
  <c r="BN304" i="10"/>
  <c r="BO304" i="10"/>
  <c r="BP304" i="10"/>
  <c r="BQ304" i="10"/>
  <c r="BR304" i="10"/>
  <c r="BN305" i="10"/>
  <c r="BO305" i="10"/>
  <c r="BP305" i="10"/>
  <c r="BQ305" i="10"/>
  <c r="BR305" i="10"/>
  <c r="BN306" i="10"/>
  <c r="BO306" i="10"/>
  <c r="BP306" i="10"/>
  <c r="BQ306" i="10"/>
  <c r="BR306" i="10"/>
  <c r="BN307" i="10"/>
  <c r="BO307" i="10"/>
  <c r="BP307" i="10"/>
  <c r="BQ307" i="10"/>
  <c r="BR307" i="10"/>
  <c r="BN308" i="10"/>
  <c r="BO308" i="10"/>
  <c r="BP308" i="10"/>
  <c r="BQ308" i="10"/>
  <c r="BR308" i="10"/>
  <c r="BN309" i="10"/>
  <c r="BO309" i="10"/>
  <c r="BP309" i="10"/>
  <c r="BQ309" i="10"/>
  <c r="BR309" i="10"/>
  <c r="BN310" i="10"/>
  <c r="BO310" i="10"/>
  <c r="BP310" i="10"/>
  <c r="BQ310" i="10"/>
  <c r="BR310" i="10"/>
  <c r="BN311" i="10"/>
  <c r="BO311" i="10"/>
  <c r="BP311" i="10"/>
  <c r="BQ311" i="10"/>
  <c r="BR311" i="10"/>
  <c r="BN312" i="10"/>
  <c r="BO312" i="10"/>
  <c r="BP312" i="10"/>
  <c r="BQ312" i="10"/>
  <c r="BR312" i="10"/>
  <c r="BN313" i="10"/>
  <c r="BO313" i="10"/>
  <c r="BP313" i="10"/>
  <c r="BQ313" i="10"/>
  <c r="BR313" i="10"/>
  <c r="BN314" i="10"/>
  <c r="BO314" i="10"/>
  <c r="BP314" i="10"/>
  <c r="BQ314" i="10"/>
  <c r="BR314" i="10"/>
  <c r="BN315" i="10"/>
  <c r="BO315" i="10"/>
  <c r="BP315" i="10"/>
  <c r="BQ315" i="10"/>
  <c r="BR315" i="10"/>
  <c r="BN316" i="10"/>
  <c r="BO316" i="10"/>
  <c r="BP316" i="10"/>
  <c r="BQ316" i="10"/>
  <c r="BR316" i="10"/>
  <c r="BN317" i="10"/>
  <c r="BO317" i="10"/>
  <c r="BP317" i="10"/>
  <c r="BQ317" i="10"/>
  <c r="BR317" i="10"/>
  <c r="BR22" i="10"/>
  <c r="BQ22" i="10"/>
  <c r="BP22" i="10"/>
  <c r="BO22" i="10"/>
  <c r="BN22" i="10"/>
  <c r="BS23" i="10"/>
  <c r="BS24" i="10"/>
  <c r="BS25" i="10"/>
  <c r="BS26" i="10"/>
  <c r="BS27" i="10"/>
  <c r="BS28" i="10"/>
  <c r="BS29" i="10"/>
  <c r="BS30" i="10"/>
  <c r="BS31" i="10"/>
  <c r="BS32" i="10"/>
  <c r="BS33" i="10"/>
  <c r="BS34" i="10"/>
  <c r="BS35" i="10"/>
  <c r="BS36" i="10"/>
  <c r="BS37" i="10"/>
  <c r="BS38" i="10"/>
  <c r="BS39" i="10"/>
  <c r="BS40" i="10"/>
  <c r="BS41" i="10"/>
  <c r="BS42" i="10"/>
  <c r="BS43" i="10"/>
  <c r="BS44" i="10"/>
  <c r="BS45" i="10"/>
  <c r="BS46" i="10"/>
  <c r="BS47" i="10"/>
  <c r="BS48" i="10"/>
  <c r="BS49" i="10"/>
  <c r="BS50" i="10"/>
  <c r="BS51" i="10"/>
  <c r="BS52" i="10"/>
  <c r="BS53" i="10"/>
  <c r="BS54" i="10"/>
  <c r="BS55" i="10"/>
  <c r="BS56" i="10"/>
  <c r="BS57" i="10"/>
  <c r="BS58" i="10"/>
  <c r="BS59" i="10"/>
  <c r="BS60" i="10"/>
  <c r="BS61" i="10"/>
  <c r="BS62" i="10"/>
  <c r="BS63" i="10"/>
  <c r="BS64" i="10"/>
  <c r="BS65" i="10"/>
  <c r="BS66" i="10"/>
  <c r="BS67" i="10"/>
  <c r="BS68" i="10"/>
  <c r="BS69" i="10"/>
  <c r="BS70" i="10"/>
  <c r="BS71" i="10"/>
  <c r="BS72" i="10"/>
  <c r="BS73" i="10"/>
  <c r="BS74" i="10"/>
  <c r="BS75" i="10"/>
  <c r="BS76" i="10"/>
  <c r="BS77" i="10"/>
  <c r="BS78" i="10"/>
  <c r="BS79" i="10"/>
  <c r="BS80" i="10"/>
  <c r="BS81" i="10"/>
  <c r="BS82" i="10"/>
  <c r="BS83" i="10"/>
  <c r="BS84" i="10"/>
  <c r="BS85" i="10"/>
  <c r="BS86" i="10"/>
  <c r="BS87" i="10"/>
  <c r="BS88" i="10"/>
  <c r="BS89" i="10"/>
  <c r="BS90" i="10"/>
  <c r="BS91" i="10"/>
  <c r="BS92" i="10"/>
  <c r="BS93" i="10"/>
  <c r="BS94" i="10"/>
  <c r="BS95" i="10"/>
  <c r="BS96" i="10"/>
  <c r="BS97" i="10"/>
  <c r="BS98" i="10"/>
  <c r="BS99" i="10"/>
  <c r="BS100" i="10"/>
  <c r="BS101" i="10"/>
  <c r="BS102" i="10"/>
  <c r="BS103" i="10"/>
  <c r="BS104" i="10"/>
  <c r="BS105" i="10"/>
  <c r="BS106" i="10"/>
  <c r="BS107" i="10"/>
  <c r="BS108" i="10"/>
  <c r="BS109" i="10"/>
  <c r="BS110" i="10"/>
  <c r="BS111" i="10"/>
  <c r="BS112" i="10"/>
  <c r="BS113" i="10"/>
  <c r="BS114" i="10"/>
  <c r="BS115" i="10"/>
  <c r="BS116" i="10"/>
  <c r="BS117" i="10"/>
  <c r="BS118" i="10"/>
  <c r="BS119" i="10"/>
  <c r="BS120" i="10"/>
  <c r="BS121" i="10"/>
  <c r="BS122" i="10"/>
  <c r="BS123" i="10"/>
  <c r="BS124" i="10"/>
  <c r="BS125" i="10"/>
  <c r="BS126" i="10"/>
  <c r="BS127" i="10"/>
  <c r="BS128" i="10"/>
  <c r="BS129" i="10"/>
  <c r="BS130" i="10"/>
  <c r="BS131" i="10"/>
  <c r="BS132" i="10"/>
  <c r="BS133" i="10"/>
  <c r="BS134" i="10"/>
  <c r="BS135" i="10"/>
  <c r="BS136" i="10"/>
  <c r="BS137" i="10"/>
  <c r="BS138" i="10"/>
  <c r="BS139" i="10"/>
  <c r="BS140" i="10"/>
  <c r="BS141" i="10"/>
  <c r="BS142" i="10"/>
  <c r="BS143" i="10"/>
  <c r="BS144" i="10"/>
  <c r="BS145" i="10"/>
  <c r="BS146" i="10"/>
  <c r="BS147" i="10"/>
  <c r="BS148" i="10"/>
  <c r="BS149" i="10"/>
  <c r="BS150" i="10"/>
  <c r="BS151" i="10"/>
  <c r="BS152" i="10"/>
  <c r="BS153" i="10"/>
  <c r="BS154" i="10"/>
  <c r="BS155" i="10"/>
  <c r="BS156" i="10"/>
  <c r="BS157" i="10"/>
  <c r="BS158" i="10"/>
  <c r="BS159" i="10"/>
  <c r="BS160" i="10"/>
  <c r="BS161" i="10"/>
  <c r="BS162" i="10"/>
  <c r="BS163" i="10"/>
  <c r="BS164" i="10"/>
  <c r="BS165" i="10"/>
  <c r="BS166" i="10"/>
  <c r="BS167" i="10"/>
  <c r="BS168" i="10"/>
  <c r="BS169" i="10"/>
  <c r="BS170" i="10"/>
  <c r="BS171" i="10"/>
  <c r="BS172" i="10"/>
  <c r="BS173" i="10"/>
  <c r="BS174" i="10"/>
  <c r="BS175" i="10"/>
  <c r="BS176" i="10"/>
  <c r="BS177" i="10"/>
  <c r="BS178" i="10"/>
  <c r="BS179" i="10"/>
  <c r="BS180" i="10"/>
  <c r="BS181" i="10"/>
  <c r="BS182" i="10"/>
  <c r="BS183" i="10"/>
  <c r="BS184" i="10"/>
  <c r="BS185" i="10"/>
  <c r="BS186" i="10"/>
  <c r="BS187" i="10"/>
  <c r="BS188" i="10"/>
  <c r="BS189" i="10"/>
  <c r="BS190" i="10"/>
  <c r="BS191" i="10"/>
  <c r="BS192" i="10"/>
  <c r="BS193" i="10"/>
  <c r="BS194" i="10"/>
  <c r="BS195" i="10"/>
  <c r="BS196" i="10"/>
  <c r="BS197" i="10"/>
  <c r="BS198" i="10"/>
  <c r="BS199" i="10"/>
  <c r="BS200" i="10"/>
  <c r="BS201" i="10"/>
  <c r="BS202" i="10"/>
  <c r="BS203" i="10"/>
  <c r="BS204" i="10"/>
  <c r="BS205" i="10"/>
  <c r="BS206" i="10"/>
  <c r="BS207" i="10"/>
  <c r="BS208" i="10"/>
  <c r="BS209" i="10"/>
  <c r="BS210" i="10"/>
  <c r="BS211" i="10"/>
  <c r="BS212" i="10"/>
  <c r="BS213" i="10"/>
  <c r="BS214" i="10"/>
  <c r="BS215" i="10"/>
  <c r="BS216" i="10"/>
  <c r="BS217" i="10"/>
  <c r="BS218" i="10"/>
  <c r="BS219" i="10"/>
  <c r="BS220" i="10"/>
  <c r="BS221" i="10"/>
  <c r="BS222" i="10"/>
  <c r="BS223" i="10"/>
  <c r="BS224" i="10"/>
  <c r="BS225" i="10"/>
  <c r="BS226" i="10"/>
  <c r="BS227" i="10"/>
  <c r="BS228" i="10"/>
  <c r="BS229" i="10"/>
  <c r="BS230" i="10"/>
  <c r="BS231" i="10"/>
  <c r="BS232" i="10"/>
  <c r="BS233" i="10"/>
  <c r="BS234" i="10"/>
  <c r="BS235" i="10"/>
  <c r="BS236" i="10"/>
  <c r="BS237" i="10"/>
  <c r="BS238" i="10"/>
  <c r="BS239" i="10"/>
  <c r="BS240" i="10"/>
  <c r="BS241" i="10"/>
  <c r="BS242" i="10"/>
  <c r="BS243" i="10"/>
  <c r="BS244" i="10"/>
  <c r="BS245" i="10"/>
  <c r="BS246" i="10"/>
  <c r="BS247" i="10"/>
  <c r="BS248" i="10"/>
  <c r="BS249" i="10"/>
  <c r="BS250" i="10"/>
  <c r="BS251" i="10"/>
  <c r="BS252" i="10"/>
  <c r="BS253" i="10"/>
  <c r="BS254" i="10"/>
  <c r="BS255" i="10"/>
  <c r="BS256" i="10"/>
  <c r="BS257" i="10"/>
  <c r="BS258" i="10"/>
  <c r="BS259" i="10"/>
  <c r="BS260" i="10"/>
  <c r="BS261" i="10"/>
  <c r="BS262" i="10"/>
  <c r="BS263" i="10"/>
  <c r="BS264" i="10"/>
  <c r="BS265" i="10"/>
  <c r="BS266" i="10"/>
  <c r="BS267" i="10"/>
  <c r="BS268" i="10"/>
  <c r="BS269" i="10"/>
  <c r="BS270" i="10"/>
  <c r="BS271" i="10"/>
  <c r="BS272" i="10"/>
  <c r="BS273" i="10"/>
  <c r="BS274" i="10"/>
  <c r="BS275" i="10"/>
  <c r="BS276" i="10"/>
  <c r="BS277" i="10"/>
  <c r="BS278" i="10"/>
  <c r="BS279" i="10"/>
  <c r="BS280" i="10"/>
  <c r="BS281" i="10"/>
  <c r="BS282" i="10"/>
  <c r="BS283" i="10"/>
  <c r="BS284" i="10"/>
  <c r="BS285" i="10"/>
  <c r="BS286" i="10"/>
  <c r="BS287" i="10"/>
  <c r="BS288" i="10"/>
  <c r="BS289" i="10"/>
  <c r="BS290" i="10"/>
  <c r="BS291" i="10"/>
  <c r="BS292" i="10"/>
  <c r="BS293" i="10"/>
  <c r="BS294" i="10"/>
  <c r="BS295" i="10"/>
  <c r="BS296" i="10"/>
  <c r="BS297" i="10"/>
  <c r="BS298" i="10"/>
  <c r="BS299" i="10"/>
  <c r="BS300" i="10"/>
  <c r="BS301" i="10"/>
  <c r="BS302" i="10"/>
  <c r="BS303" i="10"/>
  <c r="BS304" i="10"/>
  <c r="BS305" i="10"/>
  <c r="BS306" i="10"/>
  <c r="BS307" i="10"/>
  <c r="BS308" i="10"/>
  <c r="BS309" i="10"/>
  <c r="BS310" i="10"/>
  <c r="BS311" i="10"/>
  <c r="BS312" i="10"/>
  <c r="BS313" i="10"/>
  <c r="BS314" i="10"/>
  <c r="BS315" i="10"/>
  <c r="BS316" i="10"/>
  <c r="BS317" i="10"/>
  <c r="BT23" i="10"/>
  <c r="BT24" i="10"/>
  <c r="BT25" i="10"/>
  <c r="BT26" i="10"/>
  <c r="BT27" i="10"/>
  <c r="BT28" i="10"/>
  <c r="BT29" i="10"/>
  <c r="BT30" i="10"/>
  <c r="BT31" i="10"/>
  <c r="BT32" i="10"/>
  <c r="BT33" i="10"/>
  <c r="BT34" i="10"/>
  <c r="BT35" i="10"/>
  <c r="BT36" i="10"/>
  <c r="BT37" i="10"/>
  <c r="BT38" i="10"/>
  <c r="BT39" i="10"/>
  <c r="BT40" i="10"/>
  <c r="BT41" i="10"/>
  <c r="BT42" i="10"/>
  <c r="BT43" i="10"/>
  <c r="BT44" i="10"/>
  <c r="BT45" i="10"/>
  <c r="BT46" i="10"/>
  <c r="BT47" i="10"/>
  <c r="BT48" i="10"/>
  <c r="BT49" i="10"/>
  <c r="BT50" i="10"/>
  <c r="BT51" i="10"/>
  <c r="BT52" i="10"/>
  <c r="BT53" i="10"/>
  <c r="BT54" i="10"/>
  <c r="BT55" i="10"/>
  <c r="BT56" i="10"/>
  <c r="BT57" i="10"/>
  <c r="BT58" i="10"/>
  <c r="BT59" i="10"/>
  <c r="BT60" i="10"/>
  <c r="BT61" i="10"/>
  <c r="BT62" i="10"/>
  <c r="BT63" i="10"/>
  <c r="BT64" i="10"/>
  <c r="BT65" i="10"/>
  <c r="BT66" i="10"/>
  <c r="BT67" i="10"/>
  <c r="BT68" i="10"/>
  <c r="BT69" i="10"/>
  <c r="BT70" i="10"/>
  <c r="BT71" i="10"/>
  <c r="BT72" i="10"/>
  <c r="BT73" i="10"/>
  <c r="BT74" i="10"/>
  <c r="BT75" i="10"/>
  <c r="BT76" i="10"/>
  <c r="BT77" i="10"/>
  <c r="BT78" i="10"/>
  <c r="BT79" i="10"/>
  <c r="BT80" i="10"/>
  <c r="BT81" i="10"/>
  <c r="BT82" i="10"/>
  <c r="BT83" i="10"/>
  <c r="BT84" i="10"/>
  <c r="BT85" i="10"/>
  <c r="BT86" i="10"/>
  <c r="BT87" i="10"/>
  <c r="BT88" i="10"/>
  <c r="BT89" i="10"/>
  <c r="BT90" i="10"/>
  <c r="BT91" i="10"/>
  <c r="BT92" i="10"/>
  <c r="BT93" i="10"/>
  <c r="BT94" i="10"/>
  <c r="BT95" i="10"/>
  <c r="BT96" i="10"/>
  <c r="BT97" i="10"/>
  <c r="BT98" i="10"/>
  <c r="BT99" i="10"/>
  <c r="BT100" i="10"/>
  <c r="BT101" i="10"/>
  <c r="BT102" i="10"/>
  <c r="BT103" i="10"/>
  <c r="BT104" i="10"/>
  <c r="BT105" i="10"/>
  <c r="BT106" i="10"/>
  <c r="BT107" i="10"/>
  <c r="BT108" i="10"/>
  <c r="BT109" i="10"/>
  <c r="BT110" i="10"/>
  <c r="BT111" i="10"/>
  <c r="BT112" i="10"/>
  <c r="BT113" i="10"/>
  <c r="BT114" i="10"/>
  <c r="BT115" i="10"/>
  <c r="BT116" i="10"/>
  <c r="BT117" i="10"/>
  <c r="BT118" i="10"/>
  <c r="BT119" i="10"/>
  <c r="BT120" i="10"/>
  <c r="BT121" i="10"/>
  <c r="BT122" i="10"/>
  <c r="BT123" i="10"/>
  <c r="BT124" i="10"/>
  <c r="BT125" i="10"/>
  <c r="BT126" i="10"/>
  <c r="BT127" i="10"/>
  <c r="BT128" i="10"/>
  <c r="BT129" i="10"/>
  <c r="BT130" i="10"/>
  <c r="BT131" i="10"/>
  <c r="BT132" i="10"/>
  <c r="BT133" i="10"/>
  <c r="BT134" i="10"/>
  <c r="BT135" i="10"/>
  <c r="BT136" i="10"/>
  <c r="BT137" i="10"/>
  <c r="BT138" i="10"/>
  <c r="BT139" i="10"/>
  <c r="BT140" i="10"/>
  <c r="BT141" i="10"/>
  <c r="BT142" i="10"/>
  <c r="BT143" i="10"/>
  <c r="BT144" i="10"/>
  <c r="BT145" i="10"/>
  <c r="BT146" i="10"/>
  <c r="BT147" i="10"/>
  <c r="BT148" i="10"/>
  <c r="BT149" i="10"/>
  <c r="BT150" i="10"/>
  <c r="BT151" i="10"/>
  <c r="BT152" i="10"/>
  <c r="BT153" i="10"/>
  <c r="BT154" i="10"/>
  <c r="BT155" i="10"/>
  <c r="BT156" i="10"/>
  <c r="BT157" i="10"/>
  <c r="BT158" i="10"/>
  <c r="BT159" i="10"/>
  <c r="BT160" i="10"/>
  <c r="BT161" i="10"/>
  <c r="BT162" i="10"/>
  <c r="BT163" i="10"/>
  <c r="BT164" i="10"/>
  <c r="BT165" i="10"/>
  <c r="BT166" i="10"/>
  <c r="BT167" i="10"/>
  <c r="BT168" i="10"/>
  <c r="BT169" i="10"/>
  <c r="BT170" i="10"/>
  <c r="BT171" i="10"/>
  <c r="BT172" i="10"/>
  <c r="BT173" i="10"/>
  <c r="BT174" i="10"/>
  <c r="BT175" i="10"/>
  <c r="BT176" i="10"/>
  <c r="BT177" i="10"/>
  <c r="BT178" i="10"/>
  <c r="BT179" i="10"/>
  <c r="BT180" i="10"/>
  <c r="BT181" i="10"/>
  <c r="BT182" i="10"/>
  <c r="BT183" i="10"/>
  <c r="BT184" i="10"/>
  <c r="BT185" i="10"/>
  <c r="BT186" i="10"/>
  <c r="BT187" i="10"/>
  <c r="BT188" i="10"/>
  <c r="BT189" i="10"/>
  <c r="BT190" i="10"/>
  <c r="BT191" i="10"/>
  <c r="BT192" i="10"/>
  <c r="BT193" i="10"/>
  <c r="BT194" i="10"/>
  <c r="BT195" i="10"/>
  <c r="BT196" i="10"/>
  <c r="BT197" i="10"/>
  <c r="BT198" i="10"/>
  <c r="BT199" i="10"/>
  <c r="BT200" i="10"/>
  <c r="BT201" i="10"/>
  <c r="BT202" i="10"/>
  <c r="BT203" i="10"/>
  <c r="BT204" i="10"/>
  <c r="BT205" i="10"/>
  <c r="BT206" i="10"/>
  <c r="BT207" i="10"/>
  <c r="BT208" i="10"/>
  <c r="BT209" i="10"/>
  <c r="BT210" i="10"/>
  <c r="BT211" i="10"/>
  <c r="BT212" i="10"/>
  <c r="BT213" i="10"/>
  <c r="BT214" i="10"/>
  <c r="BT215" i="10"/>
  <c r="BT216" i="10"/>
  <c r="BT217" i="10"/>
  <c r="BT218" i="10"/>
  <c r="BT219" i="10"/>
  <c r="BT220" i="10"/>
  <c r="BT221" i="10"/>
  <c r="BT222" i="10"/>
  <c r="BT223" i="10"/>
  <c r="BT224" i="10"/>
  <c r="BT225" i="10"/>
  <c r="BT226" i="10"/>
  <c r="BT227" i="10"/>
  <c r="BT228" i="10"/>
  <c r="BT229" i="10"/>
  <c r="BT230" i="10"/>
  <c r="BT231" i="10"/>
  <c r="BT232" i="10"/>
  <c r="BT233" i="10"/>
  <c r="BT234" i="10"/>
  <c r="BT235" i="10"/>
  <c r="BT236" i="10"/>
  <c r="BT237" i="10"/>
  <c r="BT238" i="10"/>
  <c r="BT239" i="10"/>
  <c r="BT240" i="10"/>
  <c r="BT241" i="10"/>
  <c r="BT242" i="10"/>
  <c r="BT243" i="10"/>
  <c r="BT244" i="10"/>
  <c r="BT245" i="10"/>
  <c r="BT246" i="10"/>
  <c r="BT247" i="10"/>
  <c r="BT248" i="10"/>
  <c r="BT249" i="10"/>
  <c r="BT250" i="10"/>
  <c r="BT251" i="10"/>
  <c r="BT252" i="10"/>
  <c r="BT253" i="10"/>
  <c r="BT254" i="10"/>
  <c r="BT255" i="10"/>
  <c r="BT256" i="10"/>
  <c r="BT257" i="10"/>
  <c r="BT258" i="10"/>
  <c r="BT259" i="10"/>
  <c r="BT260" i="10"/>
  <c r="BT261" i="10"/>
  <c r="BT262" i="10"/>
  <c r="BT263" i="10"/>
  <c r="BT264" i="10"/>
  <c r="BT265" i="10"/>
  <c r="BT266" i="10"/>
  <c r="BT267" i="10"/>
  <c r="BT268" i="10"/>
  <c r="BT269" i="10"/>
  <c r="BT270" i="10"/>
  <c r="BT271" i="10"/>
  <c r="BT272" i="10"/>
  <c r="BT273" i="10"/>
  <c r="BT274" i="10"/>
  <c r="BT275" i="10"/>
  <c r="BT276" i="10"/>
  <c r="BT277" i="10"/>
  <c r="BT278" i="10"/>
  <c r="BT279" i="10"/>
  <c r="BT280" i="10"/>
  <c r="BT281" i="10"/>
  <c r="BT282" i="10"/>
  <c r="BT283" i="10"/>
  <c r="BT284" i="10"/>
  <c r="BT285" i="10"/>
  <c r="BT286" i="10"/>
  <c r="BT287" i="10"/>
  <c r="BT288" i="10"/>
  <c r="BT289" i="10"/>
  <c r="BT290" i="10"/>
  <c r="BT291" i="10"/>
  <c r="BT292" i="10"/>
  <c r="BT293" i="10"/>
  <c r="BT294" i="10"/>
  <c r="BT295" i="10"/>
  <c r="BT296" i="10"/>
  <c r="BT297" i="10"/>
  <c r="BT298" i="10"/>
  <c r="BT299" i="10"/>
  <c r="BT300" i="10"/>
  <c r="BT301" i="10"/>
  <c r="BT302" i="10"/>
  <c r="BT303" i="10"/>
  <c r="BT304" i="10"/>
  <c r="BT305" i="10"/>
  <c r="BT306" i="10"/>
  <c r="BT307" i="10"/>
  <c r="BT308" i="10"/>
  <c r="BT309" i="10"/>
  <c r="BT310" i="10"/>
  <c r="BT311" i="10"/>
  <c r="BT312" i="10"/>
  <c r="BT313" i="10"/>
  <c r="BT314" i="10"/>
  <c r="BT315" i="10"/>
  <c r="BT316" i="10"/>
  <c r="BT317" i="10"/>
  <c r="BG23" i="10"/>
  <c r="BH23" i="10"/>
  <c r="BI23" i="10"/>
  <c r="BJ23" i="10"/>
  <c r="BK23" i="10"/>
  <c r="BG24" i="10"/>
  <c r="BH24" i="10"/>
  <c r="BI24" i="10"/>
  <c r="BJ24" i="10"/>
  <c r="BK24" i="10"/>
  <c r="BG25" i="10"/>
  <c r="BH25" i="10"/>
  <c r="BI25" i="10"/>
  <c r="BJ25" i="10"/>
  <c r="BK25" i="10"/>
  <c r="BG26" i="10"/>
  <c r="BH26" i="10"/>
  <c r="BI26" i="10"/>
  <c r="BJ26" i="10"/>
  <c r="BK26" i="10"/>
  <c r="BG27" i="10"/>
  <c r="BH27" i="10"/>
  <c r="BI27" i="10"/>
  <c r="BJ27" i="10"/>
  <c r="BK27" i="10"/>
  <c r="BG28" i="10"/>
  <c r="BH28" i="10"/>
  <c r="BI28" i="10"/>
  <c r="BJ28" i="10"/>
  <c r="BK28" i="10"/>
  <c r="BG29" i="10"/>
  <c r="BH29" i="10"/>
  <c r="BI29" i="10"/>
  <c r="BJ29" i="10"/>
  <c r="BK29" i="10"/>
  <c r="BG30" i="10"/>
  <c r="BH30" i="10"/>
  <c r="BI30" i="10"/>
  <c r="BJ30" i="10"/>
  <c r="BK30" i="10"/>
  <c r="BG31" i="10"/>
  <c r="BH31" i="10"/>
  <c r="BI31" i="10"/>
  <c r="BJ31" i="10"/>
  <c r="BK31" i="10"/>
  <c r="BG32" i="10"/>
  <c r="BH32" i="10"/>
  <c r="BI32" i="10"/>
  <c r="BJ32" i="10"/>
  <c r="BK32" i="10"/>
  <c r="BG33" i="10"/>
  <c r="BH33" i="10"/>
  <c r="BI33" i="10"/>
  <c r="BJ33" i="10"/>
  <c r="BK33" i="10"/>
  <c r="BG34" i="10"/>
  <c r="BH34" i="10"/>
  <c r="BI34" i="10"/>
  <c r="BJ34" i="10"/>
  <c r="BK34" i="10"/>
  <c r="BG35" i="10"/>
  <c r="BH35" i="10"/>
  <c r="BI35" i="10"/>
  <c r="BJ35" i="10"/>
  <c r="BK35" i="10"/>
  <c r="BG36" i="10"/>
  <c r="BH36" i="10"/>
  <c r="BI36" i="10"/>
  <c r="BJ36" i="10"/>
  <c r="BK36" i="10"/>
  <c r="BG37" i="10"/>
  <c r="BH37" i="10"/>
  <c r="BI37" i="10"/>
  <c r="BJ37" i="10"/>
  <c r="BK37" i="10"/>
  <c r="BG38" i="10"/>
  <c r="BH38" i="10"/>
  <c r="BI38" i="10"/>
  <c r="BJ38" i="10"/>
  <c r="BK38" i="10"/>
  <c r="BG39" i="10"/>
  <c r="BH39" i="10"/>
  <c r="BI39" i="10"/>
  <c r="BJ39" i="10"/>
  <c r="BK39" i="10"/>
  <c r="BG40" i="10"/>
  <c r="BH40" i="10"/>
  <c r="BI40" i="10"/>
  <c r="BJ40" i="10"/>
  <c r="BK40" i="10"/>
  <c r="BG41" i="10"/>
  <c r="BH41" i="10"/>
  <c r="BI41" i="10"/>
  <c r="BJ41" i="10"/>
  <c r="BK41" i="10"/>
  <c r="BG42" i="10"/>
  <c r="BH42" i="10"/>
  <c r="BI42" i="10"/>
  <c r="BJ42" i="10"/>
  <c r="BK42" i="10"/>
  <c r="BG43" i="10"/>
  <c r="BH43" i="10"/>
  <c r="BI43" i="10"/>
  <c r="BJ43" i="10"/>
  <c r="BK43" i="10"/>
  <c r="BG44" i="10"/>
  <c r="BH44" i="10"/>
  <c r="BI44" i="10"/>
  <c r="BJ44" i="10"/>
  <c r="BK44" i="10"/>
  <c r="BG45" i="10"/>
  <c r="BH45" i="10"/>
  <c r="BI45" i="10"/>
  <c r="BJ45" i="10"/>
  <c r="BK45" i="10"/>
  <c r="BG46" i="10"/>
  <c r="BH46" i="10"/>
  <c r="BI46" i="10"/>
  <c r="BJ46" i="10"/>
  <c r="BK46" i="10"/>
  <c r="BG47" i="10"/>
  <c r="BH47" i="10"/>
  <c r="BI47" i="10"/>
  <c r="BJ47" i="10"/>
  <c r="BK47" i="10"/>
  <c r="BG48" i="10"/>
  <c r="BH48" i="10"/>
  <c r="BI48" i="10"/>
  <c r="BJ48" i="10"/>
  <c r="BK48" i="10"/>
  <c r="BG49" i="10"/>
  <c r="BH49" i="10"/>
  <c r="BI49" i="10"/>
  <c r="BJ49" i="10"/>
  <c r="BK49" i="10"/>
  <c r="BG50" i="10"/>
  <c r="BH50" i="10"/>
  <c r="BI50" i="10"/>
  <c r="BJ50" i="10"/>
  <c r="BK50" i="10"/>
  <c r="BG51" i="10"/>
  <c r="BH51" i="10"/>
  <c r="BI51" i="10"/>
  <c r="BJ51" i="10"/>
  <c r="BK51" i="10"/>
  <c r="BG52" i="10"/>
  <c r="BH52" i="10"/>
  <c r="BI52" i="10"/>
  <c r="BJ52" i="10"/>
  <c r="BK52" i="10"/>
  <c r="BG53" i="10"/>
  <c r="BH53" i="10"/>
  <c r="BI53" i="10"/>
  <c r="BJ53" i="10"/>
  <c r="BK53" i="10"/>
  <c r="BG54" i="10"/>
  <c r="BH54" i="10"/>
  <c r="BI54" i="10"/>
  <c r="BJ54" i="10"/>
  <c r="BK54" i="10"/>
  <c r="BG55" i="10"/>
  <c r="BH55" i="10"/>
  <c r="BI55" i="10"/>
  <c r="BJ55" i="10"/>
  <c r="BK55" i="10"/>
  <c r="BG56" i="10"/>
  <c r="BH56" i="10"/>
  <c r="BI56" i="10"/>
  <c r="BJ56" i="10"/>
  <c r="BK56" i="10"/>
  <c r="BG57" i="10"/>
  <c r="BH57" i="10"/>
  <c r="BI57" i="10"/>
  <c r="BJ57" i="10"/>
  <c r="BK57" i="10"/>
  <c r="BG58" i="10"/>
  <c r="BH58" i="10"/>
  <c r="BI58" i="10"/>
  <c r="BJ58" i="10"/>
  <c r="BK58" i="10"/>
  <c r="BG59" i="10"/>
  <c r="BH59" i="10"/>
  <c r="BI59" i="10"/>
  <c r="BJ59" i="10"/>
  <c r="BK59" i="10"/>
  <c r="BG60" i="10"/>
  <c r="BH60" i="10"/>
  <c r="BI60" i="10"/>
  <c r="BJ60" i="10"/>
  <c r="BK60" i="10"/>
  <c r="BG61" i="10"/>
  <c r="BH61" i="10"/>
  <c r="BI61" i="10"/>
  <c r="BJ61" i="10"/>
  <c r="BK61" i="10"/>
  <c r="BG62" i="10"/>
  <c r="BH62" i="10"/>
  <c r="BI62" i="10"/>
  <c r="BJ62" i="10"/>
  <c r="BK62" i="10"/>
  <c r="BG63" i="10"/>
  <c r="BH63" i="10"/>
  <c r="BI63" i="10"/>
  <c r="BJ63" i="10"/>
  <c r="BK63" i="10"/>
  <c r="BG64" i="10"/>
  <c r="BH64" i="10"/>
  <c r="BI64" i="10"/>
  <c r="BJ64" i="10"/>
  <c r="BK64" i="10"/>
  <c r="BG65" i="10"/>
  <c r="BH65" i="10"/>
  <c r="BI65" i="10"/>
  <c r="BJ65" i="10"/>
  <c r="BK65" i="10"/>
  <c r="BG66" i="10"/>
  <c r="BH66" i="10"/>
  <c r="BI66" i="10"/>
  <c r="BJ66" i="10"/>
  <c r="BK66" i="10"/>
  <c r="BG67" i="10"/>
  <c r="BH67" i="10"/>
  <c r="BI67" i="10"/>
  <c r="BJ67" i="10"/>
  <c r="BK67" i="10"/>
  <c r="BG68" i="10"/>
  <c r="BH68" i="10"/>
  <c r="BI68" i="10"/>
  <c r="BJ68" i="10"/>
  <c r="BK68" i="10"/>
  <c r="BG69" i="10"/>
  <c r="BH69" i="10"/>
  <c r="BI69" i="10"/>
  <c r="BJ69" i="10"/>
  <c r="BK69" i="10"/>
  <c r="BG70" i="10"/>
  <c r="BH70" i="10"/>
  <c r="BI70" i="10"/>
  <c r="BJ70" i="10"/>
  <c r="BK70" i="10"/>
  <c r="BG71" i="10"/>
  <c r="BH71" i="10"/>
  <c r="BI71" i="10"/>
  <c r="BJ71" i="10"/>
  <c r="BK71" i="10"/>
  <c r="BG72" i="10"/>
  <c r="BH72" i="10"/>
  <c r="BI72" i="10"/>
  <c r="BJ72" i="10"/>
  <c r="BK72" i="10"/>
  <c r="BG73" i="10"/>
  <c r="BH73" i="10"/>
  <c r="BI73" i="10"/>
  <c r="BJ73" i="10"/>
  <c r="BK73" i="10"/>
  <c r="BG74" i="10"/>
  <c r="BH74" i="10"/>
  <c r="BI74" i="10"/>
  <c r="BJ74" i="10"/>
  <c r="BK74" i="10"/>
  <c r="BG75" i="10"/>
  <c r="BH75" i="10"/>
  <c r="BI75" i="10"/>
  <c r="BJ75" i="10"/>
  <c r="BK75" i="10"/>
  <c r="BG76" i="10"/>
  <c r="BH76" i="10"/>
  <c r="BI76" i="10"/>
  <c r="BJ76" i="10"/>
  <c r="BK76" i="10"/>
  <c r="BG77" i="10"/>
  <c r="BH77" i="10"/>
  <c r="BI77" i="10"/>
  <c r="BJ77" i="10"/>
  <c r="BK77" i="10"/>
  <c r="BG78" i="10"/>
  <c r="BH78" i="10"/>
  <c r="BI78" i="10"/>
  <c r="BJ78" i="10"/>
  <c r="BK78" i="10"/>
  <c r="BG79" i="10"/>
  <c r="BH79" i="10"/>
  <c r="BI79" i="10"/>
  <c r="BJ79" i="10"/>
  <c r="BK79" i="10"/>
  <c r="BG80" i="10"/>
  <c r="BH80" i="10"/>
  <c r="BI80" i="10"/>
  <c r="BJ80" i="10"/>
  <c r="BK80" i="10"/>
  <c r="BG81" i="10"/>
  <c r="BH81" i="10"/>
  <c r="BI81" i="10"/>
  <c r="BJ81" i="10"/>
  <c r="BK81" i="10"/>
  <c r="BG82" i="10"/>
  <c r="BH82" i="10"/>
  <c r="BI82" i="10"/>
  <c r="BJ82" i="10"/>
  <c r="BK82" i="10"/>
  <c r="BG83" i="10"/>
  <c r="BH83" i="10"/>
  <c r="BI83" i="10"/>
  <c r="BJ83" i="10"/>
  <c r="BK83" i="10"/>
  <c r="BG84" i="10"/>
  <c r="BH84" i="10"/>
  <c r="BI84" i="10"/>
  <c r="BJ84" i="10"/>
  <c r="BK84" i="10"/>
  <c r="BG85" i="10"/>
  <c r="BH85" i="10"/>
  <c r="BI85" i="10"/>
  <c r="BJ85" i="10"/>
  <c r="BK85" i="10"/>
  <c r="BG86" i="10"/>
  <c r="BH86" i="10"/>
  <c r="BI86" i="10"/>
  <c r="BJ86" i="10"/>
  <c r="BK86" i="10"/>
  <c r="BG87" i="10"/>
  <c r="BH87" i="10"/>
  <c r="BI87" i="10"/>
  <c r="BJ87" i="10"/>
  <c r="BK87" i="10"/>
  <c r="BG88" i="10"/>
  <c r="BH88" i="10"/>
  <c r="BI88" i="10"/>
  <c r="BJ88" i="10"/>
  <c r="BK88" i="10"/>
  <c r="BG89" i="10"/>
  <c r="BH89" i="10"/>
  <c r="BI89" i="10"/>
  <c r="BJ89" i="10"/>
  <c r="BK89" i="10"/>
  <c r="BG90" i="10"/>
  <c r="BH90" i="10"/>
  <c r="BI90" i="10"/>
  <c r="BJ90" i="10"/>
  <c r="BK90" i="10"/>
  <c r="BG91" i="10"/>
  <c r="BH91" i="10"/>
  <c r="BI91" i="10"/>
  <c r="BJ91" i="10"/>
  <c r="BK91" i="10"/>
  <c r="BG92" i="10"/>
  <c r="BH92" i="10"/>
  <c r="BI92" i="10"/>
  <c r="BJ92" i="10"/>
  <c r="BK92" i="10"/>
  <c r="BG93" i="10"/>
  <c r="BH93" i="10"/>
  <c r="BI93" i="10"/>
  <c r="BJ93" i="10"/>
  <c r="BK93" i="10"/>
  <c r="BG94" i="10"/>
  <c r="BH94" i="10"/>
  <c r="BI94" i="10"/>
  <c r="BJ94" i="10"/>
  <c r="BK94" i="10"/>
  <c r="BG95" i="10"/>
  <c r="BH95" i="10"/>
  <c r="BI95" i="10"/>
  <c r="BJ95" i="10"/>
  <c r="BK95" i="10"/>
  <c r="BG96" i="10"/>
  <c r="BH96" i="10"/>
  <c r="BI96" i="10"/>
  <c r="BJ96" i="10"/>
  <c r="BK96" i="10"/>
  <c r="BG97" i="10"/>
  <c r="BH97" i="10"/>
  <c r="BI97" i="10"/>
  <c r="BJ97" i="10"/>
  <c r="BK97" i="10"/>
  <c r="BG98" i="10"/>
  <c r="BH98" i="10"/>
  <c r="BI98" i="10"/>
  <c r="BJ98" i="10"/>
  <c r="BK98" i="10"/>
  <c r="BG99" i="10"/>
  <c r="BH99" i="10"/>
  <c r="BI99" i="10"/>
  <c r="BJ99" i="10"/>
  <c r="BK99" i="10"/>
  <c r="BG100" i="10"/>
  <c r="BH100" i="10"/>
  <c r="BI100" i="10"/>
  <c r="BJ100" i="10"/>
  <c r="BK100" i="10"/>
  <c r="BG101" i="10"/>
  <c r="BH101" i="10"/>
  <c r="BI101" i="10"/>
  <c r="BJ101" i="10"/>
  <c r="BK101" i="10"/>
  <c r="BG102" i="10"/>
  <c r="BH102" i="10"/>
  <c r="BI102" i="10"/>
  <c r="BJ102" i="10"/>
  <c r="BK102" i="10"/>
  <c r="BG103" i="10"/>
  <c r="BH103" i="10"/>
  <c r="BI103" i="10"/>
  <c r="BJ103" i="10"/>
  <c r="BK103" i="10"/>
  <c r="BG104" i="10"/>
  <c r="BH104" i="10"/>
  <c r="BI104" i="10"/>
  <c r="BJ104" i="10"/>
  <c r="BK104" i="10"/>
  <c r="BG105" i="10"/>
  <c r="BH105" i="10"/>
  <c r="BI105" i="10"/>
  <c r="BJ105" i="10"/>
  <c r="BK105" i="10"/>
  <c r="BG106" i="10"/>
  <c r="BH106" i="10"/>
  <c r="BI106" i="10"/>
  <c r="BJ106" i="10"/>
  <c r="BK106" i="10"/>
  <c r="BG107" i="10"/>
  <c r="BH107" i="10"/>
  <c r="BI107" i="10"/>
  <c r="BJ107" i="10"/>
  <c r="BK107" i="10"/>
  <c r="BG108" i="10"/>
  <c r="BH108" i="10"/>
  <c r="BI108" i="10"/>
  <c r="BJ108" i="10"/>
  <c r="BK108" i="10"/>
  <c r="BG109" i="10"/>
  <c r="BH109" i="10"/>
  <c r="BI109" i="10"/>
  <c r="BJ109" i="10"/>
  <c r="BK109" i="10"/>
  <c r="BG110" i="10"/>
  <c r="BH110" i="10"/>
  <c r="BI110" i="10"/>
  <c r="BJ110" i="10"/>
  <c r="BK110" i="10"/>
  <c r="BG111" i="10"/>
  <c r="BH111" i="10"/>
  <c r="BI111" i="10"/>
  <c r="BJ111" i="10"/>
  <c r="BK111" i="10"/>
  <c r="BG112" i="10"/>
  <c r="BH112" i="10"/>
  <c r="BI112" i="10"/>
  <c r="BJ112" i="10"/>
  <c r="BK112" i="10"/>
  <c r="BG113" i="10"/>
  <c r="BH113" i="10"/>
  <c r="BI113" i="10"/>
  <c r="BJ113" i="10"/>
  <c r="BK113" i="10"/>
  <c r="BG114" i="10"/>
  <c r="BH114" i="10"/>
  <c r="BI114" i="10"/>
  <c r="BJ114" i="10"/>
  <c r="BK114" i="10"/>
  <c r="BG115" i="10"/>
  <c r="BH115" i="10"/>
  <c r="BI115" i="10"/>
  <c r="BJ115" i="10"/>
  <c r="BK115" i="10"/>
  <c r="BG116" i="10"/>
  <c r="BH116" i="10"/>
  <c r="BI116" i="10"/>
  <c r="BJ116" i="10"/>
  <c r="BK116" i="10"/>
  <c r="BG117" i="10"/>
  <c r="BH117" i="10"/>
  <c r="BI117" i="10"/>
  <c r="BJ117" i="10"/>
  <c r="BK117" i="10"/>
  <c r="BG118" i="10"/>
  <c r="BH118" i="10"/>
  <c r="BI118" i="10"/>
  <c r="BJ118" i="10"/>
  <c r="BK118" i="10"/>
  <c r="BG119" i="10"/>
  <c r="BH119" i="10"/>
  <c r="BI119" i="10"/>
  <c r="BJ119" i="10"/>
  <c r="BK119" i="10"/>
  <c r="BG120" i="10"/>
  <c r="BH120" i="10"/>
  <c r="BI120" i="10"/>
  <c r="BJ120" i="10"/>
  <c r="BK120" i="10"/>
  <c r="BG121" i="10"/>
  <c r="BH121" i="10"/>
  <c r="BI121" i="10"/>
  <c r="BJ121" i="10"/>
  <c r="BK121" i="10"/>
  <c r="BG122" i="10"/>
  <c r="BH122" i="10"/>
  <c r="BI122" i="10"/>
  <c r="BJ122" i="10"/>
  <c r="BK122" i="10"/>
  <c r="BG123" i="10"/>
  <c r="BH123" i="10"/>
  <c r="BI123" i="10"/>
  <c r="BJ123" i="10"/>
  <c r="BK123" i="10"/>
  <c r="BG124" i="10"/>
  <c r="BH124" i="10"/>
  <c r="BI124" i="10"/>
  <c r="BJ124" i="10"/>
  <c r="BK124" i="10"/>
  <c r="BG125" i="10"/>
  <c r="BH125" i="10"/>
  <c r="BI125" i="10"/>
  <c r="BJ125" i="10"/>
  <c r="BK125" i="10"/>
  <c r="BG126" i="10"/>
  <c r="BH126" i="10"/>
  <c r="BI126" i="10"/>
  <c r="BJ126" i="10"/>
  <c r="BK126" i="10"/>
  <c r="BG127" i="10"/>
  <c r="BH127" i="10"/>
  <c r="BI127" i="10"/>
  <c r="BJ127" i="10"/>
  <c r="BK127" i="10"/>
  <c r="BG128" i="10"/>
  <c r="BH128" i="10"/>
  <c r="BI128" i="10"/>
  <c r="BJ128" i="10"/>
  <c r="BK128" i="10"/>
  <c r="BG129" i="10"/>
  <c r="BH129" i="10"/>
  <c r="BI129" i="10"/>
  <c r="BJ129" i="10"/>
  <c r="BK129" i="10"/>
  <c r="BG130" i="10"/>
  <c r="BH130" i="10"/>
  <c r="BI130" i="10"/>
  <c r="BJ130" i="10"/>
  <c r="BK130" i="10"/>
  <c r="BG131" i="10"/>
  <c r="BH131" i="10"/>
  <c r="BI131" i="10"/>
  <c r="BJ131" i="10"/>
  <c r="BK131" i="10"/>
  <c r="BG132" i="10"/>
  <c r="BH132" i="10"/>
  <c r="BI132" i="10"/>
  <c r="BJ132" i="10"/>
  <c r="BK132" i="10"/>
  <c r="BG133" i="10"/>
  <c r="BH133" i="10"/>
  <c r="BI133" i="10"/>
  <c r="BJ133" i="10"/>
  <c r="BK133" i="10"/>
  <c r="BG134" i="10"/>
  <c r="BH134" i="10"/>
  <c r="BI134" i="10"/>
  <c r="BJ134" i="10"/>
  <c r="BK134" i="10"/>
  <c r="BG135" i="10"/>
  <c r="BH135" i="10"/>
  <c r="BI135" i="10"/>
  <c r="BJ135" i="10"/>
  <c r="BK135" i="10"/>
  <c r="BG136" i="10"/>
  <c r="BH136" i="10"/>
  <c r="BI136" i="10"/>
  <c r="BJ136" i="10"/>
  <c r="BK136" i="10"/>
  <c r="BG137" i="10"/>
  <c r="BH137" i="10"/>
  <c r="BI137" i="10"/>
  <c r="BJ137" i="10"/>
  <c r="BK137" i="10"/>
  <c r="BG138" i="10"/>
  <c r="BH138" i="10"/>
  <c r="BI138" i="10"/>
  <c r="BJ138" i="10"/>
  <c r="BK138" i="10"/>
  <c r="BG139" i="10"/>
  <c r="BH139" i="10"/>
  <c r="BI139" i="10"/>
  <c r="BJ139" i="10"/>
  <c r="BK139" i="10"/>
  <c r="BG140" i="10"/>
  <c r="BH140" i="10"/>
  <c r="BI140" i="10"/>
  <c r="BJ140" i="10"/>
  <c r="BK140" i="10"/>
  <c r="BG141" i="10"/>
  <c r="BH141" i="10"/>
  <c r="BI141" i="10"/>
  <c r="BJ141" i="10"/>
  <c r="BK141" i="10"/>
  <c r="BG142" i="10"/>
  <c r="BH142" i="10"/>
  <c r="BI142" i="10"/>
  <c r="BJ142" i="10"/>
  <c r="BK142" i="10"/>
  <c r="BG143" i="10"/>
  <c r="BH143" i="10"/>
  <c r="BI143" i="10"/>
  <c r="BJ143" i="10"/>
  <c r="BK143" i="10"/>
  <c r="BG144" i="10"/>
  <c r="BH144" i="10"/>
  <c r="BI144" i="10"/>
  <c r="BJ144" i="10"/>
  <c r="BK144" i="10"/>
  <c r="BG145" i="10"/>
  <c r="BH145" i="10"/>
  <c r="BI145" i="10"/>
  <c r="BJ145" i="10"/>
  <c r="BK145" i="10"/>
  <c r="BG146" i="10"/>
  <c r="BH146" i="10"/>
  <c r="BI146" i="10"/>
  <c r="BJ146" i="10"/>
  <c r="BK146" i="10"/>
  <c r="BG147" i="10"/>
  <c r="BH147" i="10"/>
  <c r="BI147" i="10"/>
  <c r="BJ147" i="10"/>
  <c r="BK147" i="10"/>
  <c r="BG148" i="10"/>
  <c r="BH148" i="10"/>
  <c r="BI148" i="10"/>
  <c r="BJ148" i="10"/>
  <c r="BK148" i="10"/>
  <c r="BG149" i="10"/>
  <c r="BH149" i="10"/>
  <c r="BI149" i="10"/>
  <c r="BJ149" i="10"/>
  <c r="BK149" i="10"/>
  <c r="BG150" i="10"/>
  <c r="BH150" i="10"/>
  <c r="BI150" i="10"/>
  <c r="BJ150" i="10"/>
  <c r="BK150" i="10"/>
  <c r="BG151" i="10"/>
  <c r="BH151" i="10"/>
  <c r="BI151" i="10"/>
  <c r="BJ151" i="10"/>
  <c r="BK151" i="10"/>
  <c r="BG152" i="10"/>
  <c r="BH152" i="10"/>
  <c r="BI152" i="10"/>
  <c r="BJ152" i="10"/>
  <c r="BK152" i="10"/>
  <c r="BG153" i="10"/>
  <c r="BH153" i="10"/>
  <c r="BI153" i="10"/>
  <c r="BJ153" i="10"/>
  <c r="BK153" i="10"/>
  <c r="BG154" i="10"/>
  <c r="BH154" i="10"/>
  <c r="BI154" i="10"/>
  <c r="BJ154" i="10"/>
  <c r="BK154" i="10"/>
  <c r="BG155" i="10"/>
  <c r="BH155" i="10"/>
  <c r="BI155" i="10"/>
  <c r="BJ155" i="10"/>
  <c r="BK155" i="10"/>
  <c r="BG156" i="10"/>
  <c r="BH156" i="10"/>
  <c r="BI156" i="10"/>
  <c r="BJ156" i="10"/>
  <c r="BK156" i="10"/>
  <c r="BG157" i="10"/>
  <c r="BH157" i="10"/>
  <c r="BI157" i="10"/>
  <c r="BJ157" i="10"/>
  <c r="BK157" i="10"/>
  <c r="BG158" i="10"/>
  <c r="BH158" i="10"/>
  <c r="BI158" i="10"/>
  <c r="BJ158" i="10"/>
  <c r="BK158" i="10"/>
  <c r="BG159" i="10"/>
  <c r="BH159" i="10"/>
  <c r="BI159" i="10"/>
  <c r="BJ159" i="10"/>
  <c r="BK159" i="10"/>
  <c r="BG160" i="10"/>
  <c r="BH160" i="10"/>
  <c r="BI160" i="10"/>
  <c r="BJ160" i="10"/>
  <c r="BK160" i="10"/>
  <c r="BG161" i="10"/>
  <c r="BH161" i="10"/>
  <c r="BI161" i="10"/>
  <c r="BJ161" i="10"/>
  <c r="BK161" i="10"/>
  <c r="BG162" i="10"/>
  <c r="BH162" i="10"/>
  <c r="BI162" i="10"/>
  <c r="BJ162" i="10"/>
  <c r="BK162" i="10"/>
  <c r="BG163" i="10"/>
  <c r="BH163" i="10"/>
  <c r="BI163" i="10"/>
  <c r="BJ163" i="10"/>
  <c r="BK163" i="10"/>
  <c r="BG164" i="10"/>
  <c r="BH164" i="10"/>
  <c r="BI164" i="10"/>
  <c r="BJ164" i="10"/>
  <c r="BK164" i="10"/>
  <c r="BG165" i="10"/>
  <c r="BH165" i="10"/>
  <c r="BI165" i="10"/>
  <c r="BJ165" i="10"/>
  <c r="BK165" i="10"/>
  <c r="BG166" i="10"/>
  <c r="BH166" i="10"/>
  <c r="BI166" i="10"/>
  <c r="BJ166" i="10"/>
  <c r="BK166" i="10"/>
  <c r="BG167" i="10"/>
  <c r="BH167" i="10"/>
  <c r="BI167" i="10"/>
  <c r="BJ167" i="10"/>
  <c r="BK167" i="10"/>
  <c r="BG168" i="10"/>
  <c r="BH168" i="10"/>
  <c r="BI168" i="10"/>
  <c r="BJ168" i="10"/>
  <c r="BK168" i="10"/>
  <c r="BG169" i="10"/>
  <c r="BH169" i="10"/>
  <c r="BI169" i="10"/>
  <c r="BJ169" i="10"/>
  <c r="BK169" i="10"/>
  <c r="BG170" i="10"/>
  <c r="BH170" i="10"/>
  <c r="BI170" i="10"/>
  <c r="BJ170" i="10"/>
  <c r="BK170" i="10"/>
  <c r="BG171" i="10"/>
  <c r="BH171" i="10"/>
  <c r="BI171" i="10"/>
  <c r="BJ171" i="10"/>
  <c r="BK171" i="10"/>
  <c r="BG172" i="10"/>
  <c r="BH172" i="10"/>
  <c r="BI172" i="10"/>
  <c r="BJ172" i="10"/>
  <c r="BK172" i="10"/>
  <c r="BG173" i="10"/>
  <c r="BH173" i="10"/>
  <c r="BI173" i="10"/>
  <c r="BJ173" i="10"/>
  <c r="BK173" i="10"/>
  <c r="BG174" i="10"/>
  <c r="BH174" i="10"/>
  <c r="BI174" i="10"/>
  <c r="BJ174" i="10"/>
  <c r="BK174" i="10"/>
  <c r="BG175" i="10"/>
  <c r="BH175" i="10"/>
  <c r="BI175" i="10"/>
  <c r="BJ175" i="10"/>
  <c r="BK175" i="10"/>
  <c r="BG176" i="10"/>
  <c r="BH176" i="10"/>
  <c r="BI176" i="10"/>
  <c r="BJ176" i="10"/>
  <c r="BK176" i="10"/>
  <c r="BG177" i="10"/>
  <c r="BH177" i="10"/>
  <c r="BI177" i="10"/>
  <c r="BJ177" i="10"/>
  <c r="BK177" i="10"/>
  <c r="BG178" i="10"/>
  <c r="BH178" i="10"/>
  <c r="BI178" i="10"/>
  <c r="BJ178" i="10"/>
  <c r="BK178" i="10"/>
  <c r="BG179" i="10"/>
  <c r="BH179" i="10"/>
  <c r="BI179" i="10"/>
  <c r="BJ179" i="10"/>
  <c r="BK179" i="10"/>
  <c r="BG180" i="10"/>
  <c r="BH180" i="10"/>
  <c r="BI180" i="10"/>
  <c r="BJ180" i="10"/>
  <c r="BK180" i="10"/>
  <c r="BG181" i="10"/>
  <c r="BH181" i="10"/>
  <c r="BI181" i="10"/>
  <c r="BJ181" i="10"/>
  <c r="BK181" i="10"/>
  <c r="BG182" i="10"/>
  <c r="BH182" i="10"/>
  <c r="BI182" i="10"/>
  <c r="BJ182" i="10"/>
  <c r="BK182" i="10"/>
  <c r="BG183" i="10"/>
  <c r="BH183" i="10"/>
  <c r="BI183" i="10"/>
  <c r="BJ183" i="10"/>
  <c r="BK183" i="10"/>
  <c r="BG184" i="10"/>
  <c r="BH184" i="10"/>
  <c r="BI184" i="10"/>
  <c r="BJ184" i="10"/>
  <c r="BK184" i="10"/>
  <c r="BG185" i="10"/>
  <c r="BH185" i="10"/>
  <c r="BI185" i="10"/>
  <c r="BJ185" i="10"/>
  <c r="BK185" i="10"/>
  <c r="BG186" i="10"/>
  <c r="BH186" i="10"/>
  <c r="BI186" i="10"/>
  <c r="BJ186" i="10"/>
  <c r="BK186" i="10"/>
  <c r="BG187" i="10"/>
  <c r="BH187" i="10"/>
  <c r="BI187" i="10"/>
  <c r="BJ187" i="10"/>
  <c r="BK187" i="10"/>
  <c r="BG188" i="10"/>
  <c r="BH188" i="10"/>
  <c r="BI188" i="10"/>
  <c r="BJ188" i="10"/>
  <c r="BK188" i="10"/>
  <c r="BG189" i="10"/>
  <c r="BH189" i="10"/>
  <c r="BI189" i="10"/>
  <c r="BJ189" i="10"/>
  <c r="BK189" i="10"/>
  <c r="BG190" i="10"/>
  <c r="BH190" i="10"/>
  <c r="BI190" i="10"/>
  <c r="BJ190" i="10"/>
  <c r="BK190" i="10"/>
  <c r="BG191" i="10"/>
  <c r="BH191" i="10"/>
  <c r="BI191" i="10"/>
  <c r="BJ191" i="10"/>
  <c r="BK191" i="10"/>
  <c r="BG192" i="10"/>
  <c r="BH192" i="10"/>
  <c r="BI192" i="10"/>
  <c r="BJ192" i="10"/>
  <c r="BK192" i="10"/>
  <c r="BG193" i="10"/>
  <c r="BH193" i="10"/>
  <c r="BI193" i="10"/>
  <c r="BJ193" i="10"/>
  <c r="BK193" i="10"/>
  <c r="BG194" i="10"/>
  <c r="BH194" i="10"/>
  <c r="BI194" i="10"/>
  <c r="BJ194" i="10"/>
  <c r="BK194" i="10"/>
  <c r="BG195" i="10"/>
  <c r="BH195" i="10"/>
  <c r="BI195" i="10"/>
  <c r="BJ195" i="10"/>
  <c r="BK195" i="10"/>
  <c r="BG196" i="10"/>
  <c r="BH196" i="10"/>
  <c r="BI196" i="10"/>
  <c r="BJ196" i="10"/>
  <c r="BK196" i="10"/>
  <c r="BG197" i="10"/>
  <c r="BH197" i="10"/>
  <c r="BI197" i="10"/>
  <c r="BJ197" i="10"/>
  <c r="BK197" i="10"/>
  <c r="BG198" i="10"/>
  <c r="BH198" i="10"/>
  <c r="BI198" i="10"/>
  <c r="BJ198" i="10"/>
  <c r="BK198" i="10"/>
  <c r="BG199" i="10"/>
  <c r="BH199" i="10"/>
  <c r="BI199" i="10"/>
  <c r="BJ199" i="10"/>
  <c r="BK199" i="10"/>
  <c r="BG200" i="10"/>
  <c r="BH200" i="10"/>
  <c r="BI200" i="10"/>
  <c r="BJ200" i="10"/>
  <c r="BK200" i="10"/>
  <c r="BG201" i="10"/>
  <c r="BH201" i="10"/>
  <c r="BI201" i="10"/>
  <c r="BJ201" i="10"/>
  <c r="BK201" i="10"/>
  <c r="BG202" i="10"/>
  <c r="BH202" i="10"/>
  <c r="BI202" i="10"/>
  <c r="BJ202" i="10"/>
  <c r="BK202" i="10"/>
  <c r="BG203" i="10"/>
  <c r="BH203" i="10"/>
  <c r="BI203" i="10"/>
  <c r="BJ203" i="10"/>
  <c r="BK203" i="10"/>
  <c r="BG204" i="10"/>
  <c r="BH204" i="10"/>
  <c r="BI204" i="10"/>
  <c r="BJ204" i="10"/>
  <c r="BK204" i="10"/>
  <c r="BG205" i="10"/>
  <c r="BH205" i="10"/>
  <c r="BI205" i="10"/>
  <c r="BJ205" i="10"/>
  <c r="BK205" i="10"/>
  <c r="BG206" i="10"/>
  <c r="BH206" i="10"/>
  <c r="BI206" i="10"/>
  <c r="BJ206" i="10"/>
  <c r="BK206" i="10"/>
  <c r="BG207" i="10"/>
  <c r="BH207" i="10"/>
  <c r="BI207" i="10"/>
  <c r="BJ207" i="10"/>
  <c r="BK207" i="10"/>
  <c r="BG208" i="10"/>
  <c r="BH208" i="10"/>
  <c r="BI208" i="10"/>
  <c r="BJ208" i="10"/>
  <c r="BK208" i="10"/>
  <c r="BG209" i="10"/>
  <c r="BH209" i="10"/>
  <c r="BI209" i="10"/>
  <c r="BJ209" i="10"/>
  <c r="BK209" i="10"/>
  <c r="BG210" i="10"/>
  <c r="BH210" i="10"/>
  <c r="BI210" i="10"/>
  <c r="BJ210" i="10"/>
  <c r="BK210" i="10"/>
  <c r="BG211" i="10"/>
  <c r="BH211" i="10"/>
  <c r="BI211" i="10"/>
  <c r="BJ211" i="10"/>
  <c r="BK211" i="10"/>
  <c r="BG212" i="10"/>
  <c r="BH212" i="10"/>
  <c r="BI212" i="10"/>
  <c r="BJ212" i="10"/>
  <c r="BK212" i="10"/>
  <c r="BG213" i="10"/>
  <c r="BH213" i="10"/>
  <c r="BI213" i="10"/>
  <c r="BJ213" i="10"/>
  <c r="BK213" i="10"/>
  <c r="BG214" i="10"/>
  <c r="BH214" i="10"/>
  <c r="BI214" i="10"/>
  <c r="BJ214" i="10"/>
  <c r="BK214" i="10"/>
  <c r="BG215" i="10"/>
  <c r="BH215" i="10"/>
  <c r="BI215" i="10"/>
  <c r="BJ215" i="10"/>
  <c r="BK215" i="10"/>
  <c r="BG216" i="10"/>
  <c r="BH216" i="10"/>
  <c r="BI216" i="10"/>
  <c r="BJ216" i="10"/>
  <c r="BK216" i="10"/>
  <c r="BG217" i="10"/>
  <c r="BH217" i="10"/>
  <c r="BI217" i="10"/>
  <c r="BJ217" i="10"/>
  <c r="BK217" i="10"/>
  <c r="BG218" i="10"/>
  <c r="BH218" i="10"/>
  <c r="BI218" i="10"/>
  <c r="BJ218" i="10"/>
  <c r="BK218" i="10"/>
  <c r="BG219" i="10"/>
  <c r="BH219" i="10"/>
  <c r="BI219" i="10"/>
  <c r="BJ219" i="10"/>
  <c r="BK219" i="10"/>
  <c r="BG220" i="10"/>
  <c r="BH220" i="10"/>
  <c r="BI220" i="10"/>
  <c r="BJ220" i="10"/>
  <c r="BK220" i="10"/>
  <c r="BG221" i="10"/>
  <c r="BH221" i="10"/>
  <c r="BI221" i="10"/>
  <c r="BJ221" i="10"/>
  <c r="BK221" i="10"/>
  <c r="BG222" i="10"/>
  <c r="BH222" i="10"/>
  <c r="BI222" i="10"/>
  <c r="BJ222" i="10"/>
  <c r="BK222" i="10"/>
  <c r="BG223" i="10"/>
  <c r="BH223" i="10"/>
  <c r="BI223" i="10"/>
  <c r="BJ223" i="10"/>
  <c r="BK223" i="10"/>
  <c r="BG224" i="10"/>
  <c r="BH224" i="10"/>
  <c r="BI224" i="10"/>
  <c r="BJ224" i="10"/>
  <c r="BK224" i="10"/>
  <c r="BG225" i="10"/>
  <c r="BH225" i="10"/>
  <c r="BI225" i="10"/>
  <c r="BJ225" i="10"/>
  <c r="BK225" i="10"/>
  <c r="BG226" i="10"/>
  <c r="BH226" i="10"/>
  <c r="BI226" i="10"/>
  <c r="BJ226" i="10"/>
  <c r="BK226" i="10"/>
  <c r="BG227" i="10"/>
  <c r="BH227" i="10"/>
  <c r="BI227" i="10"/>
  <c r="BJ227" i="10"/>
  <c r="BK227" i="10"/>
  <c r="BG228" i="10"/>
  <c r="BH228" i="10"/>
  <c r="BI228" i="10"/>
  <c r="BJ228" i="10"/>
  <c r="BK228" i="10"/>
  <c r="BG229" i="10"/>
  <c r="BH229" i="10"/>
  <c r="BI229" i="10"/>
  <c r="BJ229" i="10"/>
  <c r="BK229" i="10"/>
  <c r="BG230" i="10"/>
  <c r="BH230" i="10"/>
  <c r="BI230" i="10"/>
  <c r="BJ230" i="10"/>
  <c r="BK230" i="10"/>
  <c r="BG231" i="10"/>
  <c r="BH231" i="10"/>
  <c r="BI231" i="10"/>
  <c r="BJ231" i="10"/>
  <c r="BK231" i="10"/>
  <c r="BG232" i="10"/>
  <c r="BH232" i="10"/>
  <c r="BI232" i="10"/>
  <c r="BJ232" i="10"/>
  <c r="BK232" i="10"/>
  <c r="BG233" i="10"/>
  <c r="BH233" i="10"/>
  <c r="BI233" i="10"/>
  <c r="BJ233" i="10"/>
  <c r="BK233" i="10"/>
  <c r="BG234" i="10"/>
  <c r="BH234" i="10"/>
  <c r="BI234" i="10"/>
  <c r="BJ234" i="10"/>
  <c r="BK234" i="10"/>
  <c r="BG235" i="10"/>
  <c r="BH235" i="10"/>
  <c r="BI235" i="10"/>
  <c r="BJ235" i="10"/>
  <c r="BK235" i="10"/>
  <c r="BG236" i="10"/>
  <c r="BH236" i="10"/>
  <c r="BI236" i="10"/>
  <c r="BJ236" i="10"/>
  <c r="BK236" i="10"/>
  <c r="BG237" i="10"/>
  <c r="BH237" i="10"/>
  <c r="BI237" i="10"/>
  <c r="BJ237" i="10"/>
  <c r="BK237" i="10"/>
  <c r="BG238" i="10"/>
  <c r="BH238" i="10"/>
  <c r="BI238" i="10"/>
  <c r="BJ238" i="10"/>
  <c r="BK238" i="10"/>
  <c r="BG239" i="10"/>
  <c r="BH239" i="10"/>
  <c r="BI239" i="10"/>
  <c r="BJ239" i="10"/>
  <c r="BK239" i="10"/>
  <c r="BG240" i="10"/>
  <c r="BH240" i="10"/>
  <c r="BI240" i="10"/>
  <c r="BJ240" i="10"/>
  <c r="BK240" i="10"/>
  <c r="BG241" i="10"/>
  <c r="BH241" i="10"/>
  <c r="BI241" i="10"/>
  <c r="BJ241" i="10"/>
  <c r="BK241" i="10"/>
  <c r="BG242" i="10"/>
  <c r="BH242" i="10"/>
  <c r="BI242" i="10"/>
  <c r="BJ242" i="10"/>
  <c r="BK242" i="10"/>
  <c r="BG243" i="10"/>
  <c r="BH243" i="10"/>
  <c r="BI243" i="10"/>
  <c r="BJ243" i="10"/>
  <c r="BK243" i="10"/>
  <c r="BG244" i="10"/>
  <c r="BH244" i="10"/>
  <c r="BI244" i="10"/>
  <c r="BJ244" i="10"/>
  <c r="BK244" i="10"/>
  <c r="BG245" i="10"/>
  <c r="BH245" i="10"/>
  <c r="BI245" i="10"/>
  <c r="BJ245" i="10"/>
  <c r="BK245" i="10"/>
  <c r="BG246" i="10"/>
  <c r="BH246" i="10"/>
  <c r="BI246" i="10"/>
  <c r="BJ246" i="10"/>
  <c r="BK246" i="10"/>
  <c r="BG247" i="10"/>
  <c r="BH247" i="10"/>
  <c r="BI247" i="10"/>
  <c r="BJ247" i="10"/>
  <c r="BK247" i="10"/>
  <c r="BG248" i="10"/>
  <c r="BH248" i="10"/>
  <c r="BI248" i="10"/>
  <c r="BJ248" i="10"/>
  <c r="BK248" i="10"/>
  <c r="BG249" i="10"/>
  <c r="BH249" i="10"/>
  <c r="BI249" i="10"/>
  <c r="BJ249" i="10"/>
  <c r="BK249" i="10"/>
  <c r="BG250" i="10"/>
  <c r="BH250" i="10"/>
  <c r="BI250" i="10"/>
  <c r="BJ250" i="10"/>
  <c r="BK250" i="10"/>
  <c r="BG251" i="10"/>
  <c r="BH251" i="10"/>
  <c r="BI251" i="10"/>
  <c r="BJ251" i="10"/>
  <c r="BK251" i="10"/>
  <c r="BG252" i="10"/>
  <c r="BH252" i="10"/>
  <c r="BI252" i="10"/>
  <c r="BJ252" i="10"/>
  <c r="BK252" i="10"/>
  <c r="BG253" i="10"/>
  <c r="BH253" i="10"/>
  <c r="BI253" i="10"/>
  <c r="BJ253" i="10"/>
  <c r="BK253" i="10"/>
  <c r="BG254" i="10"/>
  <c r="BH254" i="10"/>
  <c r="BI254" i="10"/>
  <c r="BJ254" i="10"/>
  <c r="BK254" i="10"/>
  <c r="BG255" i="10"/>
  <c r="BH255" i="10"/>
  <c r="BI255" i="10"/>
  <c r="BJ255" i="10"/>
  <c r="BK255" i="10"/>
  <c r="BG256" i="10"/>
  <c r="BH256" i="10"/>
  <c r="BI256" i="10"/>
  <c r="BJ256" i="10"/>
  <c r="BK256" i="10"/>
  <c r="BG257" i="10"/>
  <c r="BH257" i="10"/>
  <c r="BI257" i="10"/>
  <c r="BJ257" i="10"/>
  <c r="BK257" i="10"/>
  <c r="BG258" i="10"/>
  <c r="BH258" i="10"/>
  <c r="BI258" i="10"/>
  <c r="BJ258" i="10"/>
  <c r="BK258" i="10"/>
  <c r="BG259" i="10"/>
  <c r="BH259" i="10"/>
  <c r="BI259" i="10"/>
  <c r="BJ259" i="10"/>
  <c r="BK259" i="10"/>
  <c r="BG260" i="10"/>
  <c r="BH260" i="10"/>
  <c r="BI260" i="10"/>
  <c r="BJ260" i="10"/>
  <c r="BK260" i="10"/>
  <c r="BG261" i="10"/>
  <c r="BH261" i="10"/>
  <c r="BI261" i="10"/>
  <c r="BJ261" i="10"/>
  <c r="BK261" i="10"/>
  <c r="BG262" i="10"/>
  <c r="BH262" i="10"/>
  <c r="BI262" i="10"/>
  <c r="BJ262" i="10"/>
  <c r="BK262" i="10"/>
  <c r="BG263" i="10"/>
  <c r="BH263" i="10"/>
  <c r="BI263" i="10"/>
  <c r="BJ263" i="10"/>
  <c r="BK263" i="10"/>
  <c r="BG264" i="10"/>
  <c r="BH264" i="10"/>
  <c r="BI264" i="10"/>
  <c r="BJ264" i="10"/>
  <c r="BK264" i="10"/>
  <c r="BG265" i="10"/>
  <c r="BH265" i="10"/>
  <c r="BI265" i="10"/>
  <c r="BJ265" i="10"/>
  <c r="BK265" i="10"/>
  <c r="BG266" i="10"/>
  <c r="BH266" i="10"/>
  <c r="BI266" i="10"/>
  <c r="BJ266" i="10"/>
  <c r="BK266" i="10"/>
  <c r="BG267" i="10"/>
  <c r="BH267" i="10"/>
  <c r="BI267" i="10"/>
  <c r="BJ267" i="10"/>
  <c r="BK267" i="10"/>
  <c r="BG268" i="10"/>
  <c r="BH268" i="10"/>
  <c r="BI268" i="10"/>
  <c r="BJ268" i="10"/>
  <c r="BK268" i="10"/>
  <c r="BG269" i="10"/>
  <c r="BH269" i="10"/>
  <c r="BI269" i="10"/>
  <c r="BJ269" i="10"/>
  <c r="BK269" i="10"/>
  <c r="BG270" i="10"/>
  <c r="BH270" i="10"/>
  <c r="BI270" i="10"/>
  <c r="BJ270" i="10"/>
  <c r="BK270" i="10"/>
  <c r="BG271" i="10"/>
  <c r="BH271" i="10"/>
  <c r="BI271" i="10"/>
  <c r="BJ271" i="10"/>
  <c r="BK271" i="10"/>
  <c r="BG272" i="10"/>
  <c r="BH272" i="10"/>
  <c r="BI272" i="10"/>
  <c r="BJ272" i="10"/>
  <c r="BK272" i="10"/>
  <c r="BG273" i="10"/>
  <c r="BH273" i="10"/>
  <c r="BI273" i="10"/>
  <c r="BJ273" i="10"/>
  <c r="BK273" i="10"/>
  <c r="BG274" i="10"/>
  <c r="BH274" i="10"/>
  <c r="BI274" i="10"/>
  <c r="BJ274" i="10"/>
  <c r="BK274" i="10"/>
  <c r="BG275" i="10"/>
  <c r="BH275" i="10"/>
  <c r="BI275" i="10"/>
  <c r="BJ275" i="10"/>
  <c r="BK275" i="10"/>
  <c r="BG276" i="10"/>
  <c r="BH276" i="10"/>
  <c r="BI276" i="10"/>
  <c r="BJ276" i="10"/>
  <c r="BK276" i="10"/>
  <c r="BG277" i="10"/>
  <c r="BH277" i="10"/>
  <c r="BI277" i="10"/>
  <c r="BJ277" i="10"/>
  <c r="BK277" i="10"/>
  <c r="BG278" i="10"/>
  <c r="BH278" i="10"/>
  <c r="BI278" i="10"/>
  <c r="BJ278" i="10"/>
  <c r="BK278" i="10"/>
  <c r="BG279" i="10"/>
  <c r="BH279" i="10"/>
  <c r="BI279" i="10"/>
  <c r="BJ279" i="10"/>
  <c r="BK279" i="10"/>
  <c r="BG280" i="10"/>
  <c r="BH280" i="10"/>
  <c r="BI280" i="10"/>
  <c r="BJ280" i="10"/>
  <c r="BK280" i="10"/>
  <c r="BG281" i="10"/>
  <c r="BH281" i="10"/>
  <c r="BI281" i="10"/>
  <c r="BJ281" i="10"/>
  <c r="BK281" i="10"/>
  <c r="BG282" i="10"/>
  <c r="BH282" i="10"/>
  <c r="BI282" i="10"/>
  <c r="BJ282" i="10"/>
  <c r="BK282" i="10"/>
  <c r="BG283" i="10"/>
  <c r="BH283" i="10"/>
  <c r="BI283" i="10"/>
  <c r="BJ283" i="10"/>
  <c r="BK283" i="10"/>
  <c r="BG284" i="10"/>
  <c r="BH284" i="10"/>
  <c r="BI284" i="10"/>
  <c r="BJ284" i="10"/>
  <c r="BK284" i="10"/>
  <c r="BG285" i="10"/>
  <c r="BH285" i="10"/>
  <c r="BI285" i="10"/>
  <c r="BJ285" i="10"/>
  <c r="BK285" i="10"/>
  <c r="BG286" i="10"/>
  <c r="BH286" i="10"/>
  <c r="BI286" i="10"/>
  <c r="BJ286" i="10"/>
  <c r="BK286" i="10"/>
  <c r="BG287" i="10"/>
  <c r="BH287" i="10"/>
  <c r="BI287" i="10"/>
  <c r="BJ287" i="10"/>
  <c r="BK287" i="10"/>
  <c r="BG288" i="10"/>
  <c r="BH288" i="10"/>
  <c r="BI288" i="10"/>
  <c r="BJ288" i="10"/>
  <c r="BK288" i="10"/>
  <c r="BG289" i="10"/>
  <c r="BH289" i="10"/>
  <c r="BI289" i="10"/>
  <c r="BJ289" i="10"/>
  <c r="BK289" i="10"/>
  <c r="BG290" i="10"/>
  <c r="BH290" i="10"/>
  <c r="BI290" i="10"/>
  <c r="BJ290" i="10"/>
  <c r="BK290" i="10"/>
  <c r="BG291" i="10"/>
  <c r="BH291" i="10"/>
  <c r="BI291" i="10"/>
  <c r="BJ291" i="10"/>
  <c r="BK291" i="10"/>
  <c r="BG292" i="10"/>
  <c r="BH292" i="10"/>
  <c r="BI292" i="10"/>
  <c r="BJ292" i="10"/>
  <c r="BK292" i="10"/>
  <c r="BG293" i="10"/>
  <c r="BH293" i="10"/>
  <c r="BI293" i="10"/>
  <c r="BJ293" i="10"/>
  <c r="BK293" i="10"/>
  <c r="BG294" i="10"/>
  <c r="BH294" i="10"/>
  <c r="BI294" i="10"/>
  <c r="BJ294" i="10"/>
  <c r="BK294" i="10"/>
  <c r="BG295" i="10"/>
  <c r="BH295" i="10"/>
  <c r="BI295" i="10"/>
  <c r="BJ295" i="10"/>
  <c r="BK295" i="10"/>
  <c r="BG296" i="10"/>
  <c r="BH296" i="10"/>
  <c r="BI296" i="10"/>
  <c r="BJ296" i="10"/>
  <c r="BK296" i="10"/>
  <c r="BG297" i="10"/>
  <c r="BH297" i="10"/>
  <c r="BI297" i="10"/>
  <c r="BJ297" i="10"/>
  <c r="BK297" i="10"/>
  <c r="BG298" i="10"/>
  <c r="BH298" i="10"/>
  <c r="BI298" i="10"/>
  <c r="BJ298" i="10"/>
  <c r="BK298" i="10"/>
  <c r="BG299" i="10"/>
  <c r="BH299" i="10"/>
  <c r="BI299" i="10"/>
  <c r="BJ299" i="10"/>
  <c r="BK299" i="10"/>
  <c r="BG300" i="10"/>
  <c r="BH300" i="10"/>
  <c r="BI300" i="10"/>
  <c r="BJ300" i="10"/>
  <c r="BK300" i="10"/>
  <c r="BG301" i="10"/>
  <c r="BH301" i="10"/>
  <c r="BI301" i="10"/>
  <c r="BJ301" i="10"/>
  <c r="BK301" i="10"/>
  <c r="BG302" i="10"/>
  <c r="BH302" i="10"/>
  <c r="BI302" i="10"/>
  <c r="BJ302" i="10"/>
  <c r="BK302" i="10"/>
  <c r="BG303" i="10"/>
  <c r="BH303" i="10"/>
  <c r="BI303" i="10"/>
  <c r="BJ303" i="10"/>
  <c r="BK303" i="10"/>
  <c r="BG304" i="10"/>
  <c r="BH304" i="10"/>
  <c r="BI304" i="10"/>
  <c r="BJ304" i="10"/>
  <c r="BK304" i="10"/>
  <c r="BG305" i="10"/>
  <c r="BH305" i="10"/>
  <c r="BI305" i="10"/>
  <c r="BJ305" i="10"/>
  <c r="BK305" i="10"/>
  <c r="BG306" i="10"/>
  <c r="BH306" i="10"/>
  <c r="BI306" i="10"/>
  <c r="BJ306" i="10"/>
  <c r="BK306" i="10"/>
  <c r="BG307" i="10"/>
  <c r="BH307" i="10"/>
  <c r="BI307" i="10"/>
  <c r="BJ307" i="10"/>
  <c r="BK307" i="10"/>
  <c r="BG308" i="10"/>
  <c r="BH308" i="10"/>
  <c r="BI308" i="10"/>
  <c r="BJ308" i="10"/>
  <c r="BK308" i="10"/>
  <c r="BG309" i="10"/>
  <c r="BH309" i="10"/>
  <c r="BI309" i="10"/>
  <c r="BJ309" i="10"/>
  <c r="BK309" i="10"/>
  <c r="BG310" i="10"/>
  <c r="BH310" i="10"/>
  <c r="BI310" i="10"/>
  <c r="BJ310" i="10"/>
  <c r="BK310" i="10"/>
  <c r="BG311" i="10"/>
  <c r="BH311" i="10"/>
  <c r="BI311" i="10"/>
  <c r="BJ311" i="10"/>
  <c r="BK311" i="10"/>
  <c r="BG312" i="10"/>
  <c r="BH312" i="10"/>
  <c r="BI312" i="10"/>
  <c r="BJ312" i="10"/>
  <c r="BK312" i="10"/>
  <c r="BG313" i="10"/>
  <c r="BH313" i="10"/>
  <c r="BI313" i="10"/>
  <c r="BJ313" i="10"/>
  <c r="BK313" i="10"/>
  <c r="BG314" i="10"/>
  <c r="BH314" i="10"/>
  <c r="BI314" i="10"/>
  <c r="BJ314" i="10"/>
  <c r="BK314" i="10"/>
  <c r="BG315" i="10"/>
  <c r="BH315" i="10"/>
  <c r="BI315" i="10"/>
  <c r="BJ315" i="10"/>
  <c r="BK315" i="10"/>
  <c r="BG316" i="10"/>
  <c r="BH316" i="10"/>
  <c r="BI316" i="10"/>
  <c r="BJ316" i="10"/>
  <c r="BK316" i="10"/>
  <c r="BG317" i="10"/>
  <c r="BH317" i="10"/>
  <c r="BI317" i="10"/>
  <c r="BJ317" i="10"/>
  <c r="BK317" i="10"/>
  <c r="BK22" i="10"/>
  <c r="BJ22" i="10"/>
  <c r="BI22" i="10"/>
  <c r="BH22" i="10"/>
  <c r="BG22" i="10"/>
  <c r="D25" i="11"/>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58" i="10"/>
  <c r="BL59" i="10"/>
  <c r="BL60" i="10"/>
  <c r="BL61" i="10"/>
  <c r="BL62" i="10"/>
  <c r="BL63" i="10"/>
  <c r="BL64" i="10"/>
  <c r="BL65" i="10"/>
  <c r="BL66" i="10"/>
  <c r="BL67" i="10"/>
  <c r="BL68" i="10"/>
  <c r="BL69" i="10"/>
  <c r="BL70" i="10"/>
  <c r="BL71" i="10"/>
  <c r="BL72" i="10"/>
  <c r="BL73" i="10"/>
  <c r="BL74" i="10"/>
  <c r="BL75" i="10"/>
  <c r="BL76" i="10"/>
  <c r="BL77" i="10"/>
  <c r="BL78" i="10"/>
  <c r="BL79" i="10"/>
  <c r="BL80" i="10"/>
  <c r="BL81" i="10"/>
  <c r="BL82" i="10"/>
  <c r="BL83" i="10"/>
  <c r="BL84" i="10"/>
  <c r="BL85" i="10"/>
  <c r="BL86" i="10"/>
  <c r="BL87" i="10"/>
  <c r="BL88" i="10"/>
  <c r="BL89" i="10"/>
  <c r="BL90" i="10"/>
  <c r="BL91" i="10"/>
  <c r="BL92" i="10"/>
  <c r="BL93" i="10"/>
  <c r="BL94" i="10"/>
  <c r="BL95" i="10"/>
  <c r="BL96" i="10"/>
  <c r="BL97" i="10"/>
  <c r="BL98" i="10"/>
  <c r="BL99" i="10"/>
  <c r="BL100" i="10"/>
  <c r="BL101" i="10"/>
  <c r="BL102" i="10"/>
  <c r="BL103" i="10"/>
  <c r="BL104" i="10"/>
  <c r="BL105" i="10"/>
  <c r="BL106" i="10"/>
  <c r="BL107" i="10"/>
  <c r="BL108" i="10"/>
  <c r="BL109" i="10"/>
  <c r="BL110" i="10"/>
  <c r="BL111" i="10"/>
  <c r="BL112" i="10"/>
  <c r="BL113" i="10"/>
  <c r="BL114" i="10"/>
  <c r="BL115" i="10"/>
  <c r="BL116" i="10"/>
  <c r="BL117" i="10"/>
  <c r="BL118" i="10"/>
  <c r="BL119" i="10"/>
  <c r="BL120" i="10"/>
  <c r="BL121" i="10"/>
  <c r="BL122" i="10"/>
  <c r="BL123" i="10"/>
  <c r="BL124" i="10"/>
  <c r="BL125" i="10"/>
  <c r="BL126" i="10"/>
  <c r="BL127" i="10"/>
  <c r="BL128" i="10"/>
  <c r="BL129" i="10"/>
  <c r="BL130" i="10"/>
  <c r="BL131" i="10"/>
  <c r="BL132" i="10"/>
  <c r="BL133" i="10"/>
  <c r="BL134" i="10"/>
  <c r="BL135" i="10"/>
  <c r="BL136" i="10"/>
  <c r="BL137" i="10"/>
  <c r="BL138" i="10"/>
  <c r="BL139" i="10"/>
  <c r="BL140" i="10"/>
  <c r="BL141" i="10"/>
  <c r="BL142" i="10"/>
  <c r="BL143" i="10"/>
  <c r="BL144" i="10"/>
  <c r="BL145" i="10"/>
  <c r="BL146" i="10"/>
  <c r="BL147" i="10"/>
  <c r="BL148" i="10"/>
  <c r="BL149" i="10"/>
  <c r="BL150" i="10"/>
  <c r="BL151" i="10"/>
  <c r="BL152" i="10"/>
  <c r="BL153" i="10"/>
  <c r="BL154" i="10"/>
  <c r="BL155" i="10"/>
  <c r="BL156" i="10"/>
  <c r="BL157" i="10"/>
  <c r="BL158" i="10"/>
  <c r="BL159" i="10"/>
  <c r="BL160" i="10"/>
  <c r="BL161" i="10"/>
  <c r="BL162" i="10"/>
  <c r="BL163" i="10"/>
  <c r="BL164" i="10"/>
  <c r="BL165" i="10"/>
  <c r="BL166" i="10"/>
  <c r="BL167" i="10"/>
  <c r="BL168" i="10"/>
  <c r="BL169" i="10"/>
  <c r="BL170" i="10"/>
  <c r="BL171" i="10"/>
  <c r="BL172" i="10"/>
  <c r="BL173" i="10"/>
  <c r="BL174" i="10"/>
  <c r="BL175" i="10"/>
  <c r="BL176" i="10"/>
  <c r="BL177" i="10"/>
  <c r="BL178" i="10"/>
  <c r="BL179" i="10"/>
  <c r="BL180" i="10"/>
  <c r="BL181" i="10"/>
  <c r="BL182" i="10"/>
  <c r="BL183" i="10"/>
  <c r="BL184" i="10"/>
  <c r="BL185" i="10"/>
  <c r="BL186" i="10"/>
  <c r="BL187" i="10"/>
  <c r="BL188" i="10"/>
  <c r="BL189" i="10"/>
  <c r="BL190" i="10"/>
  <c r="BL191" i="10"/>
  <c r="BL192" i="10"/>
  <c r="BL193" i="10"/>
  <c r="BL194" i="10"/>
  <c r="BL195" i="10"/>
  <c r="BL196" i="10"/>
  <c r="BL197" i="10"/>
  <c r="BL198" i="10"/>
  <c r="BL199" i="10"/>
  <c r="BL200" i="10"/>
  <c r="BL201" i="10"/>
  <c r="BL202" i="10"/>
  <c r="BL203" i="10"/>
  <c r="BL204" i="10"/>
  <c r="BL205" i="10"/>
  <c r="BL206" i="10"/>
  <c r="BL207" i="10"/>
  <c r="BL208" i="10"/>
  <c r="BL209" i="10"/>
  <c r="BL210" i="10"/>
  <c r="BL211" i="10"/>
  <c r="BL212" i="10"/>
  <c r="BL213" i="10"/>
  <c r="BL214" i="10"/>
  <c r="BL215" i="10"/>
  <c r="BL216" i="10"/>
  <c r="BL217" i="10"/>
  <c r="BL218" i="10"/>
  <c r="BL219" i="10"/>
  <c r="BL220" i="10"/>
  <c r="BL221" i="10"/>
  <c r="BL222" i="10"/>
  <c r="BL223" i="10"/>
  <c r="BL224" i="10"/>
  <c r="BL225" i="10"/>
  <c r="BL226" i="10"/>
  <c r="BL227" i="10"/>
  <c r="BL228" i="10"/>
  <c r="BL229" i="10"/>
  <c r="BL230" i="10"/>
  <c r="BL231" i="10"/>
  <c r="BL232" i="10"/>
  <c r="BL233" i="10"/>
  <c r="BL234" i="10"/>
  <c r="BL235" i="10"/>
  <c r="BL236" i="10"/>
  <c r="BL237" i="10"/>
  <c r="BL238" i="10"/>
  <c r="BL239" i="10"/>
  <c r="BL240" i="10"/>
  <c r="BL241" i="10"/>
  <c r="BL242" i="10"/>
  <c r="BL243" i="10"/>
  <c r="BL244" i="10"/>
  <c r="BL245" i="10"/>
  <c r="BL246" i="10"/>
  <c r="BL247" i="10"/>
  <c r="BL248" i="10"/>
  <c r="BL249" i="10"/>
  <c r="BL250" i="10"/>
  <c r="BL251" i="10"/>
  <c r="BL252" i="10"/>
  <c r="BL253" i="10"/>
  <c r="BL254" i="10"/>
  <c r="BL255" i="10"/>
  <c r="BL256" i="10"/>
  <c r="BL257" i="10"/>
  <c r="BL258" i="10"/>
  <c r="BL259" i="10"/>
  <c r="BL260" i="10"/>
  <c r="BL261" i="10"/>
  <c r="BL262" i="10"/>
  <c r="BL263" i="10"/>
  <c r="BL264" i="10"/>
  <c r="BL265" i="10"/>
  <c r="BL266" i="10"/>
  <c r="BL267" i="10"/>
  <c r="BL268" i="10"/>
  <c r="BL269" i="10"/>
  <c r="BL270" i="10"/>
  <c r="BL271" i="10"/>
  <c r="BL272" i="10"/>
  <c r="BL273" i="10"/>
  <c r="BL274" i="10"/>
  <c r="BL275" i="10"/>
  <c r="BL276" i="10"/>
  <c r="BL277" i="10"/>
  <c r="BL278" i="10"/>
  <c r="BL279" i="10"/>
  <c r="BL280" i="10"/>
  <c r="BL281" i="10"/>
  <c r="BL282" i="10"/>
  <c r="BL283" i="10"/>
  <c r="BL284" i="10"/>
  <c r="BL285" i="10"/>
  <c r="BL286" i="10"/>
  <c r="BL287" i="10"/>
  <c r="BL288" i="10"/>
  <c r="BL289" i="10"/>
  <c r="BL290" i="10"/>
  <c r="BL291" i="10"/>
  <c r="BL292" i="10"/>
  <c r="BL293" i="10"/>
  <c r="BL294" i="10"/>
  <c r="BL295" i="10"/>
  <c r="BL296" i="10"/>
  <c r="BL297" i="10"/>
  <c r="BL298" i="10"/>
  <c r="BL299" i="10"/>
  <c r="BL300" i="10"/>
  <c r="BL301" i="10"/>
  <c r="BL302" i="10"/>
  <c r="BL303" i="10"/>
  <c r="BL304" i="10"/>
  <c r="BL305" i="10"/>
  <c r="BL306" i="10"/>
  <c r="BL307" i="10"/>
  <c r="BL308" i="10"/>
  <c r="BL309" i="10"/>
  <c r="BL310" i="10"/>
  <c r="BL311" i="10"/>
  <c r="BL312" i="10"/>
  <c r="BL313" i="10"/>
  <c r="BL314" i="10"/>
  <c r="BL315" i="10"/>
  <c r="BL316" i="10"/>
  <c r="BL317" i="10"/>
  <c r="BL22" i="10"/>
  <c r="E25" i="11"/>
  <c r="C25" i="11"/>
  <c r="B25" i="11"/>
  <c r="A25" i="11"/>
  <c r="F37" i="3" l="1"/>
  <c r="B12" i="3" l="1"/>
  <c r="C50" i="3"/>
  <c r="C29" i="3" s="1"/>
  <c r="C34" i="3"/>
  <c r="C33" i="3"/>
  <c r="C12" i="3"/>
  <c r="B54" i="3"/>
  <c r="B53" i="3"/>
  <c r="B50" i="3"/>
  <c r="B46" i="3"/>
  <c r="B45" i="3"/>
  <c r="B44" i="3"/>
  <c r="B43" i="3"/>
  <c r="B34" i="3"/>
  <c r="B33" i="3"/>
  <c r="B29" i="3"/>
  <c r="F358" i="7"/>
  <c r="F357" i="7"/>
  <c r="F356" i="7"/>
  <c r="F355" i="7"/>
  <c r="F360" i="7" s="1"/>
  <c r="F354" i="7"/>
  <c r="F353" i="7"/>
  <c r="F352" i="7"/>
  <c r="E346" i="7"/>
  <c r="E345" i="7"/>
  <c r="E344" i="7"/>
  <c r="E343" i="7"/>
  <c r="E342" i="7"/>
  <c r="E341" i="7"/>
  <c r="E340" i="7"/>
  <c r="E339" i="7"/>
  <c r="E338" i="7"/>
  <c r="E337" i="7"/>
  <c r="E336" i="7"/>
  <c r="E335" i="7"/>
  <c r="E334" i="7"/>
  <c r="E333" i="7"/>
  <c r="E332" i="7"/>
  <c r="E331" i="7"/>
  <c r="E348" i="7" s="1"/>
  <c r="E330" i="7"/>
  <c r="E329" i="7"/>
  <c r="E328" i="7"/>
  <c r="GJ307" i="7"/>
  <c r="GF307" i="7"/>
  <c r="GB307" i="7"/>
  <c r="FY307" i="7"/>
  <c r="FX307" i="7"/>
  <c r="GJ306" i="7"/>
  <c r="GF306" i="7"/>
  <c r="GB306" i="7"/>
  <c r="FY306" i="7"/>
  <c r="FX306" i="7" s="1"/>
  <c r="GJ305" i="7"/>
  <c r="GF305" i="7"/>
  <c r="GB305" i="7"/>
  <c r="FY305" i="7"/>
  <c r="FX305" i="7"/>
  <c r="GJ304" i="7"/>
  <c r="GF304" i="7"/>
  <c r="GB304" i="7"/>
  <c r="FY304" i="7"/>
  <c r="FX304" i="7" s="1"/>
  <c r="GJ303" i="7"/>
  <c r="GF303" i="7"/>
  <c r="GB303" i="7"/>
  <c r="FY303" i="7"/>
  <c r="FX303" i="7"/>
  <c r="GJ302" i="7"/>
  <c r="GF302" i="7"/>
  <c r="GB302" i="7"/>
  <c r="FY302" i="7"/>
  <c r="FX302" i="7" s="1"/>
  <c r="GJ301" i="7"/>
  <c r="GF301" i="7"/>
  <c r="GB301" i="7"/>
  <c r="FY301" i="7"/>
  <c r="FX301" i="7"/>
  <c r="GJ300" i="7"/>
  <c r="GF300" i="7"/>
  <c r="GB300" i="7"/>
  <c r="FY300" i="7"/>
  <c r="FX300" i="7" s="1"/>
  <c r="GJ299" i="7"/>
  <c r="GF299" i="7"/>
  <c r="GB299" i="7"/>
  <c r="FY299" i="7"/>
  <c r="FX299" i="7"/>
  <c r="GJ298" i="7"/>
  <c r="GF298" i="7"/>
  <c r="GB298" i="7"/>
  <c r="FY298" i="7"/>
  <c r="FX298" i="7" s="1"/>
  <c r="GJ297" i="7"/>
  <c r="GF297" i="7"/>
  <c r="GB297" i="7"/>
  <c r="FY297" i="7"/>
  <c r="FX297" i="7"/>
  <c r="GJ296" i="7"/>
  <c r="GF296" i="7"/>
  <c r="GB296" i="7"/>
  <c r="FY296" i="7"/>
  <c r="FX296" i="7"/>
  <c r="GJ295" i="7"/>
  <c r="GF295" i="7"/>
  <c r="GB295" i="7"/>
  <c r="FY295" i="7"/>
  <c r="FX295" i="7"/>
  <c r="GJ294" i="7"/>
  <c r="GF294" i="7"/>
  <c r="GB294" i="7"/>
  <c r="FY294" i="7"/>
  <c r="FX294" i="7" s="1"/>
  <c r="GJ293" i="7"/>
  <c r="GF293" i="7"/>
  <c r="GB293" i="7"/>
  <c r="FY293" i="7"/>
  <c r="FX293" i="7"/>
  <c r="GJ292" i="7"/>
  <c r="GF292" i="7"/>
  <c r="GB292" i="7"/>
  <c r="FY292" i="7"/>
  <c r="FX292" i="7"/>
  <c r="GJ291" i="7"/>
  <c r="GF291" i="7"/>
  <c r="GB291" i="7"/>
  <c r="FY291" i="7"/>
  <c r="FX291" i="7"/>
  <c r="GJ290" i="7"/>
  <c r="GF290" i="7"/>
  <c r="GB290" i="7"/>
  <c r="FY290" i="7"/>
  <c r="FX290" i="7" s="1"/>
  <c r="GJ289" i="7"/>
  <c r="GF289" i="7"/>
  <c r="GB289" i="7"/>
  <c r="FY289" i="7"/>
  <c r="FX289" i="7"/>
  <c r="GJ288" i="7"/>
  <c r="GF288" i="7"/>
  <c r="GB288" i="7"/>
  <c r="FY288" i="7"/>
  <c r="FX288" i="7"/>
  <c r="GJ287" i="7"/>
  <c r="GF287" i="7"/>
  <c r="GB287" i="7"/>
  <c r="FY287" i="7"/>
  <c r="FX287" i="7"/>
  <c r="GJ286" i="7"/>
  <c r="GF286" i="7"/>
  <c r="GB286" i="7"/>
  <c r="FY286" i="7"/>
  <c r="FX286" i="7" s="1"/>
  <c r="GJ285" i="7"/>
  <c r="GF285" i="7"/>
  <c r="GB285" i="7"/>
  <c r="FY285" i="7"/>
  <c r="FX285" i="7"/>
  <c r="GJ284" i="7"/>
  <c r="GF284" i="7"/>
  <c r="GB284" i="7"/>
  <c r="FY284" i="7"/>
  <c r="FX284" i="7"/>
  <c r="GJ283" i="7"/>
  <c r="GF283" i="7"/>
  <c r="GB283" i="7"/>
  <c r="FY283" i="7"/>
  <c r="FX283" i="7"/>
  <c r="GJ282" i="7"/>
  <c r="GF282" i="7"/>
  <c r="GB282" i="7"/>
  <c r="FY282" i="7"/>
  <c r="FX282" i="7" s="1"/>
  <c r="GJ281" i="7"/>
  <c r="GF281" i="7"/>
  <c r="GB281" i="7"/>
  <c r="FY281" i="7"/>
  <c r="FX281" i="7"/>
  <c r="GJ280" i="7"/>
  <c r="GF280" i="7"/>
  <c r="GB280" i="7"/>
  <c r="FY280" i="7"/>
  <c r="FX280" i="7"/>
  <c r="GJ279" i="7"/>
  <c r="GF279" i="7"/>
  <c r="GB279" i="7"/>
  <c r="FY279" i="7"/>
  <c r="FX279" i="7" s="1"/>
  <c r="GJ278" i="7"/>
  <c r="GF278" i="7"/>
  <c r="GB278" i="7"/>
  <c r="FY278" i="7"/>
  <c r="FX278" i="7" s="1"/>
  <c r="GJ277" i="7"/>
  <c r="GF277" i="7"/>
  <c r="GB277" i="7"/>
  <c r="FY277" i="7"/>
  <c r="FX277" i="7"/>
  <c r="GJ276" i="7"/>
  <c r="GF276" i="7"/>
  <c r="GB276" i="7"/>
  <c r="FY276" i="7"/>
  <c r="FX276" i="7"/>
  <c r="GJ275" i="7"/>
  <c r="GF275" i="7"/>
  <c r="GB275" i="7"/>
  <c r="FY275" i="7"/>
  <c r="FX275" i="7" s="1"/>
  <c r="GJ274" i="7"/>
  <c r="GF274" i="7"/>
  <c r="GB274" i="7"/>
  <c r="FY274" i="7"/>
  <c r="FX274" i="7" s="1"/>
  <c r="GJ273" i="7"/>
  <c r="GF273" i="7"/>
  <c r="GB273" i="7"/>
  <c r="FY273" i="7"/>
  <c r="FX273" i="7"/>
  <c r="GJ272" i="7"/>
  <c r="GF272" i="7"/>
  <c r="GB272" i="7"/>
  <c r="FY272" i="7"/>
  <c r="FX272" i="7"/>
  <c r="GJ271" i="7"/>
  <c r="GF271" i="7"/>
  <c r="GB271" i="7"/>
  <c r="FY271" i="7"/>
  <c r="FX271" i="7"/>
  <c r="GJ270" i="7"/>
  <c r="GF270" i="7"/>
  <c r="GB270" i="7"/>
  <c r="FY270" i="7"/>
  <c r="FX270" i="7" s="1"/>
  <c r="GJ269" i="7"/>
  <c r="GF269" i="7"/>
  <c r="GB269" i="7"/>
  <c r="FY269" i="7"/>
  <c r="FX269" i="7"/>
  <c r="GJ268" i="7"/>
  <c r="GF268" i="7"/>
  <c r="GB268" i="7"/>
  <c r="FY268" i="7"/>
  <c r="FX268" i="7"/>
  <c r="GJ267" i="7"/>
  <c r="GF267" i="7"/>
  <c r="GB267" i="7"/>
  <c r="FY267" i="7"/>
  <c r="FX267" i="7"/>
  <c r="GJ266" i="7"/>
  <c r="GF266" i="7"/>
  <c r="GB266" i="7"/>
  <c r="FY266" i="7"/>
  <c r="FX266" i="7" s="1"/>
  <c r="GJ265" i="7"/>
  <c r="GF265" i="7"/>
  <c r="GB265" i="7"/>
  <c r="FY265" i="7"/>
  <c r="FX265" i="7"/>
  <c r="GJ264" i="7"/>
  <c r="GF264" i="7"/>
  <c r="GB264" i="7"/>
  <c r="FY264" i="7"/>
  <c r="FX264" i="7"/>
  <c r="GJ263" i="7"/>
  <c r="GF263" i="7"/>
  <c r="GB263" i="7"/>
  <c r="FY263" i="7"/>
  <c r="FX263" i="7" s="1"/>
  <c r="GJ262" i="7"/>
  <c r="GF262" i="7"/>
  <c r="GB262" i="7"/>
  <c r="FY262" i="7"/>
  <c r="FX262" i="7" s="1"/>
  <c r="GJ261" i="7"/>
  <c r="GF261" i="7"/>
  <c r="GB261" i="7"/>
  <c r="FY261" i="7"/>
  <c r="FX261" i="7"/>
  <c r="GJ260" i="7"/>
  <c r="GF260" i="7"/>
  <c r="GB260" i="7"/>
  <c r="FY260" i="7"/>
  <c r="FX260" i="7"/>
  <c r="GJ259" i="7"/>
  <c r="GF259" i="7"/>
  <c r="GB259" i="7"/>
  <c r="FY259" i="7"/>
  <c r="FX259" i="7" s="1"/>
  <c r="GJ258" i="7"/>
  <c r="GF258" i="7"/>
  <c r="GB258" i="7"/>
  <c r="FY258" i="7"/>
  <c r="FX258" i="7" s="1"/>
  <c r="GJ257" i="7"/>
  <c r="GF257" i="7"/>
  <c r="GB257" i="7"/>
  <c r="FY257" i="7"/>
  <c r="FX257" i="7"/>
  <c r="GJ256" i="7"/>
  <c r="GF256" i="7"/>
  <c r="GB256" i="7"/>
  <c r="FY256" i="7"/>
  <c r="FX256" i="7"/>
  <c r="GJ255" i="7"/>
  <c r="GF255" i="7"/>
  <c r="GB255" i="7"/>
  <c r="FY255" i="7"/>
  <c r="FX255" i="7"/>
  <c r="GJ254" i="7"/>
  <c r="GF254" i="7"/>
  <c r="GB254" i="7"/>
  <c r="FY254" i="7"/>
  <c r="FX254" i="7" s="1"/>
  <c r="GJ253" i="7"/>
  <c r="GF253" i="7"/>
  <c r="GB253" i="7"/>
  <c r="FY253" i="7"/>
  <c r="FX253" i="7"/>
  <c r="GJ252" i="7"/>
  <c r="GF252" i="7"/>
  <c r="GB252" i="7"/>
  <c r="FY252" i="7"/>
  <c r="FX252" i="7"/>
  <c r="GJ251" i="7"/>
  <c r="GF251" i="7"/>
  <c r="GB251" i="7"/>
  <c r="FY251" i="7"/>
  <c r="FX251" i="7"/>
  <c r="GJ250" i="7"/>
  <c r="GF250" i="7"/>
  <c r="GB250" i="7"/>
  <c r="FY250" i="7"/>
  <c r="FX250" i="7" s="1"/>
  <c r="GJ249" i="7"/>
  <c r="GF249" i="7"/>
  <c r="GB249" i="7"/>
  <c r="FY249" i="7"/>
  <c r="FX249" i="7"/>
  <c r="GJ248" i="7"/>
  <c r="GF248" i="7"/>
  <c r="GB248" i="7"/>
  <c r="FY248" i="7"/>
  <c r="FX248" i="7"/>
  <c r="GJ247" i="7"/>
  <c r="GF247" i="7"/>
  <c r="GB247" i="7"/>
  <c r="FY247" i="7"/>
  <c r="FX247" i="7" s="1"/>
  <c r="GJ246" i="7"/>
  <c r="GF246" i="7"/>
  <c r="GB246" i="7"/>
  <c r="FY246" i="7"/>
  <c r="FX246" i="7" s="1"/>
  <c r="GJ245" i="7"/>
  <c r="GF245" i="7"/>
  <c r="GB245" i="7"/>
  <c r="FY245" i="7"/>
  <c r="FX245" i="7"/>
  <c r="GJ244" i="7"/>
  <c r="GF244" i="7"/>
  <c r="GB244" i="7"/>
  <c r="FY244" i="7"/>
  <c r="FX244" i="7"/>
  <c r="GJ243" i="7"/>
  <c r="GF243" i="7"/>
  <c r="GB243" i="7"/>
  <c r="FY243" i="7"/>
  <c r="FX243" i="7" s="1"/>
  <c r="GJ242" i="7"/>
  <c r="GF242" i="7"/>
  <c r="GB242" i="7"/>
  <c r="FY242" i="7"/>
  <c r="FX242" i="7" s="1"/>
  <c r="GJ241" i="7"/>
  <c r="GF241" i="7"/>
  <c r="GB241" i="7"/>
  <c r="FY241" i="7"/>
  <c r="FX241" i="7"/>
  <c r="GJ240" i="7"/>
  <c r="GF240" i="7"/>
  <c r="GB240" i="7"/>
  <c r="FY240" i="7"/>
  <c r="FX240" i="7"/>
  <c r="GJ239" i="7"/>
  <c r="GF239" i="7"/>
  <c r="GB239" i="7"/>
  <c r="FY239" i="7"/>
  <c r="FX239" i="7"/>
  <c r="GJ238" i="7"/>
  <c r="GF238" i="7"/>
  <c r="GB238" i="7"/>
  <c r="FY238" i="7"/>
  <c r="FX238" i="7" s="1"/>
  <c r="GJ237" i="7"/>
  <c r="GF237" i="7"/>
  <c r="GB237" i="7"/>
  <c r="FY237" i="7"/>
  <c r="FX237" i="7"/>
  <c r="GJ236" i="7"/>
  <c r="GF236" i="7"/>
  <c r="GB236" i="7"/>
  <c r="FY236" i="7"/>
  <c r="FX236" i="7"/>
  <c r="GJ235" i="7"/>
  <c r="GF235" i="7"/>
  <c r="GB235" i="7"/>
  <c r="FY235" i="7"/>
  <c r="FX235" i="7" s="1"/>
  <c r="GJ234" i="7"/>
  <c r="GF234" i="7"/>
  <c r="GB234" i="7"/>
  <c r="FY234" i="7"/>
  <c r="FX234" i="7" s="1"/>
  <c r="GJ233" i="7"/>
  <c r="GF233" i="7"/>
  <c r="GB233" i="7"/>
  <c r="FY233" i="7"/>
  <c r="FX233" i="7"/>
  <c r="GJ232" i="7"/>
  <c r="GF232" i="7"/>
  <c r="GB232" i="7"/>
  <c r="FY232" i="7"/>
  <c r="FX232" i="7" s="1"/>
  <c r="GJ231" i="7"/>
  <c r="GF231" i="7"/>
  <c r="GB231" i="7"/>
  <c r="FY231" i="7"/>
  <c r="FX231" i="7"/>
  <c r="GJ230" i="7"/>
  <c r="GF230" i="7"/>
  <c r="GB230" i="7"/>
  <c r="FY230" i="7"/>
  <c r="FX230" i="7" s="1"/>
  <c r="GJ229" i="7"/>
  <c r="GF229" i="7"/>
  <c r="GB229" i="7"/>
  <c r="FY229" i="7"/>
  <c r="FX229" i="7"/>
  <c r="GJ228" i="7"/>
  <c r="GF228" i="7"/>
  <c r="GB228" i="7"/>
  <c r="FY228" i="7"/>
  <c r="FX228" i="7"/>
  <c r="GJ227" i="7"/>
  <c r="GF227" i="7"/>
  <c r="GB227" i="7"/>
  <c r="FY227" i="7"/>
  <c r="FX227" i="7" s="1"/>
  <c r="GJ226" i="7"/>
  <c r="GF226" i="7"/>
  <c r="GB226" i="7"/>
  <c r="FY226" i="7"/>
  <c r="FX226" i="7" s="1"/>
  <c r="GJ225" i="7"/>
  <c r="GF225" i="7"/>
  <c r="GB225" i="7"/>
  <c r="FY225" i="7"/>
  <c r="FX225" i="7"/>
  <c r="GJ224" i="7"/>
  <c r="GF224" i="7"/>
  <c r="GB224" i="7"/>
  <c r="FY224" i="7"/>
  <c r="FX224" i="7" s="1"/>
  <c r="GJ223" i="7"/>
  <c r="GF223" i="7"/>
  <c r="GB223" i="7"/>
  <c r="FY223" i="7"/>
  <c r="FX223" i="7"/>
  <c r="GJ222" i="7"/>
  <c r="GF222" i="7"/>
  <c r="GB222" i="7"/>
  <c r="FY222" i="7"/>
  <c r="FX222" i="7" s="1"/>
  <c r="GJ221" i="7"/>
  <c r="GF221" i="7"/>
  <c r="GB221" i="7"/>
  <c r="FY221" i="7"/>
  <c r="FX221" i="7"/>
  <c r="GJ220" i="7"/>
  <c r="GF220" i="7"/>
  <c r="GB220" i="7"/>
  <c r="FY220" i="7"/>
  <c r="FX220" i="7"/>
  <c r="GJ219" i="7"/>
  <c r="GF219" i="7"/>
  <c r="GB219" i="7"/>
  <c r="FY219" i="7"/>
  <c r="FX219" i="7" s="1"/>
  <c r="GJ218" i="7"/>
  <c r="GF218" i="7"/>
  <c r="GB218" i="7"/>
  <c r="FY218" i="7"/>
  <c r="FX218" i="7" s="1"/>
  <c r="GJ217" i="7"/>
  <c r="GF217" i="7"/>
  <c r="GB217" i="7"/>
  <c r="FY217" i="7"/>
  <c r="FX217" i="7"/>
  <c r="GJ216" i="7"/>
  <c r="GF216" i="7"/>
  <c r="GB216" i="7"/>
  <c r="FY216" i="7"/>
  <c r="FX216" i="7" s="1"/>
  <c r="GJ215" i="7"/>
  <c r="GF215" i="7"/>
  <c r="GB215" i="7"/>
  <c r="FY215" i="7"/>
  <c r="FX215" i="7"/>
  <c r="GJ214" i="7"/>
  <c r="GF214" i="7"/>
  <c r="GB214" i="7"/>
  <c r="FY214" i="7"/>
  <c r="FX214" i="7" s="1"/>
  <c r="GJ213" i="7"/>
  <c r="GF213" i="7"/>
  <c r="GB213" i="7"/>
  <c r="FY213" i="7"/>
  <c r="FX213" i="7"/>
  <c r="GJ212" i="7"/>
  <c r="GF212" i="7"/>
  <c r="GB212" i="7"/>
  <c r="FY212" i="7"/>
  <c r="FX212" i="7"/>
  <c r="GJ211" i="7"/>
  <c r="GF211" i="7"/>
  <c r="GB211" i="7"/>
  <c r="FY211" i="7"/>
  <c r="FX211" i="7" s="1"/>
  <c r="GJ210" i="7"/>
  <c r="GF210" i="7"/>
  <c r="GB210" i="7"/>
  <c r="FY210" i="7"/>
  <c r="FX210" i="7" s="1"/>
  <c r="GJ209" i="7"/>
  <c r="GF209" i="7"/>
  <c r="GB209" i="7"/>
  <c r="FY209" i="7"/>
  <c r="FX209" i="7"/>
  <c r="GJ208" i="7"/>
  <c r="GF208" i="7"/>
  <c r="GB208" i="7"/>
  <c r="FY208" i="7"/>
  <c r="FX208" i="7" s="1"/>
  <c r="GJ207" i="7"/>
  <c r="GF207" i="7"/>
  <c r="GB207" i="7"/>
  <c r="FY207" i="7"/>
  <c r="FX207" i="7"/>
  <c r="GJ206" i="7"/>
  <c r="GF206" i="7"/>
  <c r="GB206" i="7"/>
  <c r="FY206" i="7"/>
  <c r="FX206" i="7" s="1"/>
  <c r="GJ205" i="7"/>
  <c r="GF205" i="7"/>
  <c r="GB205" i="7"/>
  <c r="FY205" i="7"/>
  <c r="FX205" i="7"/>
  <c r="GJ204" i="7"/>
  <c r="GF204" i="7"/>
  <c r="GB204" i="7"/>
  <c r="FY204" i="7"/>
  <c r="FX204" i="7"/>
  <c r="GJ203" i="7"/>
  <c r="GF203" i="7"/>
  <c r="GB203" i="7"/>
  <c r="FY203" i="7"/>
  <c r="FX203" i="7" s="1"/>
  <c r="GJ202" i="7"/>
  <c r="GF202" i="7"/>
  <c r="GB202" i="7"/>
  <c r="FY202" i="7"/>
  <c r="FX202" i="7" s="1"/>
  <c r="GJ201" i="7"/>
  <c r="GF201" i="7"/>
  <c r="GB201" i="7"/>
  <c r="FY201" i="7"/>
  <c r="FX201" i="7"/>
  <c r="GJ200" i="7"/>
  <c r="GF200" i="7"/>
  <c r="GB200" i="7"/>
  <c r="FY200" i="7"/>
  <c r="FX200" i="7" s="1"/>
  <c r="GJ199" i="7"/>
  <c r="GF199" i="7"/>
  <c r="GB199" i="7"/>
  <c r="FY199" i="7"/>
  <c r="FX199" i="7"/>
  <c r="GJ198" i="7"/>
  <c r="GF198" i="7"/>
  <c r="GB198" i="7"/>
  <c r="FY198" i="7"/>
  <c r="FX198" i="7" s="1"/>
  <c r="GJ197" i="7"/>
  <c r="GF197" i="7"/>
  <c r="GB197" i="7"/>
  <c r="FY197" i="7"/>
  <c r="FX197" i="7"/>
  <c r="GJ196" i="7"/>
  <c r="GF196" i="7"/>
  <c r="GB196" i="7"/>
  <c r="FY196" i="7"/>
  <c r="FX196" i="7"/>
  <c r="GJ195" i="7"/>
  <c r="GF195" i="7"/>
  <c r="GB195" i="7"/>
  <c r="FY195" i="7"/>
  <c r="FX195" i="7" s="1"/>
  <c r="GJ194" i="7"/>
  <c r="GF194" i="7"/>
  <c r="GB194" i="7"/>
  <c r="FY194" i="7"/>
  <c r="FX194" i="7" s="1"/>
  <c r="GJ193" i="7"/>
  <c r="GF193" i="7"/>
  <c r="GB193" i="7"/>
  <c r="FY193" i="7"/>
  <c r="FX193" i="7"/>
  <c r="GJ192" i="7"/>
  <c r="GF192" i="7"/>
  <c r="GB192" i="7"/>
  <c r="FY192" i="7"/>
  <c r="FX192" i="7" s="1"/>
  <c r="GJ191" i="7"/>
  <c r="GF191" i="7"/>
  <c r="GB191" i="7"/>
  <c r="FY191" i="7"/>
  <c r="FX191" i="7"/>
  <c r="GJ190" i="7"/>
  <c r="GF190" i="7"/>
  <c r="GB190" i="7"/>
  <c r="FY190" i="7"/>
  <c r="FX190" i="7" s="1"/>
  <c r="GJ189" i="7"/>
  <c r="GF189" i="7"/>
  <c r="GB189" i="7"/>
  <c r="FY189" i="7"/>
  <c r="FX189" i="7"/>
  <c r="GJ188" i="7"/>
  <c r="GF188" i="7"/>
  <c r="GB188" i="7"/>
  <c r="FY188" i="7"/>
  <c r="FX188" i="7"/>
  <c r="GJ187" i="7"/>
  <c r="GF187" i="7"/>
  <c r="GB187" i="7"/>
  <c r="FY187" i="7"/>
  <c r="FX187" i="7" s="1"/>
  <c r="GJ186" i="7"/>
  <c r="GF186" i="7"/>
  <c r="GB186" i="7"/>
  <c r="FY186" i="7"/>
  <c r="FX186" i="7" s="1"/>
  <c r="GJ185" i="7"/>
  <c r="GF185" i="7"/>
  <c r="GB185" i="7"/>
  <c r="FY185" i="7"/>
  <c r="FX185" i="7"/>
  <c r="GJ184" i="7"/>
  <c r="GF184" i="7"/>
  <c r="GB184" i="7"/>
  <c r="FY184" i="7"/>
  <c r="FX184" i="7" s="1"/>
  <c r="GJ183" i="7"/>
  <c r="GF183" i="7"/>
  <c r="GB183" i="7"/>
  <c r="FY183" i="7"/>
  <c r="FX183" i="7"/>
  <c r="GJ182" i="7"/>
  <c r="GF182" i="7"/>
  <c r="GB182" i="7"/>
  <c r="FY182" i="7"/>
  <c r="FX182" i="7" s="1"/>
  <c r="GJ181" i="7"/>
  <c r="GF181" i="7"/>
  <c r="GB181" i="7"/>
  <c r="FY181" i="7"/>
  <c r="FX181" i="7"/>
  <c r="GJ180" i="7"/>
  <c r="GF180" i="7"/>
  <c r="GB180" i="7"/>
  <c r="FY180" i="7"/>
  <c r="FX180" i="7" s="1"/>
  <c r="GJ179" i="7"/>
  <c r="GF179" i="7"/>
  <c r="GB179" i="7"/>
  <c r="FY179" i="7"/>
  <c r="FX179" i="7" s="1"/>
  <c r="GJ178" i="7"/>
  <c r="GF178" i="7"/>
  <c r="GB178" i="7"/>
  <c r="FY178" i="7"/>
  <c r="FX178" i="7" s="1"/>
  <c r="GJ177" i="7"/>
  <c r="GF177" i="7"/>
  <c r="GB177" i="7"/>
  <c r="FY177" i="7"/>
  <c r="FX177" i="7"/>
  <c r="GJ176" i="7"/>
  <c r="GF176" i="7"/>
  <c r="GB176" i="7"/>
  <c r="FY176" i="7"/>
  <c r="FX176" i="7" s="1"/>
  <c r="GJ175" i="7"/>
  <c r="GF175" i="7"/>
  <c r="GB175" i="7"/>
  <c r="FY175" i="7"/>
  <c r="FX175" i="7"/>
  <c r="GJ174" i="7"/>
  <c r="GF174" i="7"/>
  <c r="GB174" i="7"/>
  <c r="FY174" i="7"/>
  <c r="FX174" i="7" s="1"/>
  <c r="GJ173" i="7"/>
  <c r="GF173" i="7"/>
  <c r="GB173" i="7"/>
  <c r="FY173" i="7"/>
  <c r="FX173" i="7"/>
  <c r="GJ172" i="7"/>
  <c r="GF172" i="7"/>
  <c r="GB172" i="7"/>
  <c r="FY172" i="7"/>
  <c r="FX172" i="7" s="1"/>
  <c r="GJ171" i="7"/>
  <c r="GF171" i="7"/>
  <c r="GB171" i="7"/>
  <c r="FY171" i="7"/>
  <c r="FX171" i="7" s="1"/>
  <c r="GJ170" i="7"/>
  <c r="GF170" i="7"/>
  <c r="GB170" i="7"/>
  <c r="FY170" i="7"/>
  <c r="FX170" i="7" s="1"/>
  <c r="GJ169" i="7"/>
  <c r="GF169" i="7"/>
  <c r="GB169" i="7"/>
  <c r="FY169" i="7"/>
  <c r="FX169" i="7"/>
  <c r="GJ168" i="7"/>
  <c r="GF168" i="7"/>
  <c r="GB168" i="7"/>
  <c r="FY168" i="7"/>
  <c r="FX168" i="7" s="1"/>
  <c r="GJ167" i="7"/>
  <c r="GF167" i="7"/>
  <c r="GB167" i="7"/>
  <c r="FY167" i="7"/>
  <c r="FX167" i="7"/>
  <c r="GJ166" i="7"/>
  <c r="GF166" i="7"/>
  <c r="GB166" i="7"/>
  <c r="FY166" i="7"/>
  <c r="FX166" i="7" s="1"/>
  <c r="GJ165" i="7"/>
  <c r="GF165" i="7"/>
  <c r="GB165" i="7"/>
  <c r="FY165" i="7"/>
  <c r="FX165" i="7"/>
  <c r="GJ164" i="7"/>
  <c r="GF164" i="7"/>
  <c r="GB164" i="7"/>
  <c r="FY164" i="7"/>
  <c r="FX164" i="7" s="1"/>
  <c r="GJ163" i="7"/>
  <c r="GF163" i="7"/>
  <c r="GB163" i="7"/>
  <c r="FY163" i="7"/>
  <c r="FX163" i="7" s="1"/>
  <c r="GJ162" i="7"/>
  <c r="GF162" i="7"/>
  <c r="GB162" i="7"/>
  <c r="FY162" i="7"/>
  <c r="FX162" i="7" s="1"/>
  <c r="GJ161" i="7"/>
  <c r="GF161" i="7"/>
  <c r="GB161" i="7"/>
  <c r="FY161" i="7"/>
  <c r="FX161" i="7"/>
  <c r="GJ160" i="7"/>
  <c r="GF160" i="7"/>
  <c r="GB160" i="7"/>
  <c r="FY160" i="7"/>
  <c r="FX160" i="7" s="1"/>
  <c r="GJ159" i="7"/>
  <c r="GF159" i="7"/>
  <c r="GB159" i="7"/>
  <c r="FY159" i="7"/>
  <c r="FX159" i="7"/>
  <c r="GJ158" i="7"/>
  <c r="GF158" i="7"/>
  <c r="GB158" i="7"/>
  <c r="FY158" i="7"/>
  <c r="FX158" i="7" s="1"/>
  <c r="GJ157" i="7"/>
  <c r="GF157" i="7"/>
  <c r="GB157" i="7"/>
  <c r="FY157" i="7"/>
  <c r="FX157" i="7"/>
  <c r="GJ156" i="7"/>
  <c r="GF156" i="7"/>
  <c r="GB156" i="7"/>
  <c r="FY156" i="7"/>
  <c r="FX156" i="7" s="1"/>
  <c r="GJ155" i="7"/>
  <c r="GF155" i="7"/>
  <c r="GB155" i="7"/>
  <c r="FY155" i="7"/>
  <c r="FX155" i="7" s="1"/>
  <c r="GJ154" i="7"/>
  <c r="GF154" i="7"/>
  <c r="GB154" i="7"/>
  <c r="FY154" i="7"/>
  <c r="FX154" i="7" s="1"/>
  <c r="GJ153" i="7"/>
  <c r="GF153" i="7"/>
  <c r="GB153" i="7"/>
  <c r="FY153" i="7"/>
  <c r="FX153" i="7"/>
  <c r="GJ152" i="7"/>
  <c r="GF152" i="7"/>
  <c r="GB152" i="7"/>
  <c r="FY152" i="7"/>
  <c r="FX152" i="7" s="1"/>
  <c r="GJ151" i="7"/>
  <c r="GF151" i="7"/>
  <c r="GB151" i="7"/>
  <c r="FY151" i="7"/>
  <c r="FX151" i="7"/>
  <c r="GJ150" i="7"/>
  <c r="GF150" i="7"/>
  <c r="GB150" i="7"/>
  <c r="FY150" i="7"/>
  <c r="FX150" i="7" s="1"/>
  <c r="GJ149" i="7"/>
  <c r="GF149" i="7"/>
  <c r="GB149" i="7"/>
  <c r="FY149" i="7"/>
  <c r="FX149" i="7"/>
  <c r="GJ148" i="7"/>
  <c r="GF148" i="7"/>
  <c r="GB148" i="7"/>
  <c r="FY148" i="7"/>
  <c r="FX148" i="7" s="1"/>
  <c r="GJ147" i="7"/>
  <c r="GF147" i="7"/>
  <c r="GB147" i="7"/>
  <c r="FY147" i="7"/>
  <c r="FX147" i="7" s="1"/>
  <c r="GJ146" i="7"/>
  <c r="GF146" i="7"/>
  <c r="GB146" i="7"/>
  <c r="FY146" i="7"/>
  <c r="FX146" i="7" s="1"/>
  <c r="GJ145" i="7"/>
  <c r="GF145" i="7"/>
  <c r="GB145" i="7"/>
  <c r="FY145" i="7"/>
  <c r="FX145" i="7"/>
  <c r="GJ144" i="7"/>
  <c r="GF144" i="7"/>
  <c r="GB144" i="7"/>
  <c r="FY144" i="7"/>
  <c r="FX144" i="7" s="1"/>
  <c r="GJ143" i="7"/>
  <c r="GF143" i="7"/>
  <c r="GB143" i="7"/>
  <c r="FY143" i="7"/>
  <c r="FX143" i="7"/>
  <c r="GJ142" i="7"/>
  <c r="GF142" i="7"/>
  <c r="GB142" i="7"/>
  <c r="FY142" i="7"/>
  <c r="FX142" i="7" s="1"/>
  <c r="GJ141" i="7"/>
  <c r="GF141" i="7"/>
  <c r="GB141" i="7"/>
  <c r="FY141" i="7"/>
  <c r="FX141" i="7"/>
  <c r="GJ140" i="7"/>
  <c r="GF140" i="7"/>
  <c r="GB140" i="7"/>
  <c r="FY140" i="7"/>
  <c r="FX140" i="7" s="1"/>
  <c r="GJ139" i="7"/>
  <c r="GF139" i="7"/>
  <c r="GB139" i="7"/>
  <c r="FY139" i="7"/>
  <c r="FX139" i="7" s="1"/>
  <c r="GJ138" i="7"/>
  <c r="GF138" i="7"/>
  <c r="GB138" i="7"/>
  <c r="FY138" i="7"/>
  <c r="FX138" i="7" s="1"/>
  <c r="GJ137" i="7"/>
  <c r="GF137" i="7"/>
  <c r="GB137" i="7"/>
  <c r="FY137" i="7"/>
  <c r="FX137" i="7" s="1"/>
  <c r="GJ136" i="7"/>
  <c r="GF136" i="7"/>
  <c r="GB136" i="7"/>
  <c r="FY136" i="7"/>
  <c r="FX136" i="7"/>
  <c r="GJ135" i="7"/>
  <c r="GF135" i="7"/>
  <c r="GB135" i="7"/>
  <c r="FY135" i="7"/>
  <c r="FX135" i="7" s="1"/>
  <c r="GJ134" i="7"/>
  <c r="GF134" i="7"/>
  <c r="GB134" i="7"/>
  <c r="FY134" i="7"/>
  <c r="FX134" i="7" s="1"/>
  <c r="GJ133" i="7"/>
  <c r="GF133" i="7"/>
  <c r="GB133" i="7"/>
  <c r="FY133" i="7"/>
  <c r="FX133" i="7" s="1"/>
  <c r="GJ132" i="7"/>
  <c r="GF132" i="7"/>
  <c r="GB132" i="7"/>
  <c r="FY132" i="7"/>
  <c r="FX132" i="7"/>
  <c r="GJ131" i="7"/>
  <c r="GF131" i="7"/>
  <c r="GB131" i="7"/>
  <c r="FY131" i="7"/>
  <c r="FX131" i="7" s="1"/>
  <c r="GJ130" i="7"/>
  <c r="GF130" i="7"/>
  <c r="GB130" i="7"/>
  <c r="FY130" i="7"/>
  <c r="FX130" i="7" s="1"/>
  <c r="GJ129" i="7"/>
  <c r="GF129" i="7"/>
  <c r="GB129" i="7"/>
  <c r="FY129" i="7"/>
  <c r="FX129" i="7" s="1"/>
  <c r="GJ128" i="7"/>
  <c r="GF128" i="7"/>
  <c r="GB128" i="7"/>
  <c r="FY128" i="7"/>
  <c r="FX128" i="7"/>
  <c r="GJ127" i="7"/>
  <c r="GF127" i="7"/>
  <c r="GB127" i="7"/>
  <c r="FY127" i="7"/>
  <c r="FX127" i="7" s="1"/>
  <c r="GJ126" i="7"/>
  <c r="GF126" i="7"/>
  <c r="GB126" i="7"/>
  <c r="FY126" i="7"/>
  <c r="FX126" i="7" s="1"/>
  <c r="GJ125" i="7"/>
  <c r="GF125" i="7"/>
  <c r="GB125" i="7"/>
  <c r="FY125" i="7"/>
  <c r="FX125" i="7" s="1"/>
  <c r="GJ124" i="7"/>
  <c r="GF124" i="7"/>
  <c r="GB124" i="7"/>
  <c r="FY124" i="7"/>
  <c r="FX124" i="7"/>
  <c r="GJ123" i="7"/>
  <c r="GF123" i="7"/>
  <c r="GB123" i="7"/>
  <c r="FY123" i="7"/>
  <c r="FX123" i="7" s="1"/>
  <c r="GJ122" i="7"/>
  <c r="GF122" i="7"/>
  <c r="GB122" i="7"/>
  <c r="FY122" i="7"/>
  <c r="FX122" i="7" s="1"/>
  <c r="GJ121" i="7"/>
  <c r="GF121" i="7"/>
  <c r="GB121" i="7"/>
  <c r="FY121" i="7"/>
  <c r="FX121" i="7" s="1"/>
  <c r="GJ120" i="7"/>
  <c r="GF120" i="7"/>
  <c r="GB120" i="7"/>
  <c r="FY120" i="7"/>
  <c r="FX120" i="7"/>
  <c r="GJ119" i="7"/>
  <c r="GF119" i="7"/>
  <c r="GB119" i="7"/>
  <c r="FY119" i="7"/>
  <c r="FX119" i="7" s="1"/>
  <c r="GJ118" i="7"/>
  <c r="GF118" i="7"/>
  <c r="GB118" i="7"/>
  <c r="FY118" i="7"/>
  <c r="FX118" i="7" s="1"/>
  <c r="GJ117" i="7"/>
  <c r="GF117" i="7"/>
  <c r="GB117" i="7"/>
  <c r="FY117" i="7"/>
  <c r="FX117" i="7" s="1"/>
  <c r="GJ116" i="7"/>
  <c r="GF116" i="7"/>
  <c r="GB116" i="7"/>
  <c r="FY116" i="7"/>
  <c r="FX116" i="7"/>
  <c r="GJ115" i="7"/>
  <c r="GF115" i="7"/>
  <c r="GB115" i="7"/>
  <c r="FY115" i="7"/>
  <c r="FX115" i="7" s="1"/>
  <c r="GJ114" i="7"/>
  <c r="GF114" i="7"/>
  <c r="GB114" i="7"/>
  <c r="FY114" i="7"/>
  <c r="FX114" i="7" s="1"/>
  <c r="GJ113" i="7"/>
  <c r="GF113" i="7"/>
  <c r="GB113" i="7"/>
  <c r="FY113" i="7"/>
  <c r="FX113" i="7" s="1"/>
  <c r="GJ112" i="7"/>
  <c r="GF112" i="7"/>
  <c r="GB112" i="7"/>
  <c r="FY112" i="7"/>
  <c r="FX112" i="7"/>
  <c r="GJ111" i="7"/>
  <c r="GF111" i="7"/>
  <c r="GB111" i="7"/>
  <c r="FY111" i="7"/>
  <c r="FX111" i="7" s="1"/>
  <c r="GJ110" i="7"/>
  <c r="GF110" i="7"/>
  <c r="GB110" i="7"/>
  <c r="FY110" i="7"/>
  <c r="FX110" i="7" s="1"/>
  <c r="GJ109" i="7"/>
  <c r="GF109" i="7"/>
  <c r="GB109" i="7"/>
  <c r="FY109" i="7"/>
  <c r="FX109" i="7" s="1"/>
  <c r="GJ108" i="7"/>
  <c r="GF108" i="7"/>
  <c r="GB108" i="7"/>
  <c r="FY108" i="7"/>
  <c r="FX108" i="7"/>
  <c r="GJ107" i="7"/>
  <c r="GF107" i="7"/>
  <c r="GB107" i="7"/>
  <c r="FY107" i="7"/>
  <c r="FX107" i="7" s="1"/>
  <c r="GJ106" i="7"/>
  <c r="GF106" i="7"/>
  <c r="GB106" i="7"/>
  <c r="FY106" i="7"/>
  <c r="FX106" i="7" s="1"/>
  <c r="GJ105" i="7"/>
  <c r="GF105" i="7"/>
  <c r="GB105" i="7"/>
  <c r="FY105" i="7"/>
  <c r="FX105" i="7" s="1"/>
  <c r="GJ104" i="7"/>
  <c r="GF104" i="7"/>
  <c r="GB104" i="7"/>
  <c r="FY104" i="7"/>
  <c r="FX104" i="7"/>
  <c r="GJ103" i="7"/>
  <c r="GF103" i="7"/>
  <c r="GB103" i="7"/>
  <c r="FY103" i="7"/>
  <c r="FX103" i="7" s="1"/>
  <c r="GJ102" i="7"/>
  <c r="GF102" i="7"/>
  <c r="GB102" i="7"/>
  <c r="FY102" i="7"/>
  <c r="FX102" i="7" s="1"/>
  <c r="GJ101" i="7"/>
  <c r="GF101" i="7"/>
  <c r="GB101" i="7"/>
  <c r="FY101" i="7"/>
  <c r="FX101" i="7" s="1"/>
  <c r="GJ100" i="7"/>
  <c r="GF100" i="7"/>
  <c r="GB100" i="7"/>
  <c r="FY100" i="7"/>
  <c r="FX100" i="7"/>
  <c r="GJ99" i="7"/>
  <c r="GF99" i="7"/>
  <c r="GB99" i="7"/>
  <c r="FY99" i="7"/>
  <c r="FX99" i="7" s="1"/>
  <c r="GJ98" i="7"/>
  <c r="GF98" i="7"/>
  <c r="GB98" i="7"/>
  <c r="FY98" i="7"/>
  <c r="FX98" i="7" s="1"/>
  <c r="GJ97" i="7"/>
  <c r="GF97" i="7"/>
  <c r="GB97" i="7"/>
  <c r="FY97" i="7"/>
  <c r="FX97" i="7" s="1"/>
  <c r="GJ96" i="7"/>
  <c r="GF96" i="7"/>
  <c r="GB96" i="7"/>
  <c r="FY96" i="7"/>
  <c r="FX96" i="7"/>
  <c r="GJ95" i="7"/>
  <c r="GF95" i="7"/>
  <c r="GB95" i="7"/>
  <c r="FY95" i="7"/>
  <c r="FX95" i="7" s="1"/>
  <c r="GJ94" i="7"/>
  <c r="GF94" i="7"/>
  <c r="GB94" i="7"/>
  <c r="FY94" i="7"/>
  <c r="FX94" i="7" s="1"/>
  <c r="GJ93" i="7"/>
  <c r="GF93" i="7"/>
  <c r="GB93" i="7"/>
  <c r="FY93" i="7"/>
  <c r="FX93" i="7" s="1"/>
  <c r="GJ92" i="7"/>
  <c r="GF92" i="7"/>
  <c r="GB92" i="7"/>
  <c r="FY92" i="7"/>
  <c r="FX92" i="7"/>
  <c r="GJ91" i="7"/>
  <c r="GF91" i="7"/>
  <c r="GB91" i="7"/>
  <c r="FY91" i="7"/>
  <c r="FX91" i="7" s="1"/>
  <c r="GJ90" i="7"/>
  <c r="GF90" i="7"/>
  <c r="GB90" i="7"/>
  <c r="FY90" i="7"/>
  <c r="FX90" i="7" s="1"/>
  <c r="GJ89" i="7"/>
  <c r="GF89" i="7"/>
  <c r="GB89" i="7"/>
  <c r="FY89" i="7"/>
  <c r="FX89" i="7" s="1"/>
  <c r="GJ88" i="7"/>
  <c r="GF88" i="7"/>
  <c r="GB88" i="7"/>
  <c r="FY88" i="7"/>
  <c r="FX88" i="7"/>
  <c r="GJ87" i="7"/>
  <c r="GF87" i="7"/>
  <c r="GB87" i="7"/>
  <c r="FY87" i="7"/>
  <c r="FX87" i="7" s="1"/>
  <c r="GJ86" i="7"/>
  <c r="GF86" i="7"/>
  <c r="GB86" i="7"/>
  <c r="FY86" i="7"/>
  <c r="FX86" i="7" s="1"/>
  <c r="GJ85" i="7"/>
  <c r="GF85" i="7"/>
  <c r="GB85" i="7"/>
  <c r="FY85" i="7"/>
  <c r="FX85" i="7" s="1"/>
  <c r="GJ84" i="7"/>
  <c r="GF84" i="7"/>
  <c r="GB84" i="7"/>
  <c r="FY84" i="7"/>
  <c r="FX84" i="7"/>
  <c r="GJ83" i="7"/>
  <c r="GF83" i="7"/>
  <c r="GB83" i="7"/>
  <c r="FY83" i="7"/>
  <c r="FX83" i="7" s="1"/>
  <c r="GJ82" i="7"/>
  <c r="GF82" i="7"/>
  <c r="GB82" i="7"/>
  <c r="FY82" i="7"/>
  <c r="FX82" i="7" s="1"/>
  <c r="GJ81" i="7"/>
  <c r="GF81" i="7"/>
  <c r="GB81" i="7"/>
  <c r="FY81" i="7"/>
  <c r="FX81" i="7" s="1"/>
  <c r="GJ80" i="7"/>
  <c r="GF80" i="7"/>
  <c r="GB80" i="7"/>
  <c r="FY80" i="7"/>
  <c r="FX80" i="7"/>
  <c r="GJ79" i="7"/>
  <c r="GF79" i="7"/>
  <c r="GB79" i="7"/>
  <c r="FY79" i="7"/>
  <c r="FX79" i="7" s="1"/>
  <c r="GJ78" i="7"/>
  <c r="GF78" i="7"/>
  <c r="GB78" i="7"/>
  <c r="FY78" i="7"/>
  <c r="FX78" i="7" s="1"/>
  <c r="GJ77" i="7"/>
  <c r="GF77" i="7"/>
  <c r="GB77" i="7"/>
  <c r="FY77" i="7"/>
  <c r="FX77" i="7" s="1"/>
  <c r="GJ76" i="7"/>
  <c r="GF76" i="7"/>
  <c r="GB76" i="7"/>
  <c r="FY76" i="7"/>
  <c r="FX76" i="7"/>
  <c r="GJ75" i="7"/>
  <c r="GF75" i="7"/>
  <c r="GB75" i="7"/>
  <c r="FY75" i="7"/>
  <c r="FX75" i="7" s="1"/>
  <c r="GJ74" i="7"/>
  <c r="GF74" i="7"/>
  <c r="GB74" i="7"/>
  <c r="FY74" i="7"/>
  <c r="FX74" i="7" s="1"/>
  <c r="GJ73" i="7"/>
  <c r="GF73" i="7"/>
  <c r="GB73" i="7"/>
  <c r="FY73" i="7"/>
  <c r="FX73" i="7" s="1"/>
  <c r="GJ72" i="7"/>
  <c r="GF72" i="7"/>
  <c r="GB72" i="7"/>
  <c r="FY72" i="7"/>
  <c r="FX72" i="7"/>
  <c r="GJ71" i="7"/>
  <c r="GF71" i="7"/>
  <c r="GB71" i="7"/>
  <c r="FY71" i="7"/>
  <c r="FX71" i="7" s="1"/>
  <c r="GJ70" i="7"/>
  <c r="GF70" i="7"/>
  <c r="GB70" i="7"/>
  <c r="FY70" i="7"/>
  <c r="FX70" i="7" s="1"/>
  <c r="GJ69" i="7"/>
  <c r="GF69" i="7"/>
  <c r="GB69" i="7"/>
  <c r="FY69" i="7"/>
  <c r="FX69" i="7" s="1"/>
  <c r="GJ68" i="7"/>
  <c r="GF68" i="7"/>
  <c r="GB68" i="7"/>
  <c r="FY68" i="7"/>
  <c r="FX68" i="7"/>
  <c r="GJ67" i="7"/>
  <c r="GF67" i="7"/>
  <c r="GB67" i="7"/>
  <c r="FY67" i="7"/>
  <c r="FX67" i="7" s="1"/>
  <c r="GJ66" i="7"/>
  <c r="GF66" i="7"/>
  <c r="GB66" i="7"/>
  <c r="FY66" i="7"/>
  <c r="FX66" i="7" s="1"/>
  <c r="GJ65" i="7"/>
  <c r="GF65" i="7"/>
  <c r="GB65" i="7"/>
  <c r="FY65" i="7"/>
  <c r="FX65" i="7" s="1"/>
  <c r="GJ64" i="7"/>
  <c r="GF64" i="7"/>
  <c r="GB64" i="7"/>
  <c r="FY64" i="7"/>
  <c r="FX64" i="7"/>
  <c r="GJ63" i="7"/>
  <c r="GF63" i="7"/>
  <c r="GB63" i="7"/>
  <c r="FY63" i="7"/>
  <c r="FX63" i="7" s="1"/>
  <c r="GJ62" i="7"/>
  <c r="GF62" i="7"/>
  <c r="GB62" i="7"/>
  <c r="FY62" i="7"/>
  <c r="FX62" i="7" s="1"/>
  <c r="GJ61" i="7"/>
  <c r="GF61" i="7"/>
  <c r="GB61" i="7"/>
  <c r="FY61" i="7"/>
  <c r="FX61" i="7" s="1"/>
  <c r="GJ60" i="7"/>
  <c r="GF60" i="7"/>
  <c r="GB60" i="7"/>
  <c r="FY60" i="7"/>
  <c r="FX60" i="7"/>
  <c r="GJ59" i="7"/>
  <c r="GF59" i="7"/>
  <c r="GB59" i="7"/>
  <c r="FY59" i="7"/>
  <c r="FX59" i="7" s="1"/>
  <c r="GJ58" i="7"/>
  <c r="GF58" i="7"/>
  <c r="GB58" i="7"/>
  <c r="FY58" i="7"/>
  <c r="FX58" i="7" s="1"/>
  <c r="GJ57" i="7"/>
  <c r="GF57" i="7"/>
  <c r="GB57" i="7"/>
  <c r="FY57" i="7"/>
  <c r="FX57" i="7" s="1"/>
  <c r="GJ56" i="7"/>
  <c r="GF56" i="7"/>
  <c r="GB56" i="7"/>
  <c r="FY56" i="7"/>
  <c r="FX56" i="7"/>
  <c r="GJ55" i="7"/>
  <c r="GF55" i="7"/>
  <c r="GB55" i="7"/>
  <c r="FY55" i="7"/>
  <c r="FX55" i="7" s="1"/>
  <c r="GJ54" i="7"/>
  <c r="GF54" i="7"/>
  <c r="GB54" i="7"/>
  <c r="FY54" i="7"/>
  <c r="FX54" i="7" s="1"/>
  <c r="GJ53" i="7"/>
  <c r="GF53" i="7"/>
  <c r="GB53" i="7"/>
  <c r="FY53" i="7"/>
  <c r="FX53" i="7" s="1"/>
  <c r="GJ52" i="7"/>
  <c r="GF52" i="7"/>
  <c r="GB52" i="7"/>
  <c r="FY52" i="7"/>
  <c r="FX52" i="7"/>
  <c r="GJ51" i="7"/>
  <c r="GF51" i="7"/>
  <c r="GB51" i="7"/>
  <c r="FY51" i="7"/>
  <c r="FX51" i="7" s="1"/>
  <c r="GJ50" i="7"/>
  <c r="GF50" i="7"/>
  <c r="GB50" i="7"/>
  <c r="FY50" i="7"/>
  <c r="FX50" i="7" s="1"/>
  <c r="GJ49" i="7"/>
  <c r="GF49" i="7"/>
  <c r="GB49" i="7"/>
  <c r="FY49" i="7"/>
  <c r="FX49" i="7" s="1"/>
  <c r="GJ48" i="7"/>
  <c r="GF48" i="7"/>
  <c r="GB48" i="7"/>
  <c r="FY48" i="7"/>
  <c r="FX48" i="7"/>
  <c r="GJ47" i="7"/>
  <c r="GF47" i="7"/>
  <c r="GB47" i="7"/>
  <c r="FY47" i="7"/>
  <c r="FX47" i="7" s="1"/>
  <c r="GJ46" i="7"/>
  <c r="GF46" i="7"/>
  <c r="GB46" i="7"/>
  <c r="FY46" i="7"/>
  <c r="FX46" i="7" s="1"/>
  <c r="GJ45" i="7"/>
  <c r="GF45" i="7"/>
  <c r="GB45" i="7"/>
  <c r="FY45" i="7"/>
  <c r="FX45" i="7" s="1"/>
  <c r="GJ44" i="7"/>
  <c r="GF44" i="7"/>
  <c r="GB44" i="7"/>
  <c r="FY44" i="7"/>
  <c r="FX44" i="7"/>
  <c r="GJ43" i="7"/>
  <c r="GF43" i="7"/>
  <c r="GB43" i="7"/>
  <c r="FY43" i="7"/>
  <c r="FX43" i="7" s="1"/>
  <c r="GJ42" i="7"/>
  <c r="GF42" i="7"/>
  <c r="GB42" i="7"/>
  <c r="FY42" i="7"/>
  <c r="FX42" i="7" s="1"/>
  <c r="GJ41" i="7"/>
  <c r="GF41" i="7"/>
  <c r="GB41" i="7"/>
  <c r="FY41" i="7"/>
  <c r="FX41" i="7" s="1"/>
  <c r="GJ40" i="7"/>
  <c r="GF40" i="7"/>
  <c r="GB40" i="7"/>
  <c r="FY40" i="7"/>
  <c r="FX40" i="7"/>
  <c r="GJ39" i="7"/>
  <c r="GF39" i="7"/>
  <c r="GB39" i="7"/>
  <c r="FY39" i="7"/>
  <c r="FX39" i="7" s="1"/>
  <c r="GJ38" i="7"/>
  <c r="GF38" i="7"/>
  <c r="GB38" i="7"/>
  <c r="FY38" i="7"/>
  <c r="FX38" i="7" s="1"/>
  <c r="GJ37" i="7"/>
  <c r="GF37" i="7"/>
  <c r="GB37" i="7"/>
  <c r="FY37" i="7"/>
  <c r="FX37" i="7" s="1"/>
  <c r="GJ36" i="7"/>
  <c r="GF36" i="7"/>
  <c r="GB36" i="7"/>
  <c r="FY36" i="7"/>
  <c r="FX36" i="7"/>
  <c r="GJ35" i="7"/>
  <c r="GF35" i="7"/>
  <c r="GB35" i="7"/>
  <c r="FY35" i="7"/>
  <c r="FX35" i="7" s="1"/>
  <c r="GJ34" i="7"/>
  <c r="GF34" i="7"/>
  <c r="GB34" i="7"/>
  <c r="FY34" i="7"/>
  <c r="FX34" i="7" s="1"/>
  <c r="GJ33" i="7"/>
  <c r="GF33" i="7"/>
  <c r="GB33" i="7"/>
  <c r="FY33" i="7"/>
  <c r="FX33" i="7" s="1"/>
  <c r="GJ32" i="7"/>
  <c r="GF32" i="7"/>
  <c r="GB32" i="7"/>
  <c r="FY32" i="7"/>
  <c r="FX32" i="7"/>
  <c r="GJ31" i="7"/>
  <c r="GF31" i="7"/>
  <c r="GB31" i="7"/>
  <c r="FY31" i="7"/>
  <c r="FX31" i="7" s="1"/>
  <c r="GJ30" i="7"/>
  <c r="GF30" i="7"/>
  <c r="GB30" i="7"/>
  <c r="FY30" i="7"/>
  <c r="FX30" i="7" s="1"/>
  <c r="GJ29" i="7"/>
  <c r="GF29" i="7"/>
  <c r="GB29" i="7"/>
  <c r="FY29" i="7"/>
  <c r="FX29" i="7" s="1"/>
  <c r="GJ28" i="7"/>
  <c r="GF28" i="7"/>
  <c r="GB28" i="7"/>
  <c r="FY28" i="7"/>
  <c r="FX28" i="7"/>
  <c r="GJ27" i="7"/>
  <c r="GF27" i="7"/>
  <c r="GB27" i="7"/>
  <c r="FY27" i="7"/>
  <c r="FX27" i="7" s="1"/>
  <c r="GJ26" i="7"/>
  <c r="GF26" i="7"/>
  <c r="GB26" i="7"/>
  <c r="FY26" i="7"/>
  <c r="FX26" i="7"/>
  <c r="GJ25" i="7"/>
  <c r="GF25" i="7"/>
  <c r="GB25" i="7"/>
  <c r="FY25" i="7"/>
  <c r="FX25" i="7" s="1"/>
  <c r="GJ24" i="7"/>
  <c r="GF24" i="7"/>
  <c r="GB24" i="7"/>
  <c r="FY24" i="7"/>
  <c r="FX24" i="7"/>
  <c r="GJ23" i="7"/>
  <c r="GF23" i="7"/>
  <c r="GB23" i="7"/>
  <c r="FY23" i="7"/>
  <c r="FX23" i="7" s="1"/>
  <c r="GJ22" i="7"/>
  <c r="GF22" i="7"/>
  <c r="GB22" i="7"/>
  <c r="FY22" i="7"/>
  <c r="FX22" i="7"/>
  <c r="GJ21" i="7"/>
  <c r="GF21" i="7"/>
  <c r="GB21" i="7"/>
  <c r="FY21" i="7"/>
  <c r="FX21" i="7" s="1"/>
  <c r="GJ20" i="7"/>
  <c r="GF20" i="7"/>
  <c r="GB20" i="7"/>
  <c r="FY20" i="7"/>
  <c r="FX20" i="7"/>
  <c r="GJ19" i="7"/>
  <c r="GF19" i="7"/>
  <c r="GB19" i="7"/>
  <c r="FY19" i="7"/>
  <c r="FX19" i="7" s="1"/>
  <c r="GJ18" i="7"/>
  <c r="GF18" i="7"/>
  <c r="GB18" i="7"/>
  <c r="FY18" i="7"/>
  <c r="FX18" i="7"/>
  <c r="GJ17" i="7"/>
  <c r="GF17" i="7"/>
  <c r="GB17" i="7"/>
  <c r="FY17" i="7"/>
  <c r="FX17" i="7" s="1"/>
  <c r="GJ16" i="7"/>
  <c r="GF16" i="7"/>
  <c r="GB16" i="7"/>
  <c r="FY16" i="7"/>
  <c r="FX16" i="7"/>
  <c r="GJ15" i="7"/>
  <c r="GF15" i="7"/>
  <c r="GB15" i="7"/>
  <c r="FY15" i="7"/>
  <c r="FX15" i="7" s="1"/>
  <c r="GJ14" i="7"/>
  <c r="GF14" i="7"/>
  <c r="GB14" i="7"/>
  <c r="FY14" i="7"/>
  <c r="FX14" i="7"/>
  <c r="GJ13" i="7"/>
  <c r="GF13" i="7"/>
  <c r="GB13" i="7"/>
  <c r="FY13" i="7"/>
  <c r="FX13" i="7" s="1"/>
  <c r="GJ12" i="7"/>
  <c r="GG10" i="7"/>
  <c r="GF12" i="7"/>
  <c r="GB12" i="7"/>
  <c r="FY12" i="7"/>
  <c r="FX12" i="7"/>
  <c r="GJ11" i="7"/>
  <c r="GF11" i="7"/>
  <c r="GB11" i="7"/>
  <c r="FY11" i="7"/>
  <c r="FY10" i="7" s="1"/>
  <c r="GF10" i="7"/>
  <c r="FW10" i="7"/>
  <c r="FV10" i="7"/>
  <c r="GB10" i="7" s="1"/>
  <c r="FT10" i="7"/>
  <c r="FS10" i="7"/>
  <c r="FR10" i="7"/>
  <c r="FQ10" i="7"/>
  <c r="FP10" i="7"/>
  <c r="FO10" i="7"/>
  <c r="FN10" i="7"/>
  <c r="FM10" i="7"/>
  <c r="FL10" i="7"/>
  <c r="FK10" i="7"/>
  <c r="FJ10" i="7"/>
  <c r="FI10" i="7"/>
  <c r="FH10" i="7"/>
  <c r="FG10" i="7"/>
  <c r="FF10" i="7"/>
  <c r="FE10" i="7"/>
  <c r="FD10" i="7"/>
  <c r="FC10" i="7"/>
  <c r="FB10" i="7"/>
  <c r="FA10" i="7"/>
  <c r="EZ10" i="7"/>
  <c r="EY10" i="7"/>
  <c r="EX10" i="7"/>
  <c r="EW10" i="7"/>
  <c r="EV10" i="7"/>
  <c r="EU10" i="7"/>
  <c r="ET10" i="7"/>
  <c r="ES10" i="7"/>
  <c r="ER10" i="7"/>
  <c r="EQ10" i="7"/>
  <c r="EP10" i="7"/>
  <c r="EO10" i="7"/>
  <c r="EN10" i="7"/>
  <c r="EM10" i="7"/>
  <c r="EL10" i="7"/>
  <c r="EK10" i="7"/>
  <c r="EJ10" i="7"/>
  <c r="EI10" i="7"/>
  <c r="EH10" i="7"/>
  <c r="EG10" i="7"/>
  <c r="EF10" i="7"/>
  <c r="EE10" i="7"/>
  <c r="ED10" i="7"/>
  <c r="EC10" i="7"/>
  <c r="EB10" i="7"/>
  <c r="EA10" i="7"/>
  <c r="DZ10" i="7"/>
  <c r="DY10" i="7"/>
  <c r="DX10" i="7"/>
  <c r="DW10" i="7"/>
  <c r="DV10" i="7"/>
  <c r="DU10" i="7"/>
  <c r="DT10" i="7"/>
  <c r="DS10" i="7"/>
  <c r="DR10" i="7"/>
  <c r="DQ10" i="7"/>
  <c r="DP10" i="7"/>
  <c r="DO10" i="7"/>
  <c r="DN10" i="7"/>
  <c r="DM10" i="7"/>
  <c r="DL10" i="7"/>
  <c r="DK10" i="7"/>
  <c r="DJ10" i="7"/>
  <c r="DI10" i="7"/>
  <c r="DH10" i="7"/>
  <c r="DG10" i="7"/>
  <c r="DF10" i="7"/>
  <c r="DE10" i="7"/>
  <c r="DD10" i="7"/>
  <c r="DC10" i="7"/>
  <c r="DB10" i="7"/>
  <c r="DA10" i="7"/>
  <c r="CZ10" i="7"/>
  <c r="CY10" i="7"/>
  <c r="CX10" i="7"/>
  <c r="CW10" i="7"/>
  <c r="CV10" i="7"/>
  <c r="CU10" i="7"/>
  <c r="CT10" i="7"/>
  <c r="CS10" i="7"/>
  <c r="CR10" i="7"/>
  <c r="CQ10" i="7"/>
  <c r="CP10" i="7"/>
  <c r="CO10" i="7"/>
  <c r="CN10" i="7"/>
  <c r="CM10" i="7"/>
  <c r="CL10" i="7"/>
  <c r="CK10" i="7"/>
  <c r="CJ10" i="7"/>
  <c r="CI10" i="7"/>
  <c r="CH10" i="7"/>
  <c r="CG10" i="7"/>
  <c r="CF10" i="7"/>
  <c r="CE10" i="7"/>
  <c r="CD10" i="7"/>
  <c r="CC10" i="7"/>
  <c r="CB10" i="7"/>
  <c r="CA10" i="7"/>
  <c r="BZ10" i="7"/>
  <c r="BY10" i="7"/>
  <c r="BX10" i="7"/>
  <c r="BW10" i="7"/>
  <c r="BV10" i="7"/>
  <c r="BU10" i="7"/>
  <c r="BT10" i="7"/>
  <c r="BS10" i="7"/>
  <c r="BR10" i="7"/>
  <c r="BQ10" i="7"/>
  <c r="BP10" i="7"/>
  <c r="BO10" i="7"/>
  <c r="BN10" i="7"/>
  <c r="BM10" i="7"/>
  <c r="BL10" i="7"/>
  <c r="BK10" i="7"/>
  <c r="BJ10" i="7"/>
  <c r="BI10" i="7"/>
  <c r="BH10" i="7"/>
  <c r="BG10"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GH10" i="7" l="1"/>
  <c r="B20" i="3"/>
  <c r="C20" i="3"/>
  <c r="FZ10" i="7"/>
  <c r="GJ10" i="7"/>
  <c r="FX11" i="7"/>
  <c r="FX10" i="7" s="1"/>
  <c r="GI10" i="7"/>
  <c r="AV24" i="10" l="1"/>
  <c r="AW24" i="10" s="1"/>
  <c r="AX24" i="10"/>
  <c r="AV25" i="10"/>
  <c r="AX25" i="10"/>
  <c r="AV26" i="10"/>
  <c r="AW26" i="10" s="1"/>
  <c r="AX26" i="10"/>
  <c r="AV27" i="10"/>
  <c r="AX27" i="10"/>
  <c r="AV28" i="10"/>
  <c r="AX28" i="10"/>
  <c r="AV29" i="10"/>
  <c r="AX29" i="10"/>
  <c r="AV23" i="10"/>
  <c r="B37" i="3" s="1"/>
  <c r="AX23" i="10"/>
  <c r="AV37" i="10"/>
  <c r="AX37" i="10"/>
  <c r="AV38" i="10"/>
  <c r="AX38" i="10"/>
  <c r="AV39" i="10"/>
  <c r="AX39" i="10"/>
  <c r="AV41" i="10"/>
  <c r="AX41" i="10"/>
  <c r="AV42" i="10"/>
  <c r="AX42" i="10"/>
  <c r="AV43" i="10"/>
  <c r="AX43" i="10"/>
  <c r="AV44" i="10"/>
  <c r="AX44" i="10"/>
  <c r="AV48" i="10"/>
  <c r="AW48" i="10" s="1"/>
  <c r="AX48" i="10"/>
  <c r="AV49" i="10"/>
  <c r="AX49" i="10"/>
  <c r="AV97" i="10"/>
  <c r="AX97" i="10"/>
  <c r="AV50" i="10"/>
  <c r="AX50" i="10"/>
  <c r="AV45" i="10"/>
  <c r="AX45" i="10"/>
  <c r="AV52" i="10"/>
  <c r="AX52" i="10"/>
  <c r="AV51" i="10"/>
  <c r="AX51" i="10"/>
  <c r="AV53" i="10"/>
  <c r="AX53" i="10"/>
  <c r="AV54" i="10"/>
  <c r="AX54" i="10"/>
  <c r="AV55" i="10"/>
  <c r="AX55" i="10"/>
  <c r="AV56" i="10"/>
  <c r="AX56" i="10"/>
  <c r="AV58" i="10"/>
  <c r="AX58" i="10"/>
  <c r="AV59" i="10"/>
  <c r="AX59" i="10"/>
  <c r="AV296" i="10"/>
  <c r="AX296" i="10"/>
  <c r="AV60" i="10"/>
  <c r="AX60" i="10"/>
  <c r="AV61" i="10"/>
  <c r="AX61" i="10"/>
  <c r="AV62" i="10"/>
  <c r="AX62" i="10"/>
  <c r="AV63" i="10"/>
  <c r="AX63" i="10"/>
  <c r="AV64" i="10"/>
  <c r="AX64" i="10"/>
  <c r="AV65" i="10"/>
  <c r="AX65" i="10"/>
  <c r="AV66" i="10"/>
  <c r="AX66" i="10"/>
  <c r="AV275" i="10"/>
  <c r="AX275" i="10"/>
  <c r="AV274" i="10"/>
  <c r="AX274" i="10"/>
  <c r="AV57" i="10"/>
  <c r="AX57" i="10"/>
  <c r="AV69" i="10"/>
  <c r="AW69" i="10" s="1"/>
  <c r="AX69" i="10"/>
  <c r="AV68" i="10"/>
  <c r="AX68" i="10"/>
  <c r="AV70" i="10"/>
  <c r="AX70" i="10"/>
  <c r="AV71" i="10"/>
  <c r="AX71" i="10"/>
  <c r="AV72" i="10"/>
  <c r="AX72" i="10"/>
  <c r="AV73" i="10"/>
  <c r="AX73" i="10"/>
  <c r="AV36" i="10"/>
  <c r="AX36" i="10"/>
  <c r="AV75" i="10"/>
  <c r="AX75" i="10"/>
  <c r="AV264" i="10"/>
  <c r="AX264" i="10"/>
  <c r="AV263" i="10"/>
  <c r="AX263" i="10"/>
  <c r="AV74" i="10"/>
  <c r="AX74" i="10"/>
  <c r="AV77" i="10"/>
  <c r="AX77" i="10"/>
  <c r="AV79" i="10"/>
  <c r="AX79" i="10"/>
  <c r="AV78" i="10"/>
  <c r="AX78" i="10"/>
  <c r="AV80" i="10"/>
  <c r="AX80" i="10"/>
  <c r="AV81" i="10"/>
  <c r="AX81" i="10"/>
  <c r="AV82" i="10"/>
  <c r="AX82" i="10"/>
  <c r="AV83" i="10"/>
  <c r="AX83" i="10"/>
  <c r="AV84" i="10"/>
  <c r="AX84" i="10"/>
  <c r="AV85" i="10"/>
  <c r="AX85" i="10"/>
  <c r="AV86" i="10"/>
  <c r="AX86" i="10"/>
  <c r="AV87" i="10"/>
  <c r="AX87" i="10"/>
  <c r="AV282" i="10"/>
  <c r="AX282" i="10"/>
  <c r="AV239" i="10"/>
  <c r="AX239" i="10"/>
  <c r="AV88" i="10"/>
  <c r="AX88" i="10"/>
  <c r="AV89" i="10"/>
  <c r="AW89" i="10" s="1"/>
  <c r="AX89" i="10"/>
  <c r="AV90" i="10"/>
  <c r="AX90" i="10"/>
  <c r="AV91" i="10"/>
  <c r="AW91" i="10" s="1"/>
  <c r="AX91" i="10"/>
  <c r="AV92" i="10"/>
  <c r="AX92" i="10"/>
  <c r="AW92" i="10" s="1"/>
  <c r="AV93" i="10"/>
  <c r="AX93" i="10"/>
  <c r="AV94" i="10"/>
  <c r="AX94" i="10"/>
  <c r="AW94" i="10" s="1"/>
  <c r="AV95" i="10"/>
  <c r="AW95" i="10" s="1"/>
  <c r="AX95" i="10"/>
  <c r="AV35" i="10"/>
  <c r="AX35" i="10"/>
  <c r="AV67" i="10"/>
  <c r="AX67" i="10"/>
  <c r="AV98" i="10"/>
  <c r="AX98" i="10"/>
  <c r="AW98" i="10" s="1"/>
  <c r="AV99" i="10"/>
  <c r="AW99" i="10" s="1"/>
  <c r="AX99" i="10"/>
  <c r="AV100" i="10"/>
  <c r="AX100" i="10"/>
  <c r="AW100" i="10" s="1"/>
  <c r="AV101" i="10"/>
  <c r="AX101" i="10"/>
  <c r="AV102" i="10"/>
  <c r="AX102" i="10"/>
  <c r="AV46" i="10"/>
  <c r="AX46" i="10"/>
  <c r="AV103" i="10"/>
  <c r="AX103" i="10"/>
  <c r="AV104" i="10"/>
  <c r="AX104" i="10"/>
  <c r="AV105" i="10"/>
  <c r="AX105" i="10"/>
  <c r="AW105" i="10" s="1"/>
  <c r="AV107" i="10"/>
  <c r="AX107" i="10"/>
  <c r="AV108" i="10"/>
  <c r="AX108" i="10"/>
  <c r="AW108" i="10" s="1"/>
  <c r="AV109" i="10"/>
  <c r="AX109" i="10"/>
  <c r="AV110" i="10"/>
  <c r="AX110" i="10"/>
  <c r="AW110" i="10" s="1"/>
  <c r="AV111" i="10"/>
  <c r="AX111" i="10"/>
  <c r="AV113" i="10"/>
  <c r="AX113" i="10"/>
  <c r="AW113" i="10" s="1"/>
  <c r="AV135" i="10"/>
  <c r="AX135" i="10"/>
  <c r="AV114" i="10"/>
  <c r="AX114" i="10"/>
  <c r="AW114" i="10" s="1"/>
  <c r="AV115" i="10"/>
  <c r="AX115" i="10"/>
  <c r="AV116" i="10"/>
  <c r="AW116" i="10"/>
  <c r="AX116" i="10"/>
  <c r="AV117" i="10"/>
  <c r="AX117" i="10"/>
  <c r="AV130" i="10"/>
  <c r="AX130" i="10"/>
  <c r="AV96" i="10"/>
  <c r="AX96" i="10"/>
  <c r="AV118" i="10"/>
  <c r="AW118" i="10" s="1"/>
  <c r="AX118" i="10"/>
  <c r="AV119" i="10"/>
  <c r="AX119" i="10"/>
  <c r="AV120" i="10"/>
  <c r="AX120" i="10"/>
  <c r="AV122" i="10"/>
  <c r="AX122" i="10"/>
  <c r="AV123" i="10"/>
  <c r="AX123" i="10"/>
  <c r="AV124" i="10"/>
  <c r="AX124" i="10"/>
  <c r="AV125" i="10"/>
  <c r="AX125" i="10"/>
  <c r="AV126" i="10"/>
  <c r="AX126" i="10"/>
  <c r="AV127" i="10"/>
  <c r="AX127" i="10"/>
  <c r="AV128" i="10"/>
  <c r="AX128" i="10"/>
  <c r="AV129" i="10"/>
  <c r="AX129" i="10"/>
  <c r="AV131" i="10"/>
  <c r="AX131" i="10"/>
  <c r="AV132" i="10"/>
  <c r="AW132" i="10" s="1"/>
  <c r="AX132" i="10"/>
  <c r="AV133" i="10"/>
  <c r="AX133" i="10"/>
  <c r="AW133" i="10" s="1"/>
  <c r="AV47" i="10"/>
  <c r="AX47" i="10"/>
  <c r="AV134" i="10"/>
  <c r="AX134" i="10"/>
  <c r="AV192" i="10"/>
  <c r="AW192" i="10" s="1"/>
  <c r="AX192" i="10"/>
  <c r="AV136" i="10"/>
  <c r="AX136" i="10"/>
  <c r="AW136" i="10" s="1"/>
  <c r="AV137" i="10"/>
  <c r="AX137" i="10"/>
  <c r="AV138" i="10"/>
  <c r="AX138" i="10"/>
  <c r="AV106" i="10"/>
  <c r="AX106" i="10"/>
  <c r="AV112" i="10"/>
  <c r="AX112" i="10"/>
  <c r="AV139" i="10"/>
  <c r="AX139" i="10"/>
  <c r="AV140" i="10"/>
  <c r="AX140" i="10"/>
  <c r="AV141" i="10"/>
  <c r="AX141" i="10"/>
  <c r="AV142" i="10"/>
  <c r="AX142" i="10"/>
  <c r="AW142" i="10" s="1"/>
  <c r="AV143" i="10"/>
  <c r="AX143" i="10"/>
  <c r="AV306" i="10"/>
  <c r="AX306" i="10"/>
  <c r="AV145" i="10"/>
  <c r="AW145" i="10" s="1"/>
  <c r="AX145" i="10"/>
  <c r="AV144" i="10"/>
  <c r="AX144" i="10"/>
  <c r="AV147" i="10"/>
  <c r="AX147" i="10"/>
  <c r="AV148" i="10"/>
  <c r="AX148" i="10"/>
  <c r="AV149" i="10"/>
  <c r="AW149" i="10" s="1"/>
  <c r="AX149" i="10"/>
  <c r="AV150" i="10"/>
  <c r="AX150" i="10"/>
  <c r="AV151" i="10"/>
  <c r="AX151" i="10"/>
  <c r="AV152" i="10"/>
  <c r="AX152" i="10"/>
  <c r="AV161" i="10"/>
  <c r="AX161" i="10"/>
  <c r="AV153" i="10"/>
  <c r="AX153" i="10"/>
  <c r="AV154" i="10"/>
  <c r="AX154" i="10"/>
  <c r="AV155" i="10"/>
  <c r="AX155" i="10"/>
  <c r="AV157" i="10"/>
  <c r="AX157" i="10"/>
  <c r="AV158" i="10"/>
  <c r="AX158" i="10"/>
  <c r="AV159" i="10"/>
  <c r="AX159" i="10"/>
  <c r="AV160" i="10"/>
  <c r="AX160" i="10"/>
  <c r="AV146" i="10"/>
  <c r="AX146" i="10"/>
  <c r="AV162" i="10"/>
  <c r="AX162" i="10"/>
  <c r="AV156" i="10"/>
  <c r="AX156" i="10"/>
  <c r="AV195" i="10"/>
  <c r="AX195" i="10"/>
  <c r="AV163" i="10"/>
  <c r="AX163" i="10"/>
  <c r="AV164" i="10"/>
  <c r="AX164" i="10"/>
  <c r="AV165" i="10"/>
  <c r="AX165" i="10"/>
  <c r="AV166" i="10"/>
  <c r="AX166" i="10"/>
  <c r="AV246" i="10"/>
  <c r="AX246" i="10"/>
  <c r="AV167" i="10"/>
  <c r="AX167" i="10"/>
  <c r="AV240" i="10"/>
  <c r="AX240" i="10"/>
  <c r="AV168" i="10"/>
  <c r="AX168" i="10"/>
  <c r="AV169" i="10"/>
  <c r="AX169" i="10"/>
  <c r="AV170" i="10"/>
  <c r="AX170" i="10"/>
  <c r="AV121" i="10"/>
  <c r="AX121" i="10"/>
  <c r="AV171" i="10"/>
  <c r="AX171" i="10"/>
  <c r="AV172" i="10"/>
  <c r="AW172" i="10" s="1"/>
  <c r="AX172" i="10"/>
  <c r="AV176" i="10"/>
  <c r="AX176" i="10"/>
  <c r="AW176" i="10" s="1"/>
  <c r="AV173" i="10"/>
  <c r="AX173" i="10"/>
  <c r="AV175" i="10"/>
  <c r="AX175" i="10"/>
  <c r="AV174" i="10"/>
  <c r="AW174" i="10" s="1"/>
  <c r="AX174" i="10"/>
  <c r="AV186" i="10"/>
  <c r="AX186" i="10"/>
  <c r="AW186" i="10" s="1"/>
  <c r="AV177" i="10"/>
  <c r="AX177" i="10"/>
  <c r="AV178" i="10"/>
  <c r="AX178" i="10"/>
  <c r="AV179" i="10"/>
  <c r="AX179" i="10"/>
  <c r="AV180" i="10"/>
  <c r="AX180" i="10"/>
  <c r="AV181" i="10"/>
  <c r="AX181" i="10"/>
  <c r="AV182" i="10"/>
  <c r="AX182" i="10"/>
  <c r="AV187" i="10"/>
  <c r="AX187" i="10"/>
  <c r="AV188" i="10"/>
  <c r="AX188" i="10"/>
  <c r="AV189" i="10"/>
  <c r="AX189" i="10"/>
  <c r="AV190" i="10"/>
  <c r="AX190" i="10"/>
  <c r="AV191" i="10"/>
  <c r="AW191" i="10" s="1"/>
  <c r="AX191" i="10"/>
  <c r="AV287" i="10"/>
  <c r="AX287" i="10"/>
  <c r="AW287" i="10" s="1"/>
  <c r="AV193" i="10"/>
  <c r="AX193" i="10"/>
  <c r="AV201" i="10"/>
  <c r="AX201" i="10"/>
  <c r="AV194" i="10"/>
  <c r="AW194" i="10" s="1"/>
  <c r="AX194" i="10"/>
  <c r="AV196" i="10"/>
  <c r="AX196" i="10"/>
  <c r="AW196" i="10" s="1"/>
  <c r="AV197" i="10"/>
  <c r="AX197" i="10"/>
  <c r="AV199" i="10"/>
  <c r="AX199" i="10"/>
  <c r="AV202" i="10"/>
  <c r="AW202" i="10" s="1"/>
  <c r="AX202" i="10"/>
  <c r="AV203" i="10"/>
  <c r="AX203" i="10"/>
  <c r="AV204" i="10"/>
  <c r="AX204" i="10"/>
  <c r="AV205" i="10"/>
  <c r="AX205" i="10"/>
  <c r="AV206" i="10"/>
  <c r="AX206" i="10"/>
  <c r="AV76" i="10"/>
  <c r="AX76" i="10"/>
  <c r="AV198" i="10"/>
  <c r="AX198" i="10"/>
  <c r="AV207" i="10"/>
  <c r="AX207" i="10"/>
  <c r="AV30" i="10"/>
  <c r="AW30" i="10" s="1"/>
  <c r="AX30" i="10"/>
  <c r="AV208" i="10"/>
  <c r="AX208" i="10"/>
  <c r="AV220" i="10"/>
  <c r="AX220" i="10"/>
  <c r="AV31" i="10"/>
  <c r="AX31" i="10"/>
  <c r="AV32" i="10"/>
  <c r="AW32" i="10" s="1"/>
  <c r="AX32" i="10"/>
  <c r="AV209" i="10"/>
  <c r="AX209" i="10"/>
  <c r="AV210" i="10"/>
  <c r="AX210" i="10"/>
  <c r="AV211" i="10"/>
  <c r="AX211" i="10"/>
  <c r="AV212" i="10"/>
  <c r="AX212" i="10"/>
  <c r="AV213" i="10"/>
  <c r="AX213" i="10"/>
  <c r="AV214" i="10"/>
  <c r="AX214" i="10"/>
  <c r="AV219" i="10"/>
  <c r="AX219" i="10"/>
  <c r="AV215" i="10"/>
  <c r="AX215" i="10"/>
  <c r="AV216" i="10"/>
  <c r="AX216" i="10"/>
  <c r="AV217" i="10"/>
  <c r="AX217" i="10"/>
  <c r="AV218" i="10"/>
  <c r="AX218" i="10"/>
  <c r="AV221" i="10"/>
  <c r="AW221" i="10" s="1"/>
  <c r="AX221" i="10"/>
  <c r="AV222" i="10"/>
  <c r="AX222" i="10"/>
  <c r="AV33" i="10"/>
  <c r="AX33" i="10"/>
  <c r="AV34" i="10"/>
  <c r="AX34" i="10"/>
  <c r="AV231" i="10"/>
  <c r="AX231" i="10"/>
  <c r="AV223" i="10"/>
  <c r="AX223" i="10"/>
  <c r="AV224" i="10"/>
  <c r="AX224" i="10"/>
  <c r="AV226" i="10"/>
  <c r="AX226" i="10"/>
  <c r="AV227" i="10"/>
  <c r="AX227" i="10"/>
  <c r="AV228" i="10"/>
  <c r="AX228" i="10"/>
  <c r="AV229" i="10"/>
  <c r="AX229" i="10"/>
  <c r="AV230" i="10"/>
  <c r="AX230" i="10"/>
  <c r="AV232" i="10"/>
  <c r="AX232" i="10"/>
  <c r="AV233" i="10"/>
  <c r="AX233" i="10"/>
  <c r="AV234" i="10"/>
  <c r="AX234" i="10"/>
  <c r="AV235" i="10"/>
  <c r="AX235" i="10"/>
  <c r="AV236" i="10"/>
  <c r="AW236" i="10" s="1"/>
  <c r="AX236" i="10"/>
  <c r="AV237" i="10"/>
  <c r="AX237" i="10"/>
  <c r="AV238" i="10"/>
  <c r="AX238" i="10"/>
  <c r="AV225" i="10"/>
  <c r="AX225" i="10"/>
  <c r="AV241" i="10"/>
  <c r="AX241" i="10"/>
  <c r="AV243" i="10"/>
  <c r="AX243" i="10"/>
  <c r="AV244" i="10"/>
  <c r="AX244" i="10"/>
  <c r="AV242" i="10"/>
  <c r="AX242" i="10"/>
  <c r="AV247" i="10"/>
  <c r="AX247" i="10"/>
  <c r="AV184" i="10"/>
  <c r="AX184" i="10"/>
  <c r="AV248" i="10"/>
  <c r="AX248" i="10"/>
  <c r="AV249" i="10"/>
  <c r="AX249" i="10"/>
  <c r="AV251" i="10"/>
  <c r="AX251" i="10"/>
  <c r="AV252" i="10"/>
  <c r="AX252" i="10"/>
  <c r="AV253" i="10"/>
  <c r="AX253" i="10"/>
  <c r="AV255" i="10"/>
  <c r="AX255" i="10"/>
  <c r="AV256" i="10"/>
  <c r="AX256" i="10"/>
  <c r="AV250" i="10"/>
  <c r="AX250" i="10"/>
  <c r="AV257" i="10"/>
  <c r="AX257" i="10"/>
  <c r="AV258" i="10"/>
  <c r="AX258" i="10"/>
  <c r="AV259" i="10"/>
  <c r="AX259" i="10"/>
  <c r="AV260" i="10"/>
  <c r="AX260" i="10"/>
  <c r="AV261" i="10"/>
  <c r="AX261" i="10"/>
  <c r="AV262" i="10"/>
  <c r="AX262" i="10"/>
  <c r="AV265" i="10"/>
  <c r="AX265" i="10"/>
  <c r="AV266" i="10"/>
  <c r="AX266" i="10"/>
  <c r="AV267" i="10"/>
  <c r="AX267" i="10"/>
  <c r="AV268" i="10"/>
  <c r="AX268" i="10"/>
  <c r="AV269" i="10"/>
  <c r="AX269" i="10"/>
  <c r="AV293" i="10"/>
  <c r="AX293" i="10"/>
  <c r="AV245" i="10"/>
  <c r="AX245" i="10"/>
  <c r="AV254" i="10"/>
  <c r="AX254" i="10"/>
  <c r="AV270" i="10"/>
  <c r="AX270" i="10"/>
  <c r="AV271" i="10"/>
  <c r="AX271" i="10"/>
  <c r="AV286" i="10"/>
  <c r="AX286" i="10"/>
  <c r="AV272" i="10"/>
  <c r="AX272" i="10"/>
  <c r="AV273" i="10"/>
  <c r="AX273" i="10"/>
  <c r="AV276" i="10"/>
  <c r="AX276" i="10"/>
  <c r="AV277" i="10"/>
  <c r="AX277" i="10"/>
  <c r="AV316" i="10"/>
  <c r="AX316" i="10"/>
  <c r="AV278" i="10"/>
  <c r="AX278" i="10"/>
  <c r="AV279" i="10"/>
  <c r="AX279" i="10"/>
  <c r="AV280" i="10"/>
  <c r="AX280" i="10"/>
  <c r="AV281" i="10"/>
  <c r="AW281" i="10" s="1"/>
  <c r="AX281" i="10"/>
  <c r="AV314" i="10"/>
  <c r="AX314" i="10"/>
  <c r="AW314" i="10" s="1"/>
  <c r="AV200" i="10"/>
  <c r="AX200" i="10"/>
  <c r="AV284" i="10"/>
  <c r="AX284" i="10"/>
  <c r="AW284" i="10" s="1"/>
  <c r="AV283" i="10"/>
  <c r="AX283" i="10"/>
  <c r="AV285" i="10"/>
  <c r="AX285" i="10"/>
  <c r="AW285" i="10" s="1"/>
  <c r="AV288" i="10"/>
  <c r="AX288" i="10"/>
  <c r="AV289" i="10"/>
  <c r="AX289" i="10"/>
  <c r="AV290" i="10"/>
  <c r="AX290" i="10"/>
  <c r="AV291" i="10"/>
  <c r="AX291" i="10"/>
  <c r="AV292" i="10"/>
  <c r="AX292" i="10"/>
  <c r="AV183" i="10"/>
  <c r="AX183" i="10"/>
  <c r="AW183" i="10" s="1"/>
  <c r="AV185" i="10"/>
  <c r="AX185" i="10"/>
  <c r="AV298" i="10"/>
  <c r="AX298" i="10"/>
  <c r="AW298" i="10" s="1"/>
  <c r="AV294" i="10"/>
  <c r="AX294" i="10"/>
  <c r="AV295" i="10"/>
  <c r="AX295" i="10"/>
  <c r="AW295" i="10" s="1"/>
  <c r="AV297" i="10"/>
  <c r="AW297" i="10" s="1"/>
  <c r="AX297" i="10"/>
  <c r="AV299" i="10"/>
  <c r="AX299" i="10"/>
  <c r="AW299" i="10" s="1"/>
  <c r="AV300" i="10"/>
  <c r="AX300" i="10"/>
  <c r="AV301" i="10"/>
  <c r="AX301" i="10"/>
  <c r="AW301" i="10" s="1"/>
  <c r="AV302" i="10"/>
  <c r="AX302" i="10"/>
  <c r="AV304" i="10"/>
  <c r="AX304" i="10"/>
  <c r="AW304" i="10" s="1"/>
  <c r="AV303" i="10"/>
  <c r="AX303" i="10"/>
  <c r="AV305" i="10"/>
  <c r="AX305" i="10"/>
  <c r="AV307" i="10"/>
  <c r="AX307" i="10"/>
  <c r="AV309" i="10"/>
  <c r="AX309" i="10"/>
  <c r="AV308" i="10"/>
  <c r="AX308" i="10"/>
  <c r="AV310" i="10"/>
  <c r="AX310" i="10"/>
  <c r="AW310" i="10" s="1"/>
  <c r="AV317" i="10"/>
  <c r="AX317" i="10"/>
  <c r="AV311" i="10"/>
  <c r="AX311" i="10"/>
  <c r="AW311" i="10" s="1"/>
  <c r="AV312" i="10"/>
  <c r="AX312" i="10"/>
  <c r="AV313" i="10"/>
  <c r="AX313" i="10"/>
  <c r="AW313" i="10" s="1"/>
  <c r="AV40" i="10"/>
  <c r="AX40" i="10"/>
  <c r="AV315" i="10"/>
  <c r="AX315" i="10"/>
  <c r="AW315" i="10" s="1"/>
  <c r="AX22" i="10"/>
  <c r="AV22" i="10"/>
  <c r="AW230" i="10" l="1"/>
  <c r="AW219" i="10"/>
  <c r="AW57" i="10"/>
  <c r="AW65" i="10"/>
  <c r="AW53" i="10"/>
  <c r="AW50" i="10"/>
  <c r="AW273" i="10"/>
  <c r="AW270" i="10"/>
  <c r="AW259" i="10"/>
  <c r="AW256" i="10"/>
  <c r="AW241" i="10"/>
  <c r="AW234" i="10"/>
  <c r="AW232" i="10"/>
  <c r="AW229" i="10"/>
  <c r="AW227" i="10"/>
  <c r="AW224" i="10"/>
  <c r="AW217" i="10"/>
  <c r="AW215" i="10"/>
  <c r="AW214" i="10"/>
  <c r="AW212" i="10"/>
  <c r="AW168" i="10"/>
  <c r="AW155" i="10"/>
  <c r="AW88" i="10"/>
  <c r="AW86" i="10"/>
  <c r="AW82" i="10"/>
  <c r="AW264" i="10"/>
  <c r="AW72" i="10"/>
  <c r="AW274" i="10"/>
  <c r="AW66" i="10"/>
  <c r="AW64" i="10"/>
  <c r="AW54" i="10"/>
  <c r="AW45" i="10"/>
  <c r="AW97" i="10"/>
  <c r="AW218" i="10"/>
  <c r="AW22" i="10"/>
  <c r="AW293" i="10"/>
  <c r="AW260" i="10"/>
  <c r="AW250" i="10"/>
  <c r="AW252" i="10"/>
  <c r="AW243" i="10"/>
  <c r="AW121" i="10"/>
  <c r="AW169" i="10"/>
  <c r="AW240" i="10"/>
  <c r="AW246" i="10"/>
  <c r="AW165" i="10"/>
  <c r="AW146" i="10"/>
  <c r="AW159" i="10"/>
  <c r="AW157" i="10"/>
  <c r="AW111" i="10"/>
  <c r="AW87" i="10"/>
  <c r="AW83" i="10"/>
  <c r="AW73" i="10"/>
  <c r="AW309" i="10"/>
  <c r="AW308" i="10"/>
  <c r="AW303" i="10"/>
  <c r="AW291" i="10"/>
  <c r="AW280" i="10"/>
  <c r="AW278" i="10"/>
  <c r="AW277" i="10"/>
  <c r="AW268" i="10"/>
  <c r="AW237" i="10"/>
  <c r="AW231" i="10"/>
  <c r="AW207" i="10"/>
  <c r="AW205" i="10"/>
  <c r="AW163" i="10"/>
  <c r="AW154" i="10"/>
  <c r="AW161" i="10"/>
  <c r="AW151" i="10"/>
  <c r="AW140" i="10"/>
  <c r="AW119" i="10"/>
  <c r="AW117" i="10"/>
  <c r="AW103" i="10"/>
  <c r="AW90" i="10"/>
  <c r="AW68" i="10"/>
  <c r="AW62" i="10"/>
  <c r="AW60" i="10"/>
  <c r="AW59" i="10"/>
  <c r="AW56" i="10"/>
  <c r="AW29" i="10"/>
  <c r="AW25" i="10"/>
  <c r="AW40" i="10"/>
  <c r="AW300" i="10"/>
  <c r="AW292" i="10"/>
  <c r="AW288" i="10"/>
  <c r="AW245" i="10"/>
  <c r="AW269" i="10"/>
  <c r="AW267" i="10"/>
  <c r="AW265" i="10"/>
  <c r="AW261" i="10"/>
  <c r="AW249" i="10"/>
  <c r="AW223" i="10"/>
  <c r="AW222" i="10"/>
  <c r="AW198" i="10"/>
  <c r="AW206" i="10"/>
  <c r="AW204" i="10"/>
  <c r="AW190" i="10"/>
  <c r="AW182" i="10"/>
  <c r="AW170" i="10"/>
  <c r="AW164" i="10"/>
  <c r="AW162" i="10"/>
  <c r="AW143" i="10"/>
  <c r="AW141" i="10"/>
  <c r="AW139" i="10"/>
  <c r="AW106" i="10"/>
  <c r="AW137" i="10"/>
  <c r="AW131" i="10"/>
  <c r="AW126" i="10"/>
  <c r="AW135" i="10"/>
  <c r="AW104" i="10"/>
  <c r="AW101" i="10"/>
  <c r="AW81" i="10"/>
  <c r="AW77" i="10"/>
  <c r="AW296" i="10"/>
  <c r="AW55" i="10"/>
  <c r="AW43" i="10"/>
  <c r="AW41" i="10"/>
  <c r="AW38" i="10"/>
  <c r="AW23" i="10"/>
  <c r="C37" i="3" s="1"/>
  <c r="AW200" i="10"/>
  <c r="AW276" i="10"/>
  <c r="AW271" i="10"/>
  <c r="AW253" i="10"/>
  <c r="AW251" i="10"/>
  <c r="AW248" i="10"/>
  <c r="AW247" i="10"/>
  <c r="AW244" i="10"/>
  <c r="AW209" i="10"/>
  <c r="AW208" i="10"/>
  <c r="AW189" i="10"/>
  <c r="AW187" i="10"/>
  <c r="AW181" i="10"/>
  <c r="AW179" i="10"/>
  <c r="AW177" i="10"/>
  <c r="AW158" i="10"/>
  <c r="AW150" i="10"/>
  <c r="AW144" i="10"/>
  <c r="AW129" i="10"/>
  <c r="AW127" i="10"/>
  <c r="AW125" i="10"/>
  <c r="AW123" i="10"/>
  <c r="AW120" i="10"/>
  <c r="AW80" i="10"/>
  <c r="AW79" i="10"/>
  <c r="AW74" i="10"/>
  <c r="AW42" i="10"/>
  <c r="AW37" i="10"/>
  <c r="AW185" i="10"/>
  <c r="AW316" i="10"/>
  <c r="AW262" i="10"/>
  <c r="AW242" i="10"/>
  <c r="AW226" i="10"/>
  <c r="AW211" i="10"/>
  <c r="AW199" i="10"/>
  <c r="AW178" i="10"/>
  <c r="AW166" i="10"/>
  <c r="AW152" i="10"/>
  <c r="AW138" i="10"/>
  <c r="AW122" i="10"/>
  <c r="AW107" i="10"/>
  <c r="AW35" i="10"/>
  <c r="AW239" i="10"/>
  <c r="AW75" i="10"/>
  <c r="AW61" i="10"/>
  <c r="AW51" i="10"/>
  <c r="AW44" i="10"/>
  <c r="AW28" i="10"/>
  <c r="AW317" i="10"/>
  <c r="AW307" i="10"/>
  <c r="AW290" i="10"/>
  <c r="AW272" i="10"/>
  <c r="AW258" i="10"/>
  <c r="AW225" i="10"/>
  <c r="AW233" i="10"/>
  <c r="AW34" i="10"/>
  <c r="AW216" i="10"/>
  <c r="AW210" i="10"/>
  <c r="AW31" i="10"/>
  <c r="AW76" i="10"/>
  <c r="AW197" i="10"/>
  <c r="AW201" i="10"/>
  <c r="AW188" i="10"/>
  <c r="AW175" i="10"/>
  <c r="AW195" i="10"/>
  <c r="AW148" i="10"/>
  <c r="AW134" i="10"/>
  <c r="AW128" i="10"/>
  <c r="AW96" i="10"/>
  <c r="AW46" i="10"/>
  <c r="AW67" i="10"/>
  <c r="AW93" i="10"/>
  <c r="AW282" i="10"/>
  <c r="AW85" i="10"/>
  <c r="AW78" i="10"/>
  <c r="AW36" i="10"/>
  <c r="AW71" i="10"/>
  <c r="AW275" i="10"/>
  <c r="AW58" i="10"/>
  <c r="AW52" i="10"/>
  <c r="AW39" i="10"/>
  <c r="AW27" i="10"/>
  <c r="AW312" i="10"/>
  <c r="AW305" i="10"/>
  <c r="AW302" i="10"/>
  <c r="AW294" i="10"/>
  <c r="AW289" i="10"/>
  <c r="AW283" i="10"/>
  <c r="AW279" i="10"/>
  <c r="AW286" i="10"/>
  <c r="AW254" i="10"/>
  <c r="AW266" i="10"/>
  <c r="AW257" i="10"/>
  <c r="AW255" i="10"/>
  <c r="AW184" i="10"/>
  <c r="AW238" i="10"/>
  <c r="AW235" i="10"/>
  <c r="AW228" i="10"/>
  <c r="AW33" i="10"/>
  <c r="AW213" i="10"/>
  <c r="AW220" i="10"/>
  <c r="AW203" i="10"/>
  <c r="AW193" i="10"/>
  <c r="AW180" i="10"/>
  <c r="AW173" i="10"/>
  <c r="AW171" i="10"/>
  <c r="AW167" i="10"/>
  <c r="AW156" i="10"/>
  <c r="AW160" i="10"/>
  <c r="AW153" i="10"/>
  <c r="AW147" i="10"/>
  <c r="AW306" i="10"/>
  <c r="AW112" i="10"/>
  <c r="AW47" i="10"/>
  <c r="AW124" i="10"/>
  <c r="AW130" i="10"/>
  <c r="AW115" i="10"/>
  <c r="AW109" i="10"/>
  <c r="AW102" i="10"/>
  <c r="AW84" i="10"/>
  <c r="AW263" i="10"/>
  <c r="AW70" i="10"/>
  <c r="AW63" i="10"/>
  <c r="AW49" i="10"/>
  <c r="BA24" i="10"/>
  <c r="BA25" i="10"/>
  <c r="BA26" i="10"/>
  <c r="BA27" i="10"/>
  <c r="BA28" i="10"/>
  <c r="BA29" i="10"/>
  <c r="BA23" i="10"/>
  <c r="B35" i="3" s="1"/>
  <c r="BA37" i="10"/>
  <c r="BA38" i="10"/>
  <c r="BA39" i="10"/>
  <c r="BA41" i="10"/>
  <c r="BA42" i="10"/>
  <c r="BA43" i="10"/>
  <c r="BA44" i="10"/>
  <c r="BA48" i="10"/>
  <c r="BA49" i="10"/>
  <c r="BA97" i="10"/>
  <c r="BA50" i="10"/>
  <c r="BA45" i="10"/>
  <c r="BA52" i="10"/>
  <c r="BA51" i="10"/>
  <c r="BA53" i="10"/>
  <c r="BA54" i="10"/>
  <c r="BA55" i="10"/>
  <c r="BA56" i="10"/>
  <c r="BA58" i="10"/>
  <c r="BA59" i="10"/>
  <c r="BA296" i="10"/>
  <c r="BA60" i="10"/>
  <c r="BA61" i="10"/>
  <c r="BA62" i="10"/>
  <c r="BA63" i="10"/>
  <c r="BA64" i="10"/>
  <c r="BA65" i="10"/>
  <c r="BA66" i="10"/>
  <c r="BA275" i="10"/>
  <c r="BA274" i="10"/>
  <c r="BA57" i="10"/>
  <c r="BA69" i="10"/>
  <c r="BA68" i="10"/>
  <c r="BA70" i="10"/>
  <c r="BA71" i="10"/>
  <c r="BA72" i="10"/>
  <c r="BA73" i="10"/>
  <c r="BA36" i="10"/>
  <c r="BA75" i="10"/>
  <c r="BA264" i="10"/>
  <c r="BA263" i="10"/>
  <c r="BA74" i="10"/>
  <c r="BA77" i="10"/>
  <c r="BA79" i="10"/>
  <c r="BA78" i="10"/>
  <c r="BA80" i="10"/>
  <c r="BA81" i="10"/>
  <c r="BA82" i="10"/>
  <c r="BA83" i="10"/>
  <c r="BA84" i="10"/>
  <c r="BA85" i="10"/>
  <c r="BA86" i="10"/>
  <c r="BA87" i="10"/>
  <c r="BA282" i="10"/>
  <c r="BA239" i="10"/>
  <c r="BA88" i="10"/>
  <c r="BA89" i="10"/>
  <c r="BA90" i="10"/>
  <c r="BA91" i="10"/>
  <c r="BA92" i="10"/>
  <c r="BA93" i="10"/>
  <c r="BA94" i="10"/>
  <c r="BA95" i="10"/>
  <c r="BA35" i="10"/>
  <c r="BA67" i="10"/>
  <c r="BA98" i="10"/>
  <c r="BA99" i="10"/>
  <c r="BA100" i="10"/>
  <c r="BA101" i="10"/>
  <c r="BA102" i="10"/>
  <c r="BA46" i="10"/>
  <c r="BA103" i="10"/>
  <c r="BA104" i="10"/>
  <c r="BA105" i="10"/>
  <c r="BA107" i="10"/>
  <c r="BA108" i="10"/>
  <c r="BA109" i="10"/>
  <c r="BA110" i="10"/>
  <c r="BA111" i="10"/>
  <c r="BA113" i="10"/>
  <c r="BA135" i="10"/>
  <c r="BA114" i="10"/>
  <c r="BA115" i="10"/>
  <c r="BA116" i="10"/>
  <c r="BA117" i="10"/>
  <c r="BA130" i="10"/>
  <c r="BA96" i="10"/>
  <c r="BA118" i="10"/>
  <c r="BA119" i="10"/>
  <c r="BA120" i="10"/>
  <c r="BA122" i="10"/>
  <c r="BA123" i="10"/>
  <c r="BA124" i="10"/>
  <c r="BA125" i="10"/>
  <c r="BA126" i="10"/>
  <c r="BA127" i="10"/>
  <c r="BA128" i="10"/>
  <c r="BA129" i="10"/>
  <c r="BA131" i="10"/>
  <c r="BA132" i="10"/>
  <c r="BA133" i="10"/>
  <c r="BA47" i="10"/>
  <c r="BA134" i="10"/>
  <c r="BA192" i="10"/>
  <c r="BA136" i="10"/>
  <c r="BA137" i="10"/>
  <c r="BA138" i="10"/>
  <c r="BA106" i="10"/>
  <c r="BA112" i="10"/>
  <c r="BA139" i="10"/>
  <c r="BA140" i="10"/>
  <c r="BA141" i="10"/>
  <c r="BA142" i="10"/>
  <c r="BA143" i="10"/>
  <c r="BA306" i="10"/>
  <c r="BA145" i="10"/>
  <c r="BA144" i="10"/>
  <c r="BA147" i="10"/>
  <c r="BA148" i="10"/>
  <c r="BA149" i="10"/>
  <c r="BA150" i="10"/>
  <c r="BA151" i="10"/>
  <c r="BA152" i="10"/>
  <c r="BA161" i="10"/>
  <c r="BA153" i="10"/>
  <c r="BA154" i="10"/>
  <c r="BA155" i="10"/>
  <c r="BA157" i="10"/>
  <c r="BA158" i="10"/>
  <c r="BA159" i="10"/>
  <c r="BA160" i="10"/>
  <c r="BA146" i="10"/>
  <c r="BA162" i="10"/>
  <c r="BA156" i="10"/>
  <c r="BA195" i="10"/>
  <c r="BA163" i="10"/>
  <c r="BA164" i="10"/>
  <c r="BA165" i="10"/>
  <c r="BA166" i="10"/>
  <c r="BA246" i="10"/>
  <c r="BA167" i="10"/>
  <c r="BA240" i="10"/>
  <c r="BA168" i="10"/>
  <c r="BA169" i="10"/>
  <c r="BA170" i="10"/>
  <c r="BA121" i="10"/>
  <c r="BA171" i="10"/>
  <c r="BA172" i="10"/>
  <c r="BA176" i="10"/>
  <c r="BA173" i="10"/>
  <c r="BA175" i="10"/>
  <c r="BA174" i="10"/>
  <c r="BA186" i="10"/>
  <c r="BA177" i="10"/>
  <c r="BA178" i="10"/>
  <c r="BA179" i="10"/>
  <c r="BA180" i="10"/>
  <c r="BA181" i="10"/>
  <c r="BA182" i="10"/>
  <c r="BA187" i="10"/>
  <c r="BA188" i="10"/>
  <c r="BA189" i="10"/>
  <c r="BA190" i="10"/>
  <c r="BA191" i="10"/>
  <c r="BA287" i="10"/>
  <c r="BA193" i="10"/>
  <c r="BA201" i="10"/>
  <c r="BA194" i="10"/>
  <c r="BA196" i="10"/>
  <c r="BA197" i="10"/>
  <c r="BA199" i="10"/>
  <c r="BA202" i="10"/>
  <c r="BA203" i="10"/>
  <c r="BA204" i="10"/>
  <c r="BA205" i="10"/>
  <c r="BA206" i="10"/>
  <c r="BA76" i="10"/>
  <c r="BA198" i="10"/>
  <c r="BA207" i="10"/>
  <c r="BA30" i="10"/>
  <c r="BA208" i="10"/>
  <c r="BA220" i="10"/>
  <c r="BA31" i="10"/>
  <c r="BA32" i="10"/>
  <c r="BA209" i="10"/>
  <c r="BA210" i="10"/>
  <c r="BA211" i="10"/>
  <c r="BA212" i="10"/>
  <c r="BA213" i="10"/>
  <c r="BA214" i="10"/>
  <c r="BA219" i="10"/>
  <c r="BA215" i="10"/>
  <c r="BA216" i="10"/>
  <c r="BA217" i="10"/>
  <c r="BA218" i="10"/>
  <c r="BA221" i="10"/>
  <c r="BA222" i="10"/>
  <c r="BA33" i="10"/>
  <c r="BA34" i="10"/>
  <c r="BA231" i="10"/>
  <c r="BA223" i="10"/>
  <c r="BA224" i="10"/>
  <c r="BA226" i="10"/>
  <c r="BA227" i="10"/>
  <c r="BA228" i="10"/>
  <c r="BA229" i="10"/>
  <c r="BA230" i="10"/>
  <c r="BA232" i="10"/>
  <c r="BA233" i="10"/>
  <c r="BA234" i="10"/>
  <c r="BA235" i="10"/>
  <c r="BA236" i="10"/>
  <c r="BA237" i="10"/>
  <c r="BA238" i="10"/>
  <c r="BA225" i="10"/>
  <c r="BA241" i="10"/>
  <c r="BA243" i="10"/>
  <c r="BA244" i="10"/>
  <c r="BA242" i="10"/>
  <c r="BA247" i="10"/>
  <c r="BA184" i="10"/>
  <c r="BA248" i="10"/>
  <c r="BA249" i="10"/>
  <c r="BA251" i="10"/>
  <c r="BA252" i="10"/>
  <c r="BA253" i="10"/>
  <c r="BA255" i="10"/>
  <c r="BA256" i="10"/>
  <c r="BA250" i="10"/>
  <c r="BA257" i="10"/>
  <c r="BA258" i="10"/>
  <c r="BA259" i="10"/>
  <c r="BA260" i="10"/>
  <c r="BA261" i="10"/>
  <c r="BA262" i="10"/>
  <c r="BA265" i="10"/>
  <c r="BA266" i="10"/>
  <c r="BA267" i="10"/>
  <c r="BA268" i="10"/>
  <c r="BA269" i="10"/>
  <c r="BA293" i="10"/>
  <c r="BA245" i="10"/>
  <c r="BA254" i="10"/>
  <c r="BA270" i="10"/>
  <c r="BA271" i="10"/>
  <c r="BA286" i="10"/>
  <c r="BA272" i="10"/>
  <c r="BA273" i="10"/>
  <c r="BA276" i="10"/>
  <c r="BA277" i="10"/>
  <c r="BA316" i="10"/>
  <c r="BA278" i="10"/>
  <c r="BA279" i="10"/>
  <c r="BA280" i="10"/>
  <c r="BA281" i="10"/>
  <c r="BA314" i="10"/>
  <c r="BA200" i="10"/>
  <c r="BA284" i="10"/>
  <c r="BA283" i="10"/>
  <c r="BA285" i="10"/>
  <c r="BA288" i="10"/>
  <c r="BA289" i="10"/>
  <c r="BA290" i="10"/>
  <c r="BA291" i="10"/>
  <c r="BA292" i="10"/>
  <c r="BA183" i="10"/>
  <c r="BA185" i="10"/>
  <c r="BA298" i="10"/>
  <c r="BA294" i="10"/>
  <c r="BA295" i="10"/>
  <c r="BA297" i="10"/>
  <c r="BA299" i="10"/>
  <c r="BA300" i="10"/>
  <c r="BA301" i="10"/>
  <c r="BA302" i="10"/>
  <c r="BA304" i="10"/>
  <c r="BA303" i="10"/>
  <c r="BA305" i="10"/>
  <c r="BA307" i="10"/>
  <c r="BA309" i="10"/>
  <c r="BA308" i="10"/>
  <c r="BA310" i="10"/>
  <c r="BA317" i="10"/>
  <c r="BA311" i="10"/>
  <c r="BA312" i="10"/>
  <c r="BA313" i="10"/>
  <c r="BA40" i="10"/>
  <c r="BA315" i="10"/>
  <c r="BA22" i="10"/>
  <c r="W16" i="8" l="1"/>
  <c r="W17" i="8" l="1"/>
  <c r="W18" i="8"/>
  <c r="W19" i="8"/>
  <c r="W20" i="8"/>
  <c r="W21" i="8"/>
  <c r="W22" i="8"/>
  <c r="W30" i="8"/>
  <c r="W31" i="8"/>
  <c r="W32" i="8"/>
  <c r="W34" i="8"/>
  <c r="W35" i="8"/>
  <c r="W36" i="8"/>
  <c r="W37" i="8"/>
  <c r="W41" i="8"/>
  <c r="W42" i="8"/>
  <c r="W91" i="8"/>
  <c r="W43" i="8"/>
  <c r="W38" i="8"/>
  <c r="W45" i="8"/>
  <c r="W44" i="8"/>
  <c r="W46" i="8"/>
  <c r="W47" i="8"/>
  <c r="W48" i="8"/>
  <c r="W49" i="8"/>
  <c r="W50" i="8"/>
  <c r="W51" i="8"/>
  <c r="W52" i="8"/>
  <c r="W53" i="8"/>
  <c r="W54" i="8"/>
  <c r="W55" i="8"/>
  <c r="W56" i="8"/>
  <c r="W57" i="8"/>
  <c r="W58" i="8"/>
  <c r="W59" i="8"/>
  <c r="W270" i="8"/>
  <c r="W269" i="8"/>
  <c r="W62" i="8"/>
  <c r="W61" i="8"/>
  <c r="W63" i="8"/>
  <c r="W64" i="8"/>
  <c r="W65" i="8"/>
  <c r="W66" i="8"/>
  <c r="W67" i="8"/>
  <c r="W29" i="8"/>
  <c r="W68" i="8"/>
  <c r="W259" i="8"/>
  <c r="W258" i="8"/>
  <c r="W70" i="8"/>
  <c r="W72" i="8"/>
  <c r="W71" i="8"/>
  <c r="W73" i="8"/>
  <c r="W74" i="8"/>
  <c r="W75" i="8"/>
  <c r="W76" i="8"/>
  <c r="W77" i="8"/>
  <c r="W78" i="8"/>
  <c r="W79" i="8"/>
  <c r="W80" i="8"/>
  <c r="W81" i="8"/>
  <c r="W277" i="8"/>
  <c r="W234" i="8"/>
  <c r="W82" i="8"/>
  <c r="W83" i="8"/>
  <c r="W84" i="8"/>
  <c r="W85" i="8"/>
  <c r="W86" i="8"/>
  <c r="W87" i="8"/>
  <c r="W88" i="8"/>
  <c r="W89" i="8"/>
  <c r="W28" i="8"/>
  <c r="W60" i="8"/>
  <c r="W92" i="8"/>
  <c r="W93" i="8"/>
  <c r="W94" i="8"/>
  <c r="W95" i="8"/>
  <c r="W96" i="8"/>
  <c r="W39" i="8"/>
  <c r="W97" i="8"/>
  <c r="W98" i="8"/>
  <c r="W99" i="8"/>
  <c r="W100" i="8"/>
  <c r="W101" i="8"/>
  <c r="W106" i="8"/>
  <c r="W102" i="8"/>
  <c r="W103" i="8"/>
  <c r="W104" i="8"/>
  <c r="W105" i="8"/>
  <c r="W107" i="8"/>
  <c r="W129" i="8"/>
  <c r="W108" i="8"/>
  <c r="W109" i="8"/>
  <c r="W110" i="8"/>
  <c r="W111" i="8"/>
  <c r="W124" i="8"/>
  <c r="W90" i="8"/>
  <c r="W112" i="8"/>
  <c r="W113" i="8"/>
  <c r="W114" i="8"/>
  <c r="W116" i="8"/>
  <c r="W117" i="8"/>
  <c r="W118" i="8"/>
  <c r="W119" i="8"/>
  <c r="W120" i="8"/>
  <c r="W121" i="8"/>
  <c r="W122" i="8"/>
  <c r="W123" i="8"/>
  <c r="W125" i="8"/>
  <c r="W126" i="8"/>
  <c r="W127" i="8"/>
  <c r="W40" i="8"/>
  <c r="W128" i="8"/>
  <c r="W130" i="8"/>
  <c r="W131" i="8"/>
  <c r="W132" i="8"/>
  <c r="W133" i="8"/>
  <c r="W134" i="8"/>
  <c r="W135" i="8"/>
  <c r="W139" i="8"/>
  <c r="W136" i="8"/>
  <c r="W137" i="8"/>
  <c r="W301" i="8"/>
  <c r="W138" i="8"/>
  <c r="W141" i="8"/>
  <c r="W142" i="8"/>
  <c r="W143" i="8"/>
  <c r="W144" i="8"/>
  <c r="W145" i="8"/>
  <c r="W146" i="8"/>
  <c r="W155" i="8"/>
  <c r="W147" i="8"/>
  <c r="W148" i="8"/>
  <c r="W150" i="8"/>
  <c r="W149" i="8"/>
  <c r="W151" i="8"/>
  <c r="W152" i="8"/>
  <c r="W153" i="8"/>
  <c r="W154" i="8"/>
  <c r="W140" i="8"/>
  <c r="W156" i="8"/>
  <c r="W157" i="8"/>
  <c r="W158" i="8"/>
  <c r="W159" i="8"/>
  <c r="W160" i="8"/>
  <c r="W161" i="8"/>
  <c r="W241" i="8"/>
  <c r="W162" i="8"/>
  <c r="W235" i="8"/>
  <c r="W163" i="8"/>
  <c r="W164" i="8"/>
  <c r="W165" i="8"/>
  <c r="W115" i="8"/>
  <c r="W166" i="8"/>
  <c r="W167" i="8"/>
  <c r="W171" i="8"/>
  <c r="W168" i="8"/>
  <c r="W169" i="8"/>
  <c r="W170" i="8"/>
  <c r="W181" i="8"/>
  <c r="W172" i="8"/>
  <c r="W173" i="8"/>
  <c r="W174" i="8"/>
  <c r="W175" i="8"/>
  <c r="W176" i="8"/>
  <c r="W177" i="8"/>
  <c r="W182" i="8"/>
  <c r="W183" i="8"/>
  <c r="W184" i="8"/>
  <c r="W185" i="8"/>
  <c r="W186" i="8"/>
  <c r="W282" i="8"/>
  <c r="W187" i="8"/>
  <c r="W188" i="8"/>
  <c r="W196" i="8"/>
  <c r="W189" i="8"/>
  <c r="W190" i="8"/>
  <c r="W191" i="8"/>
  <c r="W192" i="8"/>
  <c r="W193" i="8"/>
  <c r="W194" i="8"/>
  <c r="W195" i="8"/>
  <c r="W197" i="8"/>
  <c r="W198" i="8"/>
  <c r="W199" i="8"/>
  <c r="W200" i="8"/>
  <c r="W201" i="8"/>
  <c r="W69" i="8"/>
  <c r="W202" i="8"/>
  <c r="W23" i="8"/>
  <c r="W203" i="8"/>
  <c r="W215" i="8"/>
  <c r="W24" i="8"/>
  <c r="W25" i="8"/>
  <c r="W26" i="8"/>
  <c r="W204" i="8"/>
  <c r="W205" i="8"/>
  <c r="W206" i="8"/>
  <c r="W207" i="8"/>
  <c r="W208" i="8"/>
  <c r="W209" i="8"/>
  <c r="W214" i="8"/>
  <c r="W210" i="8"/>
  <c r="W211" i="8"/>
  <c r="W212" i="8"/>
  <c r="W213" i="8"/>
  <c r="W216" i="8"/>
  <c r="W217" i="8"/>
  <c r="W27" i="8"/>
  <c r="W220" i="8"/>
  <c r="W226" i="8"/>
  <c r="W218" i="8"/>
  <c r="W219" i="8"/>
  <c r="W221" i="8"/>
  <c r="W222" i="8"/>
  <c r="W223" i="8"/>
  <c r="W224" i="8"/>
  <c r="W225" i="8"/>
  <c r="W227" i="8"/>
  <c r="W228" i="8"/>
  <c r="W229" i="8"/>
  <c r="W230" i="8"/>
  <c r="W231" i="8"/>
  <c r="W232" i="8"/>
  <c r="W233" i="8"/>
  <c r="W236" i="8"/>
  <c r="W238" i="8"/>
  <c r="W239" i="8"/>
  <c r="W240" i="8"/>
  <c r="W237" i="8"/>
  <c r="W242" i="8"/>
  <c r="W179" i="8"/>
  <c r="W243" i="8"/>
  <c r="W244" i="8"/>
  <c r="W246" i="8"/>
  <c r="W247" i="8"/>
  <c r="W248" i="8"/>
  <c r="W249" i="8"/>
  <c r="W250" i="8"/>
  <c r="W251" i="8"/>
  <c r="W245" i="8"/>
  <c r="W252" i="8"/>
  <c r="W253" i="8"/>
  <c r="W254" i="8"/>
  <c r="W255" i="8"/>
  <c r="W256" i="8"/>
  <c r="W257" i="8"/>
  <c r="W260" i="8"/>
  <c r="W261" i="8"/>
  <c r="W262" i="8"/>
  <c r="W263" i="8"/>
  <c r="W264" i="8"/>
  <c r="W265" i="8"/>
  <c r="W266" i="8"/>
  <c r="W281" i="8"/>
  <c r="W267" i="8"/>
  <c r="W268" i="8"/>
  <c r="W271" i="8"/>
  <c r="W272" i="8"/>
  <c r="W311" i="8"/>
  <c r="W273" i="8"/>
  <c r="W274" i="8"/>
  <c r="W275" i="8"/>
  <c r="W276" i="8"/>
  <c r="W309" i="8"/>
  <c r="W279" i="8"/>
  <c r="W278" i="8"/>
  <c r="W280" i="8"/>
  <c r="W283" i="8"/>
  <c r="W284" i="8"/>
  <c r="W285" i="8"/>
  <c r="W286" i="8"/>
  <c r="W287" i="8"/>
  <c r="W178" i="8"/>
  <c r="W180" i="8"/>
  <c r="W288" i="8"/>
  <c r="W293" i="8"/>
  <c r="W289" i="8"/>
  <c r="W290" i="8"/>
  <c r="W291" i="8"/>
  <c r="W292" i="8"/>
  <c r="W294" i="8"/>
  <c r="W295" i="8"/>
  <c r="W296" i="8"/>
  <c r="W297" i="8"/>
  <c r="W299" i="8"/>
  <c r="W298" i="8"/>
  <c r="W300" i="8"/>
  <c r="W302" i="8"/>
  <c r="W304" i="8"/>
  <c r="W303" i="8"/>
  <c r="W305" i="8"/>
  <c r="W312" i="8"/>
  <c r="W306" i="8"/>
  <c r="W307" i="8"/>
  <c r="W308" i="8"/>
  <c r="W33" i="8"/>
  <c r="W310" i="8"/>
  <c r="J179" i="8" l="1"/>
  <c r="Q179" i="8" s="1"/>
  <c r="A6" i="5" l="1"/>
  <c r="B106" i="5" l="1"/>
  <c r="D106" i="5" s="1"/>
  <c r="B102" i="5"/>
  <c r="D102" i="5" s="1"/>
  <c r="B96" i="5"/>
  <c r="D96" i="5" s="1"/>
  <c r="B92" i="5"/>
  <c r="D92" i="5" s="1"/>
  <c r="B94" i="5"/>
  <c r="D94" i="5" s="1"/>
  <c r="B103" i="5"/>
  <c r="D103" i="5" s="1"/>
  <c r="B89" i="5"/>
  <c r="D89" i="5" s="1"/>
  <c r="B105" i="5"/>
  <c r="D105" i="5" s="1"/>
  <c r="B101" i="5"/>
  <c r="D101" i="5" s="1"/>
  <c r="B95" i="5"/>
  <c r="D95" i="5" s="1"/>
  <c r="B91" i="5"/>
  <c r="D91" i="5" s="1"/>
  <c r="B104" i="5"/>
  <c r="D104" i="5" s="1"/>
  <c r="B100" i="5"/>
  <c r="D100" i="5" s="1"/>
  <c r="B90" i="5"/>
  <c r="B99" i="5"/>
  <c r="D99" i="5" s="1"/>
  <c r="B93" i="5"/>
  <c r="D93" i="5" s="1"/>
  <c r="B14" i="5"/>
  <c r="D14" i="5" s="1"/>
  <c r="B23" i="5"/>
  <c r="D23" i="5" s="1"/>
  <c r="B32" i="5"/>
  <c r="D32" i="5" s="1"/>
  <c r="B45" i="5"/>
  <c r="D45" i="5" s="1"/>
  <c r="B76" i="5"/>
  <c r="D76" i="5" s="1"/>
  <c r="D90" i="5"/>
  <c r="B18" i="5"/>
  <c r="D18" i="5" s="1"/>
  <c r="B24" i="5"/>
  <c r="D24" i="5" s="1"/>
  <c r="B26" i="5"/>
  <c r="D26" i="5" s="1"/>
  <c r="B36" i="5"/>
  <c r="D36" i="5" s="1"/>
  <c r="B40" i="5"/>
  <c r="D40" i="5" s="1"/>
  <c r="B46" i="5"/>
  <c r="D46" i="5" s="1"/>
  <c r="B51" i="5"/>
  <c r="D51" i="5" s="1"/>
  <c r="B56" i="5"/>
  <c r="D56" i="5" s="1"/>
  <c r="B68" i="5"/>
  <c r="D68" i="5" s="1"/>
  <c r="B72" i="5"/>
  <c r="D72" i="5" s="1"/>
  <c r="B83" i="5"/>
  <c r="D83" i="5" s="1"/>
  <c r="B9" i="5"/>
  <c r="D9" i="5" s="1"/>
  <c r="B17" i="5"/>
  <c r="D17" i="5" s="1"/>
  <c r="B27" i="5"/>
  <c r="D27" i="5" s="1"/>
  <c r="B39" i="5"/>
  <c r="D39" i="5" s="1"/>
  <c r="B50" i="5"/>
  <c r="D50" i="5" s="1"/>
  <c r="B59" i="5"/>
  <c r="D59" i="5" s="1"/>
  <c r="B71" i="5"/>
  <c r="D71" i="5" s="1"/>
  <c r="B10" i="5"/>
  <c r="D10" i="5" s="1"/>
  <c r="B15" i="5"/>
  <c r="D15" i="5" s="1"/>
  <c r="B19" i="5"/>
  <c r="D19" i="5" s="1"/>
  <c r="B25" i="5"/>
  <c r="D25" i="5" s="1"/>
  <c r="B30" i="5"/>
  <c r="D30" i="5" s="1"/>
  <c r="B37" i="5"/>
  <c r="D37" i="5" s="1"/>
  <c r="B47" i="5"/>
  <c r="D47" i="5" s="1"/>
  <c r="B52" i="5"/>
  <c r="D52" i="5" s="1"/>
  <c r="B57" i="5"/>
  <c r="D57" i="5" s="1"/>
  <c r="B61" i="5"/>
  <c r="B69" i="5"/>
  <c r="D69" i="5" s="1"/>
  <c r="B79" i="5"/>
  <c r="D79" i="5" s="1"/>
  <c r="B84" i="5"/>
  <c r="D84" i="5" s="1"/>
  <c r="B11" i="5"/>
  <c r="D11" i="5" s="1"/>
  <c r="B16" i="5"/>
  <c r="D16" i="5" s="1"/>
  <c r="B31" i="5"/>
  <c r="D31" i="5" s="1"/>
  <c r="B38" i="5"/>
  <c r="D38" i="5" s="1"/>
  <c r="B44" i="5"/>
  <c r="D44" i="5" s="1"/>
  <c r="B53" i="5"/>
  <c r="D53" i="5" s="1"/>
  <c r="B58" i="5"/>
  <c r="D58" i="5" s="1"/>
  <c r="B70" i="5"/>
  <c r="D70" i="5" s="1"/>
  <c r="B75" i="5"/>
  <c r="B80" i="5"/>
  <c r="D80" i="5" s="1"/>
  <c r="B85" i="5"/>
  <c r="D85" i="5" s="1"/>
  <c r="D78" i="5" l="1"/>
  <c r="D8" i="5"/>
  <c r="D88" i="5"/>
  <c r="B74" i="5"/>
  <c r="D75" i="5"/>
  <c r="D74" i="5" s="1"/>
  <c r="D61" i="5"/>
  <c r="D112" i="5" s="1"/>
  <c r="B112" i="5"/>
  <c r="D98" i="5"/>
  <c r="D13" i="5"/>
  <c r="D82" i="5"/>
  <c r="D29" i="5"/>
  <c r="D67" i="5"/>
  <c r="B29" i="5"/>
  <c r="B78" i="5"/>
  <c r="B8" i="5"/>
  <c r="B98" i="5"/>
  <c r="B88" i="5"/>
  <c r="B35" i="5"/>
  <c r="B82" i="5"/>
  <c r="B55" i="5"/>
  <c r="D55" i="5" s="1"/>
  <c r="B22" i="5"/>
  <c r="B49" i="5"/>
  <c r="D49" i="5" s="1"/>
  <c r="B43" i="5"/>
  <c r="D43" i="5" s="1"/>
  <c r="B67" i="5"/>
  <c r="B13" i="5"/>
  <c r="D87" i="5" l="1"/>
  <c r="D115" i="5" s="1"/>
  <c r="D108" i="5"/>
  <c r="D110" i="5" s="1"/>
  <c r="B21" i="5"/>
  <c r="B7" i="5" s="1"/>
  <c r="D22" i="5"/>
  <c r="D21" i="5" s="1"/>
  <c r="D7" i="5" s="1"/>
  <c r="B34" i="5"/>
  <c r="D35" i="5"/>
  <c r="D34" i="5" s="1"/>
  <c r="B87" i="5"/>
  <c r="B115" i="5" s="1"/>
  <c r="B108" i="5"/>
  <c r="A6" i="6"/>
  <c r="B15" i="6" l="1"/>
  <c r="D15" i="6" s="1"/>
  <c r="B30" i="6"/>
  <c r="D30" i="6" s="1"/>
  <c r="B23" i="6"/>
  <c r="D23" i="6" s="1"/>
  <c r="B13" i="6"/>
  <c r="D13" i="6" s="1"/>
  <c r="B31" i="6"/>
  <c r="D31" i="6" s="1"/>
  <c r="B25" i="6"/>
  <c r="D25" i="6" s="1"/>
  <c r="B29" i="6"/>
  <c r="D29" i="6" s="1"/>
  <c r="B11" i="6"/>
  <c r="D11" i="6" s="1"/>
  <c r="B26" i="6"/>
  <c r="D26" i="6" s="1"/>
  <c r="B20" i="6"/>
  <c r="D20" i="6" s="1"/>
  <c r="B24" i="6"/>
  <c r="D24" i="6" s="1"/>
  <c r="B21" i="6"/>
  <c r="D21" i="6" s="1"/>
  <c r="B28" i="6"/>
  <c r="D28" i="6" s="1"/>
  <c r="B14" i="6"/>
  <c r="D14" i="6" s="1"/>
  <c r="D63" i="5"/>
  <c r="B63" i="5"/>
  <c r="B110" i="5"/>
  <c r="D59" i="3"/>
  <c r="D60" i="3"/>
  <c r="D58" i="3"/>
  <c r="R16" i="8"/>
  <c r="R17" i="8"/>
  <c r="R18" i="8"/>
  <c r="R19" i="8"/>
  <c r="R20" i="8"/>
  <c r="R21" i="8"/>
  <c r="R22" i="8"/>
  <c r="R30" i="8"/>
  <c r="R31" i="8"/>
  <c r="R32" i="8"/>
  <c r="R34" i="8"/>
  <c r="R35" i="8"/>
  <c r="R36" i="8"/>
  <c r="R37" i="8"/>
  <c r="R41" i="8"/>
  <c r="R42" i="8"/>
  <c r="R91" i="8"/>
  <c r="R43" i="8"/>
  <c r="R38" i="8"/>
  <c r="R45" i="8"/>
  <c r="R44" i="8"/>
  <c r="R46" i="8"/>
  <c r="R47" i="8"/>
  <c r="R48" i="8"/>
  <c r="R49" i="8"/>
  <c r="R50" i="8"/>
  <c r="R51" i="8"/>
  <c r="R52" i="8"/>
  <c r="R53" i="8"/>
  <c r="R54" i="8"/>
  <c r="R55" i="8"/>
  <c r="R56" i="8"/>
  <c r="R57" i="8"/>
  <c r="R58" i="8"/>
  <c r="R59" i="8"/>
  <c r="R270" i="8"/>
  <c r="R269" i="8"/>
  <c r="R62" i="8"/>
  <c r="R61" i="8"/>
  <c r="R63" i="8"/>
  <c r="R64" i="8"/>
  <c r="R65" i="8"/>
  <c r="R66" i="8"/>
  <c r="R67" i="8"/>
  <c r="R29" i="8"/>
  <c r="R68" i="8"/>
  <c r="R259" i="8"/>
  <c r="R258" i="8"/>
  <c r="R70" i="8"/>
  <c r="R72" i="8"/>
  <c r="R71" i="8"/>
  <c r="R73" i="8"/>
  <c r="R74" i="8"/>
  <c r="R75" i="8"/>
  <c r="R76" i="8"/>
  <c r="R77" i="8"/>
  <c r="R78" i="8"/>
  <c r="R79" i="8"/>
  <c r="R80" i="8"/>
  <c r="R81" i="8"/>
  <c r="R277" i="8"/>
  <c r="R234" i="8"/>
  <c r="R82" i="8"/>
  <c r="R83" i="8"/>
  <c r="R84" i="8"/>
  <c r="R85" i="8"/>
  <c r="R86" i="8"/>
  <c r="R87" i="8"/>
  <c r="R88" i="8"/>
  <c r="R89" i="8"/>
  <c r="R28" i="8"/>
  <c r="R60" i="8"/>
  <c r="R92" i="8"/>
  <c r="R93" i="8"/>
  <c r="R94" i="8"/>
  <c r="R95" i="8"/>
  <c r="R96" i="8"/>
  <c r="R39" i="8"/>
  <c r="R97" i="8"/>
  <c r="R98" i="8"/>
  <c r="R99" i="8"/>
  <c r="R100" i="8"/>
  <c r="R101" i="8"/>
  <c r="R106" i="8"/>
  <c r="R102" i="8"/>
  <c r="R103" i="8"/>
  <c r="R104" i="8"/>
  <c r="R105" i="8"/>
  <c r="R107" i="8"/>
  <c r="R129" i="8"/>
  <c r="R108" i="8"/>
  <c r="R109" i="8"/>
  <c r="R110" i="8"/>
  <c r="R111" i="8"/>
  <c r="R124" i="8"/>
  <c r="R90" i="8"/>
  <c r="R112" i="8"/>
  <c r="R113" i="8"/>
  <c r="R114" i="8"/>
  <c r="R116" i="8"/>
  <c r="R117" i="8"/>
  <c r="R118" i="8"/>
  <c r="R119" i="8"/>
  <c r="R120" i="8"/>
  <c r="R121" i="8"/>
  <c r="R122" i="8"/>
  <c r="R123" i="8"/>
  <c r="R125" i="8"/>
  <c r="R126" i="8"/>
  <c r="R127" i="8"/>
  <c r="R40" i="8"/>
  <c r="R128" i="8"/>
  <c r="R130" i="8"/>
  <c r="R131" i="8"/>
  <c r="R132" i="8"/>
  <c r="R133" i="8"/>
  <c r="R134" i="8"/>
  <c r="R135" i="8"/>
  <c r="R139" i="8"/>
  <c r="R136" i="8"/>
  <c r="R137" i="8"/>
  <c r="R301" i="8"/>
  <c r="R138" i="8"/>
  <c r="R141" i="8"/>
  <c r="R142" i="8"/>
  <c r="R143" i="8"/>
  <c r="R144" i="8"/>
  <c r="R145" i="8"/>
  <c r="R146" i="8"/>
  <c r="R155" i="8"/>
  <c r="R147" i="8"/>
  <c r="R148" i="8"/>
  <c r="R150" i="8"/>
  <c r="R149" i="8"/>
  <c r="R151" i="8"/>
  <c r="R152" i="8"/>
  <c r="R153" i="8"/>
  <c r="R154" i="8"/>
  <c r="R140" i="8"/>
  <c r="R156" i="8"/>
  <c r="R157" i="8"/>
  <c r="R158" i="8"/>
  <c r="R159" i="8"/>
  <c r="R160" i="8"/>
  <c r="R161" i="8"/>
  <c r="R241" i="8"/>
  <c r="R162" i="8"/>
  <c r="R235" i="8"/>
  <c r="R163" i="8"/>
  <c r="R164" i="8"/>
  <c r="R165" i="8"/>
  <c r="R115" i="8"/>
  <c r="R166" i="8"/>
  <c r="R167" i="8"/>
  <c r="R171" i="8"/>
  <c r="R168" i="8"/>
  <c r="R169" i="8"/>
  <c r="R170" i="8"/>
  <c r="R181" i="8"/>
  <c r="R172" i="8"/>
  <c r="R173" i="8"/>
  <c r="R174" i="8"/>
  <c r="R175" i="8"/>
  <c r="R176" i="8"/>
  <c r="R177" i="8"/>
  <c r="R182" i="8"/>
  <c r="R183" i="8"/>
  <c r="R184" i="8"/>
  <c r="R185" i="8"/>
  <c r="R186" i="8"/>
  <c r="R282" i="8"/>
  <c r="R187" i="8"/>
  <c r="R188" i="8"/>
  <c r="R196" i="8"/>
  <c r="R189" i="8"/>
  <c r="R190" i="8"/>
  <c r="R191" i="8"/>
  <c r="R192" i="8"/>
  <c r="R193" i="8"/>
  <c r="R194" i="8"/>
  <c r="R195" i="8"/>
  <c r="R197" i="8"/>
  <c r="R198" i="8"/>
  <c r="R199" i="8"/>
  <c r="R200" i="8"/>
  <c r="R201" i="8"/>
  <c r="R69" i="8"/>
  <c r="R202" i="8"/>
  <c r="R23" i="8"/>
  <c r="R203" i="8"/>
  <c r="R215" i="8"/>
  <c r="R24" i="8"/>
  <c r="R25" i="8"/>
  <c r="R26" i="8"/>
  <c r="R204" i="8"/>
  <c r="R205" i="8"/>
  <c r="R206" i="8"/>
  <c r="R207" i="8"/>
  <c r="R208" i="8"/>
  <c r="R209" i="8"/>
  <c r="R214" i="8"/>
  <c r="R210" i="8"/>
  <c r="R211" i="8"/>
  <c r="R212" i="8"/>
  <c r="R213" i="8"/>
  <c r="R216" i="8"/>
  <c r="R217" i="8"/>
  <c r="R27" i="8"/>
  <c r="R220" i="8"/>
  <c r="R226" i="8"/>
  <c r="R218" i="8"/>
  <c r="R219" i="8"/>
  <c r="R221" i="8"/>
  <c r="R222" i="8"/>
  <c r="R223" i="8"/>
  <c r="R224" i="8"/>
  <c r="R225" i="8"/>
  <c r="R227" i="8"/>
  <c r="R228" i="8"/>
  <c r="R229" i="8"/>
  <c r="R230" i="8"/>
  <c r="R231" i="8"/>
  <c r="R232" i="8"/>
  <c r="R233" i="8"/>
  <c r="R236" i="8"/>
  <c r="R238" i="8"/>
  <c r="R239" i="8"/>
  <c r="R240" i="8"/>
  <c r="R237" i="8"/>
  <c r="R242" i="8"/>
  <c r="R179" i="8"/>
  <c r="R243" i="8"/>
  <c r="R244" i="8"/>
  <c r="R246" i="8"/>
  <c r="R247" i="8"/>
  <c r="R248" i="8"/>
  <c r="R249" i="8"/>
  <c r="R250" i="8"/>
  <c r="R251" i="8"/>
  <c r="R245" i="8"/>
  <c r="R252" i="8"/>
  <c r="R253" i="8"/>
  <c r="R254" i="8"/>
  <c r="R255" i="8"/>
  <c r="R256" i="8"/>
  <c r="R257" i="8"/>
  <c r="R260" i="8"/>
  <c r="R261" i="8"/>
  <c r="R262" i="8"/>
  <c r="R263" i="8"/>
  <c r="R264" i="8"/>
  <c r="R265" i="8"/>
  <c r="R266" i="8"/>
  <c r="R281" i="8"/>
  <c r="R267" i="8"/>
  <c r="R268" i="8"/>
  <c r="R271" i="8"/>
  <c r="R272" i="8"/>
  <c r="R311" i="8"/>
  <c r="R273" i="8"/>
  <c r="R274" i="8"/>
  <c r="R275" i="8"/>
  <c r="R276" i="8"/>
  <c r="R309" i="8"/>
  <c r="R279" i="8"/>
  <c r="R278" i="8"/>
  <c r="R280" i="8"/>
  <c r="R283" i="8"/>
  <c r="R284" i="8"/>
  <c r="R285" i="8"/>
  <c r="R286" i="8"/>
  <c r="R287" i="8"/>
  <c r="R178" i="8"/>
  <c r="R180" i="8"/>
  <c r="R288" i="8"/>
  <c r="R293" i="8"/>
  <c r="R289" i="8"/>
  <c r="R290" i="8"/>
  <c r="R291" i="8"/>
  <c r="R292" i="8"/>
  <c r="R294" i="8"/>
  <c r="R295" i="8"/>
  <c r="R296" i="8"/>
  <c r="R297" i="8"/>
  <c r="R299" i="8"/>
  <c r="R298" i="8"/>
  <c r="R300" i="8"/>
  <c r="R302" i="8"/>
  <c r="R304" i="8"/>
  <c r="R303" i="8"/>
  <c r="R305" i="8"/>
  <c r="R312" i="8"/>
  <c r="R306" i="8"/>
  <c r="R307" i="8"/>
  <c r="R308" i="8"/>
  <c r="R33" i="8"/>
  <c r="R310" i="8"/>
  <c r="A10" i="3"/>
  <c r="D27" i="6" l="1"/>
  <c r="D116" i="5"/>
  <c r="B113" i="5"/>
  <c r="D113" i="5"/>
  <c r="D22" i="6"/>
  <c r="D19" i="6"/>
  <c r="B116" i="5"/>
  <c r="B19" i="6"/>
  <c r="B27" i="6"/>
  <c r="B22" i="6"/>
  <c r="D54" i="3"/>
  <c r="D32" i="6" l="1"/>
  <c r="B32" i="6"/>
  <c r="D53" i="3"/>
  <c r="D10" i="6" s="1"/>
  <c r="D46" i="3"/>
  <c r="D45" i="3"/>
  <c r="D44" i="3"/>
  <c r="D43" i="3"/>
  <c r="C15" i="8"/>
  <c r="D35" i="3"/>
  <c r="R15" i="8" l="1"/>
  <c r="W15" i="8"/>
  <c r="B42" i="3"/>
  <c r="B28" i="3" l="1"/>
  <c r="P18" i="8" l="1"/>
  <c r="P19" i="8"/>
  <c r="P20" i="8"/>
  <c r="P21" i="8"/>
  <c r="P22" i="8"/>
  <c r="P16" i="8"/>
  <c r="P30" i="8"/>
  <c r="P31" i="8"/>
  <c r="P32" i="8"/>
  <c r="P34" i="8"/>
  <c r="P35" i="8"/>
  <c r="P36" i="8"/>
  <c r="P37" i="8"/>
  <c r="P41" i="8"/>
  <c r="P42" i="8"/>
  <c r="P91" i="8"/>
  <c r="P43" i="8"/>
  <c r="P38" i="8"/>
  <c r="P45" i="8"/>
  <c r="P44" i="8"/>
  <c r="P46" i="8"/>
  <c r="P47" i="8"/>
  <c r="P48" i="8"/>
  <c r="P49" i="8"/>
  <c r="P51" i="8"/>
  <c r="P52" i="8"/>
  <c r="P291" i="8"/>
  <c r="P53" i="8"/>
  <c r="P54" i="8"/>
  <c r="P55" i="8"/>
  <c r="P56" i="8"/>
  <c r="P57" i="8"/>
  <c r="P58" i="8"/>
  <c r="P59" i="8"/>
  <c r="P270" i="8"/>
  <c r="P269" i="8"/>
  <c r="P50" i="8"/>
  <c r="P62" i="8"/>
  <c r="P61" i="8"/>
  <c r="P63" i="8"/>
  <c r="P64" i="8"/>
  <c r="P65" i="8"/>
  <c r="P66" i="8"/>
  <c r="P29" i="8"/>
  <c r="P68" i="8"/>
  <c r="P259" i="8"/>
  <c r="P258" i="8"/>
  <c r="P67" i="8"/>
  <c r="P70" i="8"/>
  <c r="P72" i="8"/>
  <c r="P71" i="8"/>
  <c r="P73" i="8"/>
  <c r="P74" i="8"/>
  <c r="P75" i="8"/>
  <c r="P76" i="8"/>
  <c r="P77" i="8"/>
  <c r="P78" i="8"/>
  <c r="P79" i="8"/>
  <c r="P80" i="8"/>
  <c r="P81" i="8"/>
  <c r="P277" i="8"/>
  <c r="P234" i="8"/>
  <c r="P82" i="8"/>
  <c r="P83" i="8"/>
  <c r="P84" i="8"/>
  <c r="P85" i="8"/>
  <c r="P86" i="8"/>
  <c r="P87" i="8"/>
  <c r="P88" i="8"/>
  <c r="P89" i="8"/>
  <c r="P28" i="8"/>
  <c r="P60" i="8"/>
  <c r="P92" i="8"/>
  <c r="P93" i="8"/>
  <c r="P94" i="8"/>
  <c r="P95" i="8"/>
  <c r="P96" i="8"/>
  <c r="P39" i="8"/>
  <c r="P97" i="8"/>
  <c r="P98" i="8"/>
  <c r="P99" i="8"/>
  <c r="P101" i="8"/>
  <c r="P102" i="8"/>
  <c r="P103" i="8"/>
  <c r="P104" i="8"/>
  <c r="P105" i="8"/>
  <c r="P107" i="8"/>
  <c r="P129" i="8"/>
  <c r="P108" i="8"/>
  <c r="P109" i="8"/>
  <c r="P110" i="8"/>
  <c r="P111" i="8"/>
  <c r="P124" i="8"/>
  <c r="P90" i="8"/>
  <c r="P112" i="8"/>
  <c r="P113" i="8"/>
  <c r="P114" i="8"/>
  <c r="P116" i="8"/>
  <c r="P117" i="8"/>
  <c r="P118" i="8"/>
  <c r="P119" i="8"/>
  <c r="P120" i="8"/>
  <c r="P121" i="8"/>
  <c r="P122" i="8"/>
  <c r="P123" i="8"/>
  <c r="P125" i="8"/>
  <c r="P126" i="8"/>
  <c r="P127" i="8"/>
  <c r="P40" i="8"/>
  <c r="P128" i="8"/>
  <c r="P187" i="8"/>
  <c r="P130" i="8"/>
  <c r="P131" i="8"/>
  <c r="P132" i="8"/>
  <c r="P100" i="8"/>
  <c r="P106" i="8"/>
  <c r="P133" i="8"/>
  <c r="P134" i="8"/>
  <c r="P135" i="8"/>
  <c r="P136" i="8"/>
  <c r="P137" i="8"/>
  <c r="P301" i="8"/>
  <c r="P139" i="8"/>
  <c r="P138" i="8"/>
  <c r="P141" i="8"/>
  <c r="P142" i="8"/>
  <c r="P143" i="8"/>
  <c r="P144" i="8"/>
  <c r="P145" i="8"/>
  <c r="P146" i="8"/>
  <c r="P155" i="8"/>
  <c r="P147" i="8"/>
  <c r="P148" i="8"/>
  <c r="P149" i="8"/>
  <c r="P151" i="8"/>
  <c r="P152" i="8"/>
  <c r="P153" i="8"/>
  <c r="P154" i="8"/>
  <c r="P140" i="8"/>
  <c r="P156" i="8"/>
  <c r="P157" i="8"/>
  <c r="P150" i="8"/>
  <c r="P190" i="8"/>
  <c r="P158" i="8"/>
  <c r="P159" i="8"/>
  <c r="P160" i="8"/>
  <c r="P161" i="8"/>
  <c r="P241" i="8"/>
  <c r="P162" i="8"/>
  <c r="P235" i="8"/>
  <c r="P163" i="8"/>
  <c r="P164" i="8"/>
  <c r="P165" i="8"/>
  <c r="P115" i="8"/>
  <c r="P166" i="8"/>
  <c r="P167" i="8"/>
  <c r="P171" i="8"/>
  <c r="P168" i="8"/>
  <c r="P170" i="8"/>
  <c r="P169" i="8"/>
  <c r="P181" i="8"/>
  <c r="P172" i="8"/>
  <c r="P173" i="8"/>
  <c r="P174" i="8"/>
  <c r="P175" i="8"/>
  <c r="P176" i="8"/>
  <c r="P177" i="8"/>
  <c r="P182" i="8"/>
  <c r="P183" i="8"/>
  <c r="P184" i="8"/>
  <c r="P185" i="8"/>
  <c r="P186" i="8"/>
  <c r="P282" i="8"/>
  <c r="P188" i="8"/>
  <c r="P196" i="8"/>
  <c r="P189" i="8"/>
  <c r="P191" i="8"/>
  <c r="P192" i="8"/>
  <c r="P194" i="8"/>
  <c r="P197" i="8"/>
  <c r="P198" i="8"/>
  <c r="P199" i="8"/>
  <c r="P200" i="8"/>
  <c r="P201" i="8"/>
  <c r="P69" i="8"/>
  <c r="P193" i="8"/>
  <c r="P202" i="8"/>
  <c r="P23" i="8"/>
  <c r="P203" i="8"/>
  <c r="P215" i="8"/>
  <c r="P24" i="8"/>
  <c r="P25" i="8"/>
  <c r="P204" i="8"/>
  <c r="P205" i="8"/>
  <c r="P206" i="8"/>
  <c r="P207" i="8"/>
  <c r="P208" i="8"/>
  <c r="P209" i="8"/>
  <c r="P214" i="8"/>
  <c r="P210" i="8"/>
  <c r="P211" i="8"/>
  <c r="P212" i="8"/>
  <c r="P213" i="8"/>
  <c r="P216" i="8"/>
  <c r="P217" i="8"/>
  <c r="P26" i="8"/>
  <c r="P27" i="8"/>
  <c r="P226" i="8"/>
  <c r="P218" i="8"/>
  <c r="P219" i="8"/>
  <c r="P221" i="8"/>
  <c r="P222" i="8"/>
  <c r="P223" i="8"/>
  <c r="P224" i="8"/>
  <c r="P225" i="8"/>
  <c r="P227" i="8"/>
  <c r="P228" i="8"/>
  <c r="P229" i="8"/>
  <c r="P230" i="8"/>
  <c r="P231" i="8"/>
  <c r="P232" i="8"/>
  <c r="P233" i="8"/>
  <c r="P220" i="8"/>
  <c r="P236" i="8"/>
  <c r="P238" i="8"/>
  <c r="P239" i="8"/>
  <c r="P237" i="8"/>
  <c r="P242" i="8"/>
  <c r="P179" i="8"/>
  <c r="P243" i="8"/>
  <c r="P244" i="8"/>
  <c r="P246" i="8"/>
  <c r="P247" i="8"/>
  <c r="P248" i="8"/>
  <c r="P250" i="8"/>
  <c r="P251" i="8"/>
  <c r="P245" i="8"/>
  <c r="P252" i="8"/>
  <c r="P253" i="8"/>
  <c r="P254" i="8"/>
  <c r="P255" i="8"/>
  <c r="P256" i="8"/>
  <c r="P257" i="8"/>
  <c r="P260" i="8"/>
  <c r="P261" i="8"/>
  <c r="P262" i="8"/>
  <c r="P263" i="8"/>
  <c r="P264" i="8"/>
  <c r="P288" i="8"/>
  <c r="P240" i="8"/>
  <c r="P249" i="8"/>
  <c r="P265" i="8"/>
  <c r="P266" i="8"/>
  <c r="P281" i="8"/>
  <c r="P267" i="8"/>
  <c r="P268" i="8"/>
  <c r="P271" i="8"/>
  <c r="P272" i="8"/>
  <c r="P311" i="8"/>
  <c r="P273" i="8"/>
  <c r="P274" i="8"/>
  <c r="P275" i="8"/>
  <c r="P276" i="8"/>
  <c r="P309" i="8"/>
  <c r="P195" i="8"/>
  <c r="P279" i="8"/>
  <c r="P278" i="8"/>
  <c r="P280" i="8"/>
  <c r="P283" i="8"/>
  <c r="P284" i="8"/>
  <c r="P285" i="8"/>
  <c r="P286" i="8"/>
  <c r="P287" i="8"/>
  <c r="P178" i="8"/>
  <c r="P180" i="8"/>
  <c r="P293" i="8"/>
  <c r="P289" i="8"/>
  <c r="P290" i="8"/>
  <c r="P292" i="8"/>
  <c r="P294" i="8"/>
  <c r="P295" i="8"/>
  <c r="P296" i="8"/>
  <c r="P297" i="8"/>
  <c r="P299" i="8"/>
  <c r="P298" i="8"/>
  <c r="P300" i="8"/>
  <c r="P302" i="8"/>
  <c r="P304" i="8"/>
  <c r="P303" i="8"/>
  <c r="P305" i="8"/>
  <c r="P312" i="8"/>
  <c r="P306" i="8"/>
  <c r="P307" i="8"/>
  <c r="P308" i="8"/>
  <c r="P33" i="8"/>
  <c r="P310" i="8"/>
  <c r="P17" i="8"/>
  <c r="O18" i="8"/>
  <c r="O19" i="8"/>
  <c r="O20" i="8"/>
  <c r="O21" i="8"/>
  <c r="O22" i="8"/>
  <c r="O16" i="8"/>
  <c r="O30" i="8"/>
  <c r="O31" i="8"/>
  <c r="O32" i="8"/>
  <c r="O34" i="8"/>
  <c r="O35" i="8"/>
  <c r="O36" i="8"/>
  <c r="O37" i="8"/>
  <c r="O41" i="8"/>
  <c r="O42" i="8"/>
  <c r="O91" i="8"/>
  <c r="O43" i="8"/>
  <c r="O38" i="8"/>
  <c r="O45" i="8"/>
  <c r="O44" i="8"/>
  <c r="O46" i="8"/>
  <c r="O47" i="8"/>
  <c r="O48" i="8"/>
  <c r="O49" i="8"/>
  <c r="O51" i="8"/>
  <c r="O52" i="8"/>
  <c r="O291" i="8"/>
  <c r="O53" i="8"/>
  <c r="O54" i="8"/>
  <c r="O55" i="8"/>
  <c r="O56" i="8"/>
  <c r="O57" i="8"/>
  <c r="O58" i="8"/>
  <c r="O59" i="8"/>
  <c r="O270" i="8"/>
  <c r="O269" i="8"/>
  <c r="O50" i="8"/>
  <c r="O62" i="8"/>
  <c r="O61" i="8"/>
  <c r="O63" i="8"/>
  <c r="O64" i="8"/>
  <c r="O65" i="8"/>
  <c r="O66" i="8"/>
  <c r="O29" i="8"/>
  <c r="O68" i="8"/>
  <c r="O259" i="8"/>
  <c r="O258" i="8"/>
  <c r="O67" i="8"/>
  <c r="O70" i="8"/>
  <c r="O72" i="8"/>
  <c r="O71" i="8"/>
  <c r="O73" i="8"/>
  <c r="O74" i="8"/>
  <c r="O75" i="8"/>
  <c r="O76" i="8"/>
  <c r="O77" i="8"/>
  <c r="O78" i="8"/>
  <c r="O79" i="8"/>
  <c r="O80" i="8"/>
  <c r="O81" i="8"/>
  <c r="O277" i="8"/>
  <c r="O234" i="8"/>
  <c r="O82" i="8"/>
  <c r="O83" i="8"/>
  <c r="O84" i="8"/>
  <c r="O85" i="8"/>
  <c r="O86" i="8"/>
  <c r="O87" i="8"/>
  <c r="O88" i="8"/>
  <c r="O89" i="8"/>
  <c r="O28" i="8"/>
  <c r="O60" i="8"/>
  <c r="O92" i="8"/>
  <c r="O93" i="8"/>
  <c r="O94" i="8"/>
  <c r="O95" i="8"/>
  <c r="O96" i="8"/>
  <c r="O39" i="8"/>
  <c r="O97" i="8"/>
  <c r="O98" i="8"/>
  <c r="O99" i="8"/>
  <c r="O101" i="8"/>
  <c r="O102" i="8"/>
  <c r="O103" i="8"/>
  <c r="O104" i="8"/>
  <c r="O105" i="8"/>
  <c r="O107" i="8"/>
  <c r="O129" i="8"/>
  <c r="O108" i="8"/>
  <c r="O109" i="8"/>
  <c r="O110" i="8"/>
  <c r="O111" i="8"/>
  <c r="O124" i="8"/>
  <c r="O90" i="8"/>
  <c r="O112" i="8"/>
  <c r="O113" i="8"/>
  <c r="O114" i="8"/>
  <c r="O116" i="8"/>
  <c r="O117" i="8"/>
  <c r="O118" i="8"/>
  <c r="O119" i="8"/>
  <c r="O120" i="8"/>
  <c r="O121" i="8"/>
  <c r="O122" i="8"/>
  <c r="O123" i="8"/>
  <c r="O125" i="8"/>
  <c r="O126" i="8"/>
  <c r="O127" i="8"/>
  <c r="O40" i="8"/>
  <c r="O128" i="8"/>
  <c r="O187" i="8"/>
  <c r="O130" i="8"/>
  <c r="O131" i="8"/>
  <c r="O132" i="8"/>
  <c r="O100" i="8"/>
  <c r="O106" i="8"/>
  <c r="O133" i="8"/>
  <c r="O134" i="8"/>
  <c r="O135" i="8"/>
  <c r="O136" i="8"/>
  <c r="O137" i="8"/>
  <c r="O301" i="8"/>
  <c r="O139" i="8"/>
  <c r="O138" i="8"/>
  <c r="O141" i="8"/>
  <c r="O142" i="8"/>
  <c r="O143" i="8"/>
  <c r="O144" i="8"/>
  <c r="O145" i="8"/>
  <c r="O146" i="8"/>
  <c r="O155" i="8"/>
  <c r="O147" i="8"/>
  <c r="O148" i="8"/>
  <c r="O149" i="8"/>
  <c r="O151" i="8"/>
  <c r="O152" i="8"/>
  <c r="O153" i="8"/>
  <c r="O154" i="8"/>
  <c r="O140" i="8"/>
  <c r="O156" i="8"/>
  <c r="O157" i="8"/>
  <c r="O150" i="8"/>
  <c r="O190" i="8"/>
  <c r="O158" i="8"/>
  <c r="O159" i="8"/>
  <c r="O160" i="8"/>
  <c r="O161" i="8"/>
  <c r="O241" i="8"/>
  <c r="O162" i="8"/>
  <c r="O235" i="8"/>
  <c r="O163" i="8"/>
  <c r="O164" i="8"/>
  <c r="O165" i="8"/>
  <c r="O115" i="8"/>
  <c r="O166" i="8"/>
  <c r="O167" i="8"/>
  <c r="O171" i="8"/>
  <c r="O168" i="8"/>
  <c r="O170" i="8"/>
  <c r="O169" i="8"/>
  <c r="O181" i="8"/>
  <c r="O172" i="8"/>
  <c r="O173" i="8"/>
  <c r="O174" i="8"/>
  <c r="O175" i="8"/>
  <c r="O176" i="8"/>
  <c r="O177" i="8"/>
  <c r="O182" i="8"/>
  <c r="O183" i="8"/>
  <c r="O184" i="8"/>
  <c r="O185" i="8"/>
  <c r="O186" i="8"/>
  <c r="O282" i="8"/>
  <c r="O188" i="8"/>
  <c r="O196" i="8"/>
  <c r="O189" i="8"/>
  <c r="O191" i="8"/>
  <c r="O192" i="8"/>
  <c r="O194" i="8"/>
  <c r="O197" i="8"/>
  <c r="O198" i="8"/>
  <c r="O199" i="8"/>
  <c r="O200" i="8"/>
  <c r="O201" i="8"/>
  <c r="O69" i="8"/>
  <c r="O193" i="8"/>
  <c r="O202" i="8"/>
  <c r="O23" i="8"/>
  <c r="O203" i="8"/>
  <c r="O215" i="8"/>
  <c r="O24" i="8"/>
  <c r="O25" i="8"/>
  <c r="O204" i="8"/>
  <c r="O205" i="8"/>
  <c r="O206" i="8"/>
  <c r="O207" i="8"/>
  <c r="O208" i="8"/>
  <c r="O209" i="8"/>
  <c r="O214" i="8"/>
  <c r="O210" i="8"/>
  <c r="O211" i="8"/>
  <c r="O212" i="8"/>
  <c r="O213" i="8"/>
  <c r="O216" i="8"/>
  <c r="O217" i="8"/>
  <c r="O26" i="8"/>
  <c r="O27" i="8"/>
  <c r="O226" i="8"/>
  <c r="O218" i="8"/>
  <c r="O219" i="8"/>
  <c r="O221" i="8"/>
  <c r="O222" i="8"/>
  <c r="O223" i="8"/>
  <c r="O224" i="8"/>
  <c r="O225" i="8"/>
  <c r="O227" i="8"/>
  <c r="O228" i="8"/>
  <c r="O229" i="8"/>
  <c r="O230" i="8"/>
  <c r="O231" i="8"/>
  <c r="O232" i="8"/>
  <c r="O233" i="8"/>
  <c r="O220" i="8"/>
  <c r="O236" i="8"/>
  <c r="O238" i="8"/>
  <c r="O239" i="8"/>
  <c r="O237" i="8"/>
  <c r="O242" i="8"/>
  <c r="O179" i="8"/>
  <c r="O243" i="8"/>
  <c r="O244" i="8"/>
  <c r="O246" i="8"/>
  <c r="O247" i="8"/>
  <c r="O248" i="8"/>
  <c r="O250" i="8"/>
  <c r="O251" i="8"/>
  <c r="O245" i="8"/>
  <c r="O252" i="8"/>
  <c r="O253" i="8"/>
  <c r="O254" i="8"/>
  <c r="O255" i="8"/>
  <c r="O256" i="8"/>
  <c r="O257" i="8"/>
  <c r="O260" i="8"/>
  <c r="O261" i="8"/>
  <c r="O262" i="8"/>
  <c r="O263" i="8"/>
  <c r="O264" i="8"/>
  <c r="O288" i="8"/>
  <c r="O240" i="8"/>
  <c r="O249" i="8"/>
  <c r="O265" i="8"/>
  <c r="O266" i="8"/>
  <c r="O281" i="8"/>
  <c r="O267" i="8"/>
  <c r="O268" i="8"/>
  <c r="O271" i="8"/>
  <c r="O272" i="8"/>
  <c r="O311" i="8"/>
  <c r="O273" i="8"/>
  <c r="O274" i="8"/>
  <c r="O275" i="8"/>
  <c r="O276" i="8"/>
  <c r="O309" i="8"/>
  <c r="O195" i="8"/>
  <c r="O279" i="8"/>
  <c r="O278" i="8"/>
  <c r="O280" i="8"/>
  <c r="O283" i="8"/>
  <c r="O284" i="8"/>
  <c r="O285" i="8"/>
  <c r="O286" i="8"/>
  <c r="O287" i="8"/>
  <c r="O178" i="8"/>
  <c r="O180" i="8"/>
  <c r="O293" i="8"/>
  <c r="O289" i="8"/>
  <c r="O290" i="8"/>
  <c r="O292" i="8"/>
  <c r="O294" i="8"/>
  <c r="O295" i="8"/>
  <c r="O296" i="8"/>
  <c r="O297" i="8"/>
  <c r="O299" i="8"/>
  <c r="O298" i="8"/>
  <c r="O300" i="8"/>
  <c r="O302" i="8"/>
  <c r="O304" i="8"/>
  <c r="O303" i="8"/>
  <c r="O305" i="8"/>
  <c r="O312" i="8"/>
  <c r="O306" i="8"/>
  <c r="O307" i="8"/>
  <c r="O308" i="8"/>
  <c r="O33" i="8"/>
  <c r="O310" i="8"/>
  <c r="O17" i="8"/>
  <c r="D42" i="3" l="1"/>
  <c r="B32" i="3"/>
  <c r="B119" i="5" s="1"/>
  <c r="B31" i="3" l="1"/>
  <c r="B11" i="3" l="1"/>
  <c r="B19" i="3"/>
  <c r="U332" i="8" l="1"/>
  <c r="U331" i="8"/>
  <c r="U330" i="8"/>
  <c r="U329" i="8"/>
  <c r="U328" i="8"/>
  <c r="U327" i="8"/>
  <c r="U326" i="8"/>
  <c r="U325" i="8"/>
  <c r="U324" i="8"/>
  <c r="U323" i="8"/>
  <c r="U322" i="8"/>
  <c r="U321" i="8"/>
  <c r="U320" i="8"/>
  <c r="U319" i="8"/>
  <c r="U318" i="8"/>
  <c r="U317" i="8"/>
  <c r="U316" i="8"/>
  <c r="U315" i="8"/>
  <c r="J310" i="8"/>
  <c r="J33" i="8"/>
  <c r="J308" i="8"/>
  <c r="J307" i="8"/>
  <c r="J306" i="8"/>
  <c r="J312" i="8"/>
  <c r="J305" i="8"/>
  <c r="Q305" i="8" s="1"/>
  <c r="J303" i="8"/>
  <c r="Q303" i="8" s="1"/>
  <c r="J304" i="8"/>
  <c r="J302" i="8"/>
  <c r="J300" i="8"/>
  <c r="J298" i="8"/>
  <c r="J299" i="8"/>
  <c r="Q299" i="8" s="1"/>
  <c r="J297" i="8"/>
  <c r="J296" i="8"/>
  <c r="J295" i="8"/>
  <c r="J294" i="8"/>
  <c r="J292" i="8"/>
  <c r="J290" i="8"/>
  <c r="J289" i="8"/>
  <c r="J293" i="8"/>
  <c r="J180" i="8"/>
  <c r="J178" i="8"/>
  <c r="Q178" i="8" s="1"/>
  <c r="J287" i="8"/>
  <c r="Q287" i="8" s="1"/>
  <c r="J286" i="8"/>
  <c r="J285" i="8"/>
  <c r="J284" i="8"/>
  <c r="J283" i="8"/>
  <c r="J280" i="8"/>
  <c r="Q280" i="8" s="1"/>
  <c r="J278" i="8"/>
  <c r="J279" i="8"/>
  <c r="J195" i="8"/>
  <c r="J309" i="8"/>
  <c r="J276" i="8"/>
  <c r="J275" i="8"/>
  <c r="J274" i="8"/>
  <c r="J273" i="8"/>
  <c r="J311" i="8"/>
  <c r="J272" i="8"/>
  <c r="Q272" i="8" s="1"/>
  <c r="J271" i="8"/>
  <c r="Q271" i="8" s="1"/>
  <c r="J268" i="8"/>
  <c r="J267" i="8"/>
  <c r="J281" i="8"/>
  <c r="J266" i="8"/>
  <c r="J265" i="8"/>
  <c r="Q265" i="8" s="1"/>
  <c r="J249" i="8"/>
  <c r="J240" i="8"/>
  <c r="J288" i="8"/>
  <c r="J264" i="8"/>
  <c r="J263" i="8"/>
  <c r="J262" i="8"/>
  <c r="J261" i="8"/>
  <c r="Q261" i="8" s="1"/>
  <c r="J260" i="8"/>
  <c r="Q260" i="8" s="1"/>
  <c r="J257" i="8"/>
  <c r="J256" i="8"/>
  <c r="J255" i="8"/>
  <c r="Q255" i="8" s="1"/>
  <c r="J254" i="8"/>
  <c r="J253" i="8"/>
  <c r="J252" i="8"/>
  <c r="J245" i="8"/>
  <c r="Q245" i="8" s="1"/>
  <c r="J251" i="8"/>
  <c r="Q251" i="8" s="1"/>
  <c r="J250" i="8"/>
  <c r="Q250" i="8" s="1"/>
  <c r="J248" i="8"/>
  <c r="J247" i="8"/>
  <c r="J246" i="8"/>
  <c r="J244" i="8"/>
  <c r="J243" i="8"/>
  <c r="J242" i="8"/>
  <c r="Q242" i="8" s="1"/>
  <c r="J237" i="8"/>
  <c r="Q237" i="8" s="1"/>
  <c r="J239" i="8"/>
  <c r="J238" i="8"/>
  <c r="J236" i="8"/>
  <c r="J220" i="8"/>
  <c r="J233" i="8"/>
  <c r="J232" i="8"/>
  <c r="Q232" i="8" s="1"/>
  <c r="J231" i="8"/>
  <c r="Q231" i="8" s="1"/>
  <c r="J230" i="8"/>
  <c r="J229" i="8"/>
  <c r="J228" i="8"/>
  <c r="Q228" i="8" s="1"/>
  <c r="J227" i="8"/>
  <c r="J225" i="8"/>
  <c r="J224" i="8"/>
  <c r="J223" i="8"/>
  <c r="J222" i="8"/>
  <c r="Q222" i="8" s="1"/>
  <c r="J221" i="8"/>
  <c r="Q221" i="8" s="1"/>
  <c r="J219" i="8"/>
  <c r="J218" i="8"/>
  <c r="J226" i="8"/>
  <c r="J27" i="8"/>
  <c r="J26" i="8"/>
  <c r="J217" i="8"/>
  <c r="J216" i="8"/>
  <c r="J213" i="8"/>
  <c r="Q213" i="8" s="1"/>
  <c r="J212" i="8"/>
  <c r="J211" i="8"/>
  <c r="J210" i="8"/>
  <c r="J214" i="8"/>
  <c r="Q214" i="8" s="1"/>
  <c r="J209" i="8"/>
  <c r="J208" i="8"/>
  <c r="J207" i="8"/>
  <c r="Q207" i="8" s="1"/>
  <c r="J206" i="8"/>
  <c r="J205" i="8"/>
  <c r="J204" i="8"/>
  <c r="Q204" i="8" s="1"/>
  <c r="J25" i="8"/>
  <c r="J24" i="8"/>
  <c r="J215" i="8"/>
  <c r="J203" i="8"/>
  <c r="J23" i="8"/>
  <c r="Q23" i="8" s="1"/>
  <c r="J202" i="8"/>
  <c r="Q202" i="8" s="1"/>
  <c r="J193" i="8"/>
  <c r="J69" i="8"/>
  <c r="J201" i="8"/>
  <c r="J200" i="8"/>
  <c r="J199" i="8"/>
  <c r="J198" i="8"/>
  <c r="J197" i="8"/>
  <c r="J194" i="8"/>
  <c r="Q194" i="8" s="1"/>
  <c r="J192" i="8"/>
  <c r="Q192" i="8" s="1"/>
  <c r="G192" i="8"/>
  <c r="N192" i="8" s="1"/>
  <c r="J191" i="8"/>
  <c r="Q191" i="8" s="1"/>
  <c r="J189" i="8"/>
  <c r="J196" i="8"/>
  <c r="J188" i="8"/>
  <c r="J282" i="8"/>
  <c r="J186" i="8"/>
  <c r="Q186" i="8" s="1"/>
  <c r="J185" i="8"/>
  <c r="Q185" i="8" s="1"/>
  <c r="J184" i="8"/>
  <c r="J183" i="8"/>
  <c r="J182" i="8"/>
  <c r="J177" i="8"/>
  <c r="J176" i="8"/>
  <c r="J175" i="8"/>
  <c r="J174" i="8"/>
  <c r="J173" i="8"/>
  <c r="Q173" i="8" s="1"/>
  <c r="J172" i="8"/>
  <c r="Q172" i="8" s="1"/>
  <c r="J181" i="8"/>
  <c r="Q181" i="8" s="1"/>
  <c r="J169" i="8"/>
  <c r="J170" i="8"/>
  <c r="J168" i="8"/>
  <c r="J171" i="8"/>
  <c r="J167" i="8"/>
  <c r="Q167" i="8" s="1"/>
  <c r="J166" i="8"/>
  <c r="J115" i="8"/>
  <c r="J165" i="8"/>
  <c r="J164" i="8"/>
  <c r="J163" i="8"/>
  <c r="J235" i="8"/>
  <c r="J162" i="8"/>
  <c r="J241" i="8"/>
  <c r="J161" i="8"/>
  <c r="J160" i="8"/>
  <c r="Q160" i="8" s="1"/>
  <c r="J159" i="8"/>
  <c r="Q159" i="8" s="1"/>
  <c r="J158" i="8"/>
  <c r="J190" i="8"/>
  <c r="J150" i="8"/>
  <c r="J157" i="8"/>
  <c r="J156" i="8"/>
  <c r="Q156" i="8" s="1"/>
  <c r="J140" i="8"/>
  <c r="J154" i="8"/>
  <c r="J153" i="8"/>
  <c r="Q153" i="8" s="1"/>
  <c r="J152" i="8"/>
  <c r="J151" i="8"/>
  <c r="J149" i="8"/>
  <c r="J148" i="8"/>
  <c r="J147" i="8"/>
  <c r="J155" i="8"/>
  <c r="J146" i="8"/>
  <c r="Q146" i="8" s="1"/>
  <c r="J145" i="8"/>
  <c r="J144" i="8"/>
  <c r="J143" i="8"/>
  <c r="J142" i="8"/>
  <c r="J141" i="8"/>
  <c r="J138" i="8"/>
  <c r="J139" i="8"/>
  <c r="J301" i="8"/>
  <c r="Q301" i="8" s="1"/>
  <c r="J137" i="8"/>
  <c r="Q137" i="8" s="1"/>
  <c r="J136" i="8"/>
  <c r="J135" i="8"/>
  <c r="J134" i="8"/>
  <c r="J133" i="8"/>
  <c r="J106" i="8"/>
  <c r="Q106" i="8" s="1"/>
  <c r="J100" i="8"/>
  <c r="Q100" i="8" s="1"/>
  <c r="J132" i="8"/>
  <c r="Q132" i="8" s="1"/>
  <c r="J131" i="8"/>
  <c r="J130" i="8"/>
  <c r="J187" i="8"/>
  <c r="Q187" i="8" s="1"/>
  <c r="J128" i="8"/>
  <c r="J40" i="8"/>
  <c r="J127" i="8"/>
  <c r="J126" i="8"/>
  <c r="J125" i="8"/>
  <c r="J123" i="8"/>
  <c r="Q123" i="8" s="1"/>
  <c r="J122" i="8"/>
  <c r="J121" i="8"/>
  <c r="J120" i="8"/>
  <c r="J119" i="8"/>
  <c r="J118" i="8"/>
  <c r="J117" i="8"/>
  <c r="J116" i="8"/>
  <c r="J114" i="8"/>
  <c r="J113" i="8"/>
  <c r="J112" i="8"/>
  <c r="J90" i="8"/>
  <c r="J124" i="8"/>
  <c r="Q124" i="8" s="1"/>
  <c r="J111" i="8"/>
  <c r="Q111" i="8" s="1"/>
  <c r="J110" i="8"/>
  <c r="J109" i="8"/>
  <c r="J108" i="8"/>
  <c r="Q108" i="8" s="1"/>
  <c r="J129" i="8"/>
  <c r="J107" i="8"/>
  <c r="J105" i="8"/>
  <c r="J104" i="8"/>
  <c r="Q104" i="8" s="1"/>
  <c r="J103" i="8"/>
  <c r="Q103" i="8" s="1"/>
  <c r="J102" i="8"/>
  <c r="Q102" i="8" s="1"/>
  <c r="J101" i="8"/>
  <c r="J99" i="8"/>
  <c r="J98" i="8"/>
  <c r="J97" i="8"/>
  <c r="Q97" i="8" s="1"/>
  <c r="J39" i="8"/>
  <c r="J96" i="8"/>
  <c r="J95" i="8"/>
  <c r="J94" i="8"/>
  <c r="J93" i="8"/>
  <c r="J92" i="8"/>
  <c r="J60" i="8"/>
  <c r="J28" i="8"/>
  <c r="Q28" i="8" s="1"/>
  <c r="J89" i="8"/>
  <c r="J88" i="8"/>
  <c r="J87" i="8"/>
  <c r="J86" i="8"/>
  <c r="J85" i="8"/>
  <c r="J84" i="8"/>
  <c r="J83" i="8"/>
  <c r="J82" i="8"/>
  <c r="J234" i="8"/>
  <c r="J277" i="8"/>
  <c r="Q277" i="8" s="1"/>
  <c r="J81" i="8"/>
  <c r="J80" i="8"/>
  <c r="Q80" i="8" s="1"/>
  <c r="J79" i="8"/>
  <c r="J78" i="8"/>
  <c r="J77" i="8"/>
  <c r="J76" i="8"/>
  <c r="J75" i="8"/>
  <c r="J74" i="8"/>
  <c r="Q74" i="8" s="1"/>
  <c r="J73" i="8"/>
  <c r="J71" i="8"/>
  <c r="Q71" i="8" s="1"/>
  <c r="J72" i="8"/>
  <c r="J70" i="8"/>
  <c r="J67" i="8"/>
  <c r="Q67" i="8" s="1"/>
  <c r="J258" i="8"/>
  <c r="J259" i="8"/>
  <c r="J68" i="8"/>
  <c r="Q68" i="8" s="1"/>
  <c r="J29" i="8"/>
  <c r="Q29" i="8" s="1"/>
  <c r="J66" i="8"/>
  <c r="J65" i="8"/>
  <c r="J64" i="8"/>
  <c r="Q64" i="8" s="1"/>
  <c r="J63" i="8"/>
  <c r="Q63" i="8" s="1"/>
  <c r="J61" i="8"/>
  <c r="J62" i="8"/>
  <c r="J50" i="8"/>
  <c r="Q50" i="8" s="1"/>
  <c r="J269" i="8"/>
  <c r="J270" i="8"/>
  <c r="Q270" i="8" s="1"/>
  <c r="J59" i="8"/>
  <c r="J58" i="8"/>
  <c r="J57" i="8"/>
  <c r="J56" i="8"/>
  <c r="J55" i="8"/>
  <c r="J54" i="8"/>
  <c r="Q54" i="8" s="1"/>
  <c r="J53" i="8"/>
  <c r="J291" i="8"/>
  <c r="Q291" i="8" s="1"/>
  <c r="J52" i="8"/>
  <c r="J51" i="8"/>
  <c r="J49" i="8"/>
  <c r="J48" i="8"/>
  <c r="J47" i="8"/>
  <c r="J46" i="8"/>
  <c r="Q46" i="8" s="1"/>
  <c r="J44" i="8"/>
  <c r="J45" i="8"/>
  <c r="J38" i="8"/>
  <c r="J43" i="8"/>
  <c r="Q43" i="8" s="1"/>
  <c r="J91" i="8"/>
  <c r="Q91" i="8" s="1"/>
  <c r="J42" i="8"/>
  <c r="J41" i="8"/>
  <c r="J37" i="8"/>
  <c r="Q37" i="8" s="1"/>
  <c r="J36" i="8"/>
  <c r="Q36" i="8" s="1"/>
  <c r="J35" i="8"/>
  <c r="J34" i="8"/>
  <c r="J32" i="8"/>
  <c r="G32" i="8" s="1"/>
  <c r="N32" i="8" s="1"/>
  <c r="J31" i="8"/>
  <c r="Q31" i="8" s="1"/>
  <c r="J30" i="8"/>
  <c r="J16" i="8"/>
  <c r="J22" i="8"/>
  <c r="Q22" i="8" s="1"/>
  <c r="J21" i="8"/>
  <c r="Q21" i="8" s="1"/>
  <c r="J20" i="8"/>
  <c r="J19" i="8"/>
  <c r="J18" i="8"/>
  <c r="J17" i="8"/>
  <c r="J15" i="8"/>
  <c r="Q15" i="8" s="1"/>
  <c r="D20" i="3" l="1"/>
  <c r="D29" i="3"/>
  <c r="D50" i="3"/>
  <c r="G15" i="8"/>
  <c r="N15" i="8" s="1"/>
  <c r="G36" i="8"/>
  <c r="N36" i="8" s="1"/>
  <c r="G255" i="8"/>
  <c r="N255" i="8" s="1"/>
  <c r="G260" i="8"/>
  <c r="N260" i="8" s="1"/>
  <c r="G242" i="8"/>
  <c r="N242" i="8" s="1"/>
  <c r="G271" i="8"/>
  <c r="N271" i="8" s="1"/>
  <c r="G280" i="8"/>
  <c r="N280" i="8" s="1"/>
  <c r="G137" i="8"/>
  <c r="N137" i="8" s="1"/>
  <c r="G186" i="8"/>
  <c r="N186" i="8" s="1"/>
  <c r="G23" i="8"/>
  <c r="N23" i="8" s="1"/>
  <c r="G159" i="8"/>
  <c r="N159" i="8" s="1"/>
  <c r="G232" i="8"/>
  <c r="N232" i="8" s="1"/>
  <c r="G54" i="8"/>
  <c r="N54" i="8" s="1"/>
  <c r="G111" i="8"/>
  <c r="N111" i="8" s="1"/>
  <c r="G299" i="8"/>
  <c r="N299" i="8" s="1"/>
  <c r="G178" i="8"/>
  <c r="N178" i="8" s="1"/>
  <c r="G103" i="8"/>
  <c r="N103" i="8" s="1"/>
  <c r="G68" i="8"/>
  <c r="N68" i="8" s="1"/>
  <c r="G67" i="8"/>
  <c r="N67" i="8" s="1"/>
  <c r="G71" i="8"/>
  <c r="N71" i="8" s="1"/>
  <c r="Q32" i="8"/>
  <c r="G50" i="8"/>
  <c r="N50" i="8" s="1"/>
  <c r="G63" i="8"/>
  <c r="N63" i="8" s="1"/>
  <c r="G28" i="8"/>
  <c r="N28" i="8" s="1"/>
  <c r="G108" i="8"/>
  <c r="N108" i="8" s="1"/>
  <c r="G100" i="8"/>
  <c r="N100" i="8" s="1"/>
  <c r="G21" i="8"/>
  <c r="N21" i="8" s="1"/>
  <c r="G43" i="8"/>
  <c r="N43" i="8" s="1"/>
  <c r="G270" i="8"/>
  <c r="N270" i="8" s="1"/>
  <c r="G74" i="8"/>
  <c r="N74" i="8" s="1"/>
  <c r="G305" i="8"/>
  <c r="N305" i="8" s="1"/>
  <c r="G41" i="8"/>
  <c r="N41" i="8" s="1"/>
  <c r="Q41" i="8"/>
  <c r="G78" i="8"/>
  <c r="N78" i="8" s="1"/>
  <c r="Q78" i="8"/>
  <c r="G81" i="8"/>
  <c r="N81" i="8" s="1"/>
  <c r="Q81" i="8"/>
  <c r="G82" i="8"/>
  <c r="N82" i="8" s="1"/>
  <c r="Q82" i="8"/>
  <c r="G93" i="8"/>
  <c r="N93" i="8" s="1"/>
  <c r="Q93" i="8"/>
  <c r="G39" i="8"/>
  <c r="N39" i="8" s="1"/>
  <c r="Q39" i="8"/>
  <c r="G99" i="8"/>
  <c r="N99" i="8" s="1"/>
  <c r="Q99" i="8"/>
  <c r="G105" i="8"/>
  <c r="N105" i="8" s="1"/>
  <c r="Q105" i="8"/>
  <c r="G112" i="8"/>
  <c r="N112" i="8" s="1"/>
  <c r="Q112" i="8"/>
  <c r="G117" i="8"/>
  <c r="N117" i="8" s="1"/>
  <c r="Q117" i="8"/>
  <c r="G121" i="8"/>
  <c r="N121" i="8" s="1"/>
  <c r="Q121" i="8"/>
  <c r="G125" i="8"/>
  <c r="N125" i="8" s="1"/>
  <c r="Q125" i="8"/>
  <c r="G128" i="8"/>
  <c r="N128" i="8" s="1"/>
  <c r="Q128" i="8"/>
  <c r="G131" i="8"/>
  <c r="N131" i="8" s="1"/>
  <c r="Q131" i="8"/>
  <c r="G134" i="8"/>
  <c r="N134" i="8" s="1"/>
  <c r="Q134" i="8"/>
  <c r="G138" i="8"/>
  <c r="N138" i="8" s="1"/>
  <c r="Q138" i="8"/>
  <c r="G144" i="8"/>
  <c r="N144" i="8" s="1"/>
  <c r="Q144" i="8"/>
  <c r="G155" i="8"/>
  <c r="N155" i="8" s="1"/>
  <c r="Q155" i="8"/>
  <c r="G151" i="8"/>
  <c r="N151" i="8" s="1"/>
  <c r="Q151" i="8"/>
  <c r="G154" i="8"/>
  <c r="N154" i="8" s="1"/>
  <c r="Q154" i="8"/>
  <c r="G157" i="8"/>
  <c r="N157" i="8" s="1"/>
  <c r="Q157" i="8"/>
  <c r="G161" i="8"/>
  <c r="N161" i="8" s="1"/>
  <c r="Q161" i="8"/>
  <c r="G163" i="8"/>
  <c r="N163" i="8" s="1"/>
  <c r="Q163" i="8"/>
  <c r="G166" i="8"/>
  <c r="N166" i="8" s="1"/>
  <c r="Q166" i="8"/>
  <c r="G168" i="8"/>
  <c r="N168" i="8" s="1"/>
  <c r="Q168" i="8"/>
  <c r="G176" i="8"/>
  <c r="N176" i="8" s="1"/>
  <c r="Q176" i="8"/>
  <c r="G184" i="8"/>
  <c r="N184" i="8" s="1"/>
  <c r="Q184" i="8"/>
  <c r="G189" i="8"/>
  <c r="N189" i="8" s="1"/>
  <c r="Q189" i="8"/>
  <c r="G198" i="8"/>
  <c r="N198" i="8" s="1"/>
  <c r="Q198" i="8"/>
  <c r="G69" i="8"/>
  <c r="N69" i="8" s="1"/>
  <c r="Q69" i="8"/>
  <c r="G24" i="8"/>
  <c r="N24" i="8" s="1"/>
  <c r="Q24" i="8"/>
  <c r="G205" i="8"/>
  <c r="N205" i="8" s="1"/>
  <c r="Q205" i="8"/>
  <c r="G208" i="8"/>
  <c r="N208" i="8" s="1"/>
  <c r="Q208" i="8"/>
  <c r="G210" i="8"/>
  <c r="N210" i="8" s="1"/>
  <c r="Q210" i="8"/>
  <c r="G26" i="8"/>
  <c r="N26" i="8" s="1"/>
  <c r="Q26" i="8"/>
  <c r="G219" i="8"/>
  <c r="N219" i="8" s="1"/>
  <c r="Q219" i="8"/>
  <c r="G227" i="8"/>
  <c r="N227" i="8" s="1"/>
  <c r="Q227" i="8"/>
  <c r="G230" i="8"/>
  <c r="N230" i="8" s="1"/>
  <c r="Q230" i="8"/>
  <c r="G238" i="8"/>
  <c r="N238" i="8" s="1"/>
  <c r="Q238" i="8"/>
  <c r="G243" i="8"/>
  <c r="N243" i="8" s="1"/>
  <c r="Q243" i="8"/>
  <c r="G248" i="8"/>
  <c r="N248" i="8" s="1"/>
  <c r="Q248" i="8"/>
  <c r="G252" i="8"/>
  <c r="N252" i="8" s="1"/>
  <c r="Q252" i="8"/>
  <c r="G263" i="8"/>
  <c r="N263" i="8" s="1"/>
  <c r="Q263" i="8"/>
  <c r="G249" i="8"/>
  <c r="N249" i="8" s="1"/>
  <c r="Q249" i="8"/>
  <c r="G281" i="8"/>
  <c r="N281" i="8" s="1"/>
  <c r="Q281" i="8"/>
  <c r="G273" i="8"/>
  <c r="N273" i="8" s="1"/>
  <c r="Q273" i="8"/>
  <c r="G309" i="8"/>
  <c r="N309" i="8" s="1"/>
  <c r="Q309" i="8"/>
  <c r="G285" i="8"/>
  <c r="N285" i="8" s="1"/>
  <c r="Q285" i="8"/>
  <c r="G289" i="8"/>
  <c r="N289" i="8" s="1"/>
  <c r="Q289" i="8"/>
  <c r="G295" i="8"/>
  <c r="N295" i="8" s="1"/>
  <c r="Q295" i="8"/>
  <c r="G304" i="8"/>
  <c r="N304" i="8" s="1"/>
  <c r="Q304" i="8"/>
  <c r="G308" i="8"/>
  <c r="N308" i="8" s="1"/>
  <c r="Q308" i="8"/>
  <c r="G18" i="8"/>
  <c r="N18" i="8" s="1"/>
  <c r="Q18" i="8"/>
  <c r="G30" i="8"/>
  <c r="N30" i="8" s="1"/>
  <c r="Q30" i="8"/>
  <c r="G42" i="8"/>
  <c r="N42" i="8" s="1"/>
  <c r="Q42" i="8"/>
  <c r="G44" i="8"/>
  <c r="N44" i="8" s="1"/>
  <c r="Q44" i="8"/>
  <c r="G48" i="8"/>
  <c r="N48" i="8" s="1"/>
  <c r="Q48" i="8"/>
  <c r="G291" i="8"/>
  <c r="N291" i="8" s="1"/>
  <c r="G58" i="8"/>
  <c r="N58" i="8" s="1"/>
  <c r="Q58" i="8"/>
  <c r="G62" i="8"/>
  <c r="N62" i="8" s="1"/>
  <c r="Q62" i="8"/>
  <c r="G64" i="8"/>
  <c r="N64" i="8" s="1"/>
  <c r="G29" i="8"/>
  <c r="N29" i="8" s="1"/>
  <c r="G259" i="8"/>
  <c r="N259" i="8" s="1"/>
  <c r="Q259" i="8"/>
  <c r="G70" i="8"/>
  <c r="N70" i="8" s="1"/>
  <c r="Q70" i="8"/>
  <c r="G75" i="8"/>
  <c r="N75" i="8" s="1"/>
  <c r="Q75" i="8"/>
  <c r="G79" i="8"/>
  <c r="N79" i="8" s="1"/>
  <c r="Q79" i="8"/>
  <c r="G277" i="8"/>
  <c r="N277" i="8" s="1"/>
  <c r="G83" i="8"/>
  <c r="N83" i="8" s="1"/>
  <c r="Q83" i="8"/>
  <c r="G87" i="8"/>
  <c r="N87" i="8" s="1"/>
  <c r="Q87" i="8"/>
  <c r="G94" i="8"/>
  <c r="N94" i="8" s="1"/>
  <c r="Q94" i="8"/>
  <c r="G97" i="8"/>
  <c r="N97" i="8" s="1"/>
  <c r="G101" i="8"/>
  <c r="N101" i="8" s="1"/>
  <c r="Q101" i="8"/>
  <c r="G107" i="8"/>
  <c r="N107" i="8" s="1"/>
  <c r="Q107" i="8"/>
  <c r="G109" i="8"/>
  <c r="N109" i="8" s="1"/>
  <c r="Q109" i="8"/>
  <c r="G124" i="8"/>
  <c r="N124" i="8" s="1"/>
  <c r="G113" i="8"/>
  <c r="N113" i="8" s="1"/>
  <c r="Q113" i="8"/>
  <c r="G118" i="8"/>
  <c r="N118" i="8" s="1"/>
  <c r="Q118" i="8"/>
  <c r="G122" i="8"/>
  <c r="N122" i="8" s="1"/>
  <c r="Q122" i="8"/>
  <c r="G126" i="8"/>
  <c r="N126" i="8" s="1"/>
  <c r="Q126" i="8"/>
  <c r="G187" i="8"/>
  <c r="N187" i="8" s="1"/>
  <c r="G132" i="8"/>
  <c r="N132" i="8" s="1"/>
  <c r="G106" i="8"/>
  <c r="N106" i="8" s="1"/>
  <c r="G135" i="8"/>
  <c r="N135" i="8" s="1"/>
  <c r="Q135" i="8"/>
  <c r="G301" i="8"/>
  <c r="N301" i="8" s="1"/>
  <c r="G141" i="8"/>
  <c r="N141" i="8" s="1"/>
  <c r="Q141" i="8"/>
  <c r="G145" i="8"/>
  <c r="N145" i="8" s="1"/>
  <c r="Q145" i="8"/>
  <c r="G147" i="8"/>
  <c r="N147" i="8" s="1"/>
  <c r="Q147" i="8"/>
  <c r="G152" i="8"/>
  <c r="N152" i="8" s="1"/>
  <c r="Q152" i="8"/>
  <c r="G140" i="8"/>
  <c r="N140" i="8" s="1"/>
  <c r="Q140" i="8"/>
  <c r="G150" i="8"/>
  <c r="N150" i="8" s="1"/>
  <c r="Q150" i="8"/>
  <c r="G241" i="8"/>
  <c r="N241" i="8" s="1"/>
  <c r="Q241" i="8"/>
  <c r="G164" i="8"/>
  <c r="N164" i="8" s="1"/>
  <c r="Q164" i="8"/>
  <c r="G167" i="8"/>
  <c r="N167" i="8" s="1"/>
  <c r="G170" i="8"/>
  <c r="N170" i="8" s="1"/>
  <c r="Q170" i="8"/>
  <c r="G172" i="8"/>
  <c r="N172" i="8" s="1"/>
  <c r="G177" i="8"/>
  <c r="N177" i="8" s="1"/>
  <c r="Q177" i="8"/>
  <c r="G185" i="8"/>
  <c r="N185" i="8" s="1"/>
  <c r="G282" i="8"/>
  <c r="N282" i="8" s="1"/>
  <c r="Q282" i="8"/>
  <c r="G191" i="8"/>
  <c r="N191" i="8" s="1"/>
  <c r="G194" i="8"/>
  <c r="N194" i="8" s="1"/>
  <c r="G199" i="8"/>
  <c r="N199" i="8" s="1"/>
  <c r="Q199" i="8"/>
  <c r="G193" i="8"/>
  <c r="N193" i="8" s="1"/>
  <c r="Q193" i="8"/>
  <c r="G25" i="8"/>
  <c r="N25" i="8" s="1"/>
  <c r="Q25" i="8"/>
  <c r="G206" i="8"/>
  <c r="N206" i="8" s="1"/>
  <c r="Q206" i="8"/>
  <c r="G209" i="8"/>
  <c r="N209" i="8" s="1"/>
  <c r="Q209" i="8"/>
  <c r="G211" i="8"/>
  <c r="N211" i="8" s="1"/>
  <c r="Q211" i="8"/>
  <c r="G27" i="8"/>
  <c r="N27" i="8" s="1"/>
  <c r="Q27" i="8"/>
  <c r="G221" i="8"/>
  <c r="N221" i="8" s="1"/>
  <c r="G223" i="8"/>
  <c r="N223" i="8" s="1"/>
  <c r="Q223" i="8"/>
  <c r="G228" i="8"/>
  <c r="N228" i="8" s="1"/>
  <c r="G231" i="8"/>
  <c r="N231" i="8" s="1"/>
  <c r="G233" i="8"/>
  <c r="N233" i="8" s="1"/>
  <c r="Q233" i="8"/>
  <c r="G239" i="8"/>
  <c r="N239" i="8" s="1"/>
  <c r="Q239" i="8"/>
  <c r="G244" i="8"/>
  <c r="N244" i="8" s="1"/>
  <c r="Q244" i="8"/>
  <c r="G250" i="8"/>
  <c r="N250" i="8" s="1"/>
  <c r="G245" i="8"/>
  <c r="N245" i="8" s="1"/>
  <c r="G253" i="8"/>
  <c r="N253" i="8" s="1"/>
  <c r="Q253" i="8"/>
  <c r="G256" i="8"/>
  <c r="N256" i="8" s="1"/>
  <c r="Q256" i="8"/>
  <c r="G261" i="8"/>
  <c r="N261" i="8" s="1"/>
  <c r="G264" i="8"/>
  <c r="N264" i="8" s="1"/>
  <c r="Q264" i="8"/>
  <c r="G265" i="8"/>
  <c r="N265" i="8" s="1"/>
  <c r="G267" i="8"/>
  <c r="N267" i="8" s="1"/>
  <c r="Q267" i="8"/>
  <c r="G272" i="8"/>
  <c r="N272" i="8" s="1"/>
  <c r="G274" i="8"/>
  <c r="N274" i="8" s="1"/>
  <c r="Q274" i="8"/>
  <c r="G195" i="8"/>
  <c r="N195" i="8" s="1"/>
  <c r="Q195" i="8"/>
  <c r="G286" i="8"/>
  <c r="N286" i="8" s="1"/>
  <c r="Q286" i="8"/>
  <c r="G290" i="8"/>
  <c r="N290" i="8" s="1"/>
  <c r="Q290" i="8"/>
  <c r="G296" i="8"/>
  <c r="N296" i="8" s="1"/>
  <c r="Q296" i="8"/>
  <c r="G298" i="8"/>
  <c r="N298" i="8" s="1"/>
  <c r="Q298" i="8"/>
  <c r="G303" i="8"/>
  <c r="N303" i="8" s="1"/>
  <c r="G312" i="8"/>
  <c r="N312" i="8" s="1"/>
  <c r="Q312" i="8"/>
  <c r="G33" i="8"/>
  <c r="N33" i="8" s="1"/>
  <c r="Q33" i="8"/>
  <c r="G53" i="8"/>
  <c r="N53" i="8" s="1"/>
  <c r="Q53" i="8"/>
  <c r="G17" i="8"/>
  <c r="N17" i="8" s="1"/>
  <c r="Q17" i="8"/>
  <c r="G16" i="8"/>
  <c r="N16" i="8" s="1"/>
  <c r="Q16" i="8"/>
  <c r="O15" i="8"/>
  <c r="P15" i="8"/>
  <c r="D34" i="3" s="1"/>
  <c r="G19" i="8"/>
  <c r="N19" i="8" s="1"/>
  <c r="Q19" i="8"/>
  <c r="G22" i="8"/>
  <c r="N22" i="8" s="1"/>
  <c r="G31" i="8"/>
  <c r="N31" i="8" s="1"/>
  <c r="G34" i="8"/>
  <c r="N34" i="8" s="1"/>
  <c r="Q34" i="8"/>
  <c r="G37" i="8"/>
  <c r="N37" i="8" s="1"/>
  <c r="G91" i="8"/>
  <c r="N91" i="8" s="1"/>
  <c r="G38" i="8"/>
  <c r="N38" i="8" s="1"/>
  <c r="Q38" i="8"/>
  <c r="G46" i="8"/>
  <c r="N46" i="8" s="1"/>
  <c r="G49" i="8"/>
  <c r="N49" i="8" s="1"/>
  <c r="Q49" i="8"/>
  <c r="G55" i="8"/>
  <c r="N55" i="8" s="1"/>
  <c r="Q55" i="8"/>
  <c r="G59" i="8"/>
  <c r="N59" i="8" s="1"/>
  <c r="Q59" i="8"/>
  <c r="G269" i="8"/>
  <c r="N269" i="8" s="1"/>
  <c r="Q269" i="8"/>
  <c r="G61" i="8"/>
  <c r="N61" i="8" s="1"/>
  <c r="Q61" i="8"/>
  <c r="G258" i="8"/>
  <c r="N258" i="8" s="1"/>
  <c r="Q258" i="8"/>
  <c r="G72" i="8"/>
  <c r="N72" i="8" s="1"/>
  <c r="Q72" i="8"/>
  <c r="G73" i="8"/>
  <c r="N73" i="8" s="1"/>
  <c r="Q73" i="8"/>
  <c r="G76" i="8"/>
  <c r="N76" i="8" s="1"/>
  <c r="Q76" i="8"/>
  <c r="G80" i="8"/>
  <c r="N80" i="8" s="1"/>
  <c r="G84" i="8"/>
  <c r="N84" i="8" s="1"/>
  <c r="Q84" i="8"/>
  <c r="G88" i="8"/>
  <c r="N88" i="8" s="1"/>
  <c r="Q88" i="8"/>
  <c r="G60" i="8"/>
  <c r="N60" i="8" s="1"/>
  <c r="Q60" i="8"/>
  <c r="G95" i="8"/>
  <c r="N95" i="8" s="1"/>
  <c r="Q95" i="8"/>
  <c r="G102" i="8"/>
  <c r="N102" i="8" s="1"/>
  <c r="G104" i="8"/>
  <c r="N104" i="8" s="1"/>
  <c r="G129" i="8"/>
  <c r="N129" i="8" s="1"/>
  <c r="Q129" i="8"/>
  <c r="G110" i="8"/>
  <c r="N110" i="8" s="1"/>
  <c r="Q110" i="8"/>
  <c r="G114" i="8"/>
  <c r="N114" i="8" s="1"/>
  <c r="Q114" i="8"/>
  <c r="G119" i="8"/>
  <c r="N119" i="8" s="1"/>
  <c r="Q119" i="8"/>
  <c r="G123" i="8"/>
  <c r="N123" i="8" s="1"/>
  <c r="G127" i="8"/>
  <c r="N127" i="8" s="1"/>
  <c r="Q127" i="8"/>
  <c r="G136" i="8"/>
  <c r="N136" i="8" s="1"/>
  <c r="Q136" i="8"/>
  <c r="G142" i="8"/>
  <c r="N142" i="8" s="1"/>
  <c r="Q142" i="8"/>
  <c r="G146" i="8"/>
  <c r="N146" i="8" s="1"/>
  <c r="G148" i="8"/>
  <c r="N148" i="8" s="1"/>
  <c r="Q148" i="8"/>
  <c r="G153" i="8"/>
  <c r="N153" i="8" s="1"/>
  <c r="G156" i="8"/>
  <c r="N156" i="8" s="1"/>
  <c r="G190" i="8"/>
  <c r="N190" i="8" s="1"/>
  <c r="Q190" i="8"/>
  <c r="G160" i="8"/>
  <c r="N160" i="8" s="1"/>
  <c r="G162" i="8"/>
  <c r="N162" i="8" s="1"/>
  <c r="Q162" i="8"/>
  <c r="G165" i="8"/>
  <c r="N165" i="8" s="1"/>
  <c r="Q165" i="8"/>
  <c r="G169" i="8"/>
  <c r="N169" i="8" s="1"/>
  <c r="Q169" i="8"/>
  <c r="G174" i="8"/>
  <c r="N174" i="8" s="1"/>
  <c r="Q174" i="8"/>
  <c r="G182" i="8"/>
  <c r="N182" i="8" s="1"/>
  <c r="Q182" i="8"/>
  <c r="G188" i="8"/>
  <c r="N188" i="8" s="1"/>
  <c r="Q188" i="8"/>
  <c r="G200" i="8"/>
  <c r="N200" i="8" s="1"/>
  <c r="Q200" i="8"/>
  <c r="G202" i="8"/>
  <c r="N202" i="8" s="1"/>
  <c r="G203" i="8"/>
  <c r="N203" i="8" s="1"/>
  <c r="Q203" i="8"/>
  <c r="G204" i="8"/>
  <c r="N204" i="8" s="1"/>
  <c r="G207" i="8"/>
  <c r="N207" i="8" s="1"/>
  <c r="G214" i="8"/>
  <c r="N214" i="8" s="1"/>
  <c r="G212" i="8"/>
  <c r="N212" i="8" s="1"/>
  <c r="Q212" i="8"/>
  <c r="G216" i="8"/>
  <c r="N216" i="8" s="1"/>
  <c r="Q216" i="8"/>
  <c r="G226" i="8"/>
  <c r="N226" i="8" s="1"/>
  <c r="Q226" i="8"/>
  <c r="G224" i="8"/>
  <c r="N224" i="8" s="1"/>
  <c r="Q224" i="8"/>
  <c r="G220" i="8"/>
  <c r="N220" i="8" s="1"/>
  <c r="Q220" i="8"/>
  <c r="G237" i="8"/>
  <c r="N237" i="8" s="1"/>
  <c r="G179" i="8"/>
  <c r="N179" i="8" s="1"/>
  <c r="G246" i="8"/>
  <c r="N246" i="8" s="1"/>
  <c r="Q246" i="8"/>
  <c r="G254" i="8"/>
  <c r="N254" i="8" s="1"/>
  <c r="Q254" i="8"/>
  <c r="G257" i="8"/>
  <c r="N257" i="8" s="1"/>
  <c r="Q257" i="8"/>
  <c r="G288" i="8"/>
  <c r="N288" i="8" s="1"/>
  <c r="Q288" i="8"/>
  <c r="G268" i="8"/>
  <c r="N268" i="8" s="1"/>
  <c r="Q268" i="8"/>
  <c r="G275" i="8"/>
  <c r="N275" i="8" s="1"/>
  <c r="Q275" i="8"/>
  <c r="G279" i="8"/>
  <c r="N279" i="8" s="1"/>
  <c r="Q279" i="8"/>
  <c r="G283" i="8"/>
  <c r="N283" i="8" s="1"/>
  <c r="Q283" i="8"/>
  <c r="G287" i="8"/>
  <c r="N287" i="8" s="1"/>
  <c r="G180" i="8"/>
  <c r="N180" i="8" s="1"/>
  <c r="Q180" i="8"/>
  <c r="G292" i="8"/>
  <c r="N292" i="8" s="1"/>
  <c r="Q292" i="8"/>
  <c r="G297" i="8"/>
  <c r="N297" i="8" s="1"/>
  <c r="Q297" i="8"/>
  <c r="G300" i="8"/>
  <c r="N300" i="8" s="1"/>
  <c r="Q300" i="8"/>
  <c r="G306" i="8"/>
  <c r="N306" i="8" s="1"/>
  <c r="Q306" i="8"/>
  <c r="G310" i="8"/>
  <c r="N310" i="8" s="1"/>
  <c r="Q310" i="8"/>
  <c r="G35" i="8"/>
  <c r="N35" i="8" s="1"/>
  <c r="Q35" i="8"/>
  <c r="G45" i="8"/>
  <c r="N45" i="8" s="1"/>
  <c r="Q45" i="8"/>
  <c r="G56" i="8"/>
  <c r="N56" i="8" s="1"/>
  <c r="Q56" i="8"/>
  <c r="G65" i="8"/>
  <c r="N65" i="8" s="1"/>
  <c r="Q65" i="8"/>
  <c r="G234" i="8"/>
  <c r="N234" i="8" s="1"/>
  <c r="Q234" i="8"/>
  <c r="G85" i="8"/>
  <c r="N85" i="8" s="1"/>
  <c r="Q85" i="8"/>
  <c r="G89" i="8"/>
  <c r="N89" i="8" s="1"/>
  <c r="Q89" i="8"/>
  <c r="G92" i="8"/>
  <c r="N92" i="8" s="1"/>
  <c r="Q92" i="8"/>
  <c r="G96" i="8"/>
  <c r="N96" i="8" s="1"/>
  <c r="Q96" i="8"/>
  <c r="G98" i="8"/>
  <c r="N98" i="8" s="1"/>
  <c r="Q98" i="8"/>
  <c r="G90" i="8"/>
  <c r="N90" i="8" s="1"/>
  <c r="Q90" i="8"/>
  <c r="G116" i="8"/>
  <c r="N116" i="8" s="1"/>
  <c r="Q116" i="8"/>
  <c r="G120" i="8"/>
  <c r="N120" i="8" s="1"/>
  <c r="Q120" i="8"/>
  <c r="G40" i="8"/>
  <c r="N40" i="8" s="1"/>
  <c r="Q40" i="8"/>
  <c r="G130" i="8"/>
  <c r="N130" i="8" s="1"/>
  <c r="Q130" i="8"/>
  <c r="G133" i="8"/>
  <c r="N133" i="8" s="1"/>
  <c r="Q133" i="8"/>
  <c r="G139" i="8"/>
  <c r="N139" i="8" s="1"/>
  <c r="Q139" i="8"/>
  <c r="G143" i="8"/>
  <c r="N143" i="8" s="1"/>
  <c r="Q143" i="8"/>
  <c r="G149" i="8"/>
  <c r="N149" i="8" s="1"/>
  <c r="Q149" i="8"/>
  <c r="G158" i="8"/>
  <c r="N158" i="8" s="1"/>
  <c r="Q158" i="8"/>
  <c r="G235" i="8"/>
  <c r="N235" i="8" s="1"/>
  <c r="Q235" i="8"/>
  <c r="G115" i="8"/>
  <c r="N115" i="8" s="1"/>
  <c r="Q115" i="8"/>
  <c r="G171" i="8"/>
  <c r="N171" i="8" s="1"/>
  <c r="Q171" i="8"/>
  <c r="G181" i="8"/>
  <c r="N181" i="8" s="1"/>
  <c r="G173" i="8"/>
  <c r="N173" i="8" s="1"/>
  <c r="G175" i="8"/>
  <c r="N175" i="8" s="1"/>
  <c r="Q175" i="8"/>
  <c r="G183" i="8"/>
  <c r="N183" i="8" s="1"/>
  <c r="Q183" i="8"/>
  <c r="G196" i="8"/>
  <c r="N196" i="8" s="1"/>
  <c r="Q196" i="8"/>
  <c r="G197" i="8"/>
  <c r="N197" i="8" s="1"/>
  <c r="Q197" i="8"/>
  <c r="G201" i="8"/>
  <c r="N201" i="8" s="1"/>
  <c r="Q201" i="8"/>
  <c r="G215" i="8"/>
  <c r="N215" i="8" s="1"/>
  <c r="Q215" i="8"/>
  <c r="G213" i="8"/>
  <c r="N213" i="8" s="1"/>
  <c r="G217" i="8"/>
  <c r="N217" i="8" s="1"/>
  <c r="Q217" i="8"/>
  <c r="G218" i="8"/>
  <c r="N218" i="8" s="1"/>
  <c r="Q218" i="8"/>
  <c r="G222" i="8"/>
  <c r="N222" i="8" s="1"/>
  <c r="G225" i="8"/>
  <c r="N225" i="8" s="1"/>
  <c r="Q225" i="8"/>
  <c r="G229" i="8"/>
  <c r="N229" i="8" s="1"/>
  <c r="Q229" i="8"/>
  <c r="G236" i="8"/>
  <c r="N236" i="8" s="1"/>
  <c r="Q236" i="8"/>
  <c r="G247" i="8"/>
  <c r="N247" i="8" s="1"/>
  <c r="Q247" i="8"/>
  <c r="G251" i="8"/>
  <c r="N251" i="8" s="1"/>
  <c r="G262" i="8"/>
  <c r="N262" i="8" s="1"/>
  <c r="Q262" i="8"/>
  <c r="G240" i="8"/>
  <c r="N240" i="8" s="1"/>
  <c r="Q240" i="8"/>
  <c r="G266" i="8"/>
  <c r="N266" i="8" s="1"/>
  <c r="Q266" i="8"/>
  <c r="G311" i="8"/>
  <c r="N311" i="8" s="1"/>
  <c r="Q311" i="8"/>
  <c r="G276" i="8"/>
  <c r="N276" i="8" s="1"/>
  <c r="Q276" i="8"/>
  <c r="G278" i="8"/>
  <c r="N278" i="8" s="1"/>
  <c r="Q278" i="8"/>
  <c r="G284" i="8"/>
  <c r="N284" i="8" s="1"/>
  <c r="Q284" i="8"/>
  <c r="G293" i="8"/>
  <c r="N293" i="8" s="1"/>
  <c r="Q293" i="8"/>
  <c r="G294" i="8"/>
  <c r="N294" i="8" s="1"/>
  <c r="Q294" i="8"/>
  <c r="G302" i="8"/>
  <c r="N302" i="8" s="1"/>
  <c r="Q302" i="8"/>
  <c r="G307" i="8"/>
  <c r="N307" i="8" s="1"/>
  <c r="Q307" i="8"/>
  <c r="G20" i="8"/>
  <c r="N20" i="8" s="1"/>
  <c r="Q20" i="8"/>
  <c r="G51" i="8"/>
  <c r="N51" i="8" s="1"/>
  <c r="Q51" i="8"/>
  <c r="G77" i="8"/>
  <c r="N77" i="8" s="1"/>
  <c r="Q77" i="8"/>
  <c r="G47" i="8"/>
  <c r="N47" i="8" s="1"/>
  <c r="Q47" i="8"/>
  <c r="G52" i="8"/>
  <c r="N52" i="8" s="1"/>
  <c r="Q52" i="8"/>
  <c r="G57" i="8"/>
  <c r="N57" i="8" s="1"/>
  <c r="Q57" i="8"/>
  <c r="G66" i="8"/>
  <c r="N66" i="8" s="1"/>
  <c r="Q66" i="8"/>
  <c r="G86" i="8"/>
  <c r="N86" i="8" s="1"/>
  <c r="Q86" i="8"/>
  <c r="B49" i="3"/>
  <c r="U334" i="8"/>
  <c r="C32" i="3" l="1"/>
  <c r="C31" i="3" s="1"/>
  <c r="D33" i="3"/>
  <c r="D32" i="3" s="1"/>
  <c r="D31" i="3" s="1"/>
  <c r="D49" i="3"/>
  <c r="C49" i="3"/>
  <c r="C28" i="3" l="1"/>
  <c r="D28" i="3" l="1"/>
  <c r="B10" i="6"/>
  <c r="C11" i="3" l="1"/>
  <c r="C19" i="3"/>
  <c r="D12" i="3"/>
  <c r="D11" i="3" l="1"/>
  <c r="D19" i="3"/>
  <c r="C36" i="3"/>
  <c r="D37" i="3" l="1"/>
  <c r="D119" i="5" s="1"/>
  <c r="B36" i="3"/>
  <c r="B48" i="3"/>
  <c r="B37" i="6" l="1"/>
  <c r="B9" i="6"/>
  <c r="B16" i="6" s="1"/>
  <c r="D48" i="3"/>
  <c r="D36" i="3"/>
  <c r="B56" i="3"/>
  <c r="B62" i="3" s="1"/>
  <c r="B39" i="6" l="1"/>
  <c r="B34" i="6"/>
  <c r="D9" i="6"/>
  <c r="D16" i="6" s="1"/>
  <c r="D37" i="6"/>
  <c r="D56" i="3"/>
  <c r="D62" i="3" s="1"/>
  <c r="F64" i="3" s="1"/>
  <c r="D34" i="6" l="1"/>
  <c r="D39" i="6"/>
</calcChain>
</file>

<file path=xl/sharedStrings.xml><?xml version="1.0" encoding="utf-8"?>
<sst xmlns="http://schemas.openxmlformats.org/spreadsheetml/2006/main" count="2684" uniqueCount="965">
  <si>
    <t xml:space="preserve">    Lainat rah.- ja vak.laitoksilta</t>
  </si>
  <si>
    <t>Muutoksen aiheuttaja</t>
  </si>
  <si>
    <t>31.12.</t>
  </si>
  <si>
    <t xml:space="preserve">   %</t>
  </si>
  <si>
    <t>€/as.</t>
  </si>
  <si>
    <t>Manner-Suomi</t>
  </si>
  <si>
    <t xml:space="preserve">Alajärvi           </t>
  </si>
  <si>
    <t xml:space="preserve">Alavieska          </t>
  </si>
  <si>
    <t xml:space="preserve">Alavus             </t>
  </si>
  <si>
    <t xml:space="preserve">Asikkala           </t>
  </si>
  <si>
    <t xml:space="preserve">Askola             </t>
  </si>
  <si>
    <t xml:space="preserve">Aura               </t>
  </si>
  <si>
    <t>Akaa</t>
  </si>
  <si>
    <t xml:space="preserve">Enonkoski          </t>
  </si>
  <si>
    <t xml:space="preserve">Eura               </t>
  </si>
  <si>
    <t xml:space="preserve">Evijärvi           </t>
  </si>
  <si>
    <t xml:space="preserve">Forssa             </t>
  </si>
  <si>
    <t xml:space="preserve">Haapajärvi         </t>
  </si>
  <si>
    <t xml:space="preserve">Haapavesi          </t>
  </si>
  <si>
    <t xml:space="preserve">Halsua             </t>
  </si>
  <si>
    <t xml:space="preserve">Hankasalmi         </t>
  </si>
  <si>
    <t xml:space="preserve">Harjavalta         </t>
  </si>
  <si>
    <t xml:space="preserve">Hartola            </t>
  </si>
  <si>
    <t xml:space="preserve">Hattula            </t>
  </si>
  <si>
    <t xml:space="preserve">Hausjärvi          </t>
  </si>
  <si>
    <t xml:space="preserve">Heinävesi          </t>
  </si>
  <si>
    <t xml:space="preserve">Hirvensalmi        </t>
  </si>
  <si>
    <t xml:space="preserve">Hollola            </t>
  </si>
  <si>
    <t xml:space="preserve">Honkajoki          </t>
  </si>
  <si>
    <t xml:space="preserve">Huittinen          </t>
  </si>
  <si>
    <t xml:space="preserve">Humppila           </t>
  </si>
  <si>
    <t xml:space="preserve">Hyrynsalmi         </t>
  </si>
  <si>
    <t xml:space="preserve">Heinola            </t>
  </si>
  <si>
    <t xml:space="preserve">Ii                 </t>
  </si>
  <si>
    <t xml:space="preserve">Iitti              </t>
  </si>
  <si>
    <t xml:space="preserve">Ilmajoki           </t>
  </si>
  <si>
    <t xml:space="preserve">Imatra             </t>
  </si>
  <si>
    <t xml:space="preserve">Janakkala          </t>
  </si>
  <si>
    <t xml:space="preserve">Joensuu            </t>
  </si>
  <si>
    <t xml:space="preserve">Joutsa             </t>
  </si>
  <si>
    <t xml:space="preserve">Juankoski          </t>
  </si>
  <si>
    <t xml:space="preserve">Juuka              </t>
  </si>
  <si>
    <t xml:space="preserve">Juupajoki          </t>
  </si>
  <si>
    <t xml:space="preserve">Juva               </t>
  </si>
  <si>
    <t xml:space="preserve">Jyväskylä          </t>
  </si>
  <si>
    <t xml:space="preserve">Jämijärvi          </t>
  </si>
  <si>
    <t xml:space="preserve">Kaavi              </t>
  </si>
  <si>
    <t xml:space="preserve">Kalajoki           </t>
  </si>
  <si>
    <t xml:space="preserve">Kangasala          </t>
  </si>
  <si>
    <t xml:space="preserve">Kangasniemi        </t>
  </si>
  <si>
    <t xml:space="preserve">Kankaanpää         </t>
  </si>
  <si>
    <t xml:space="preserve">Kannonkoski        </t>
  </si>
  <si>
    <t xml:space="preserve">Kannus             </t>
  </si>
  <si>
    <t xml:space="preserve">Karstula           </t>
  </si>
  <si>
    <t xml:space="preserve">Karvia             </t>
  </si>
  <si>
    <t xml:space="preserve">Kauhajoki          </t>
  </si>
  <si>
    <t xml:space="preserve">Kauhava            </t>
  </si>
  <si>
    <t xml:space="preserve">Keitele            </t>
  </si>
  <si>
    <t xml:space="preserve">Kemi               </t>
  </si>
  <si>
    <t xml:space="preserve">Keminmaa           </t>
  </si>
  <si>
    <t xml:space="preserve">Kempele            </t>
  </si>
  <si>
    <t xml:space="preserve">Keuruu             </t>
  </si>
  <si>
    <t xml:space="preserve">Kihniö             </t>
  </si>
  <si>
    <t xml:space="preserve">Kinnula            </t>
  </si>
  <si>
    <t xml:space="preserve">Kitee              </t>
  </si>
  <si>
    <t xml:space="preserve">Kittilä            </t>
  </si>
  <si>
    <t xml:space="preserve">Kiuruvesi          </t>
  </si>
  <si>
    <t xml:space="preserve">Kivijärvi          </t>
  </si>
  <si>
    <t xml:space="preserve">Kolari             </t>
  </si>
  <si>
    <t xml:space="preserve">Konnevesi          </t>
  </si>
  <si>
    <t xml:space="preserve">Kontiolahti        </t>
  </si>
  <si>
    <t xml:space="preserve">Korsnäs            </t>
  </si>
  <si>
    <t xml:space="preserve">Koski Tl           </t>
  </si>
  <si>
    <t xml:space="preserve">Kotka              </t>
  </si>
  <si>
    <t xml:space="preserve">Kouvola            </t>
  </si>
  <si>
    <t xml:space="preserve">Kuhmo              </t>
  </si>
  <si>
    <t xml:space="preserve">Kuhmoinen          </t>
  </si>
  <si>
    <t xml:space="preserve">Kuopio             </t>
  </si>
  <si>
    <t xml:space="preserve">Kuortane           </t>
  </si>
  <si>
    <t xml:space="preserve">Kurikka            </t>
  </si>
  <si>
    <t xml:space="preserve">Kuusamo            </t>
  </si>
  <si>
    <t xml:space="preserve">Outokumpu          </t>
  </si>
  <si>
    <t xml:space="preserve">Kyyjärvi           </t>
  </si>
  <si>
    <t xml:space="preserve">Kärkölä            </t>
  </si>
  <si>
    <t xml:space="preserve">Kärsämäki          </t>
  </si>
  <si>
    <t xml:space="preserve">Kemijärvi          </t>
  </si>
  <si>
    <t xml:space="preserve">Laitila            </t>
  </si>
  <si>
    <t xml:space="preserve">Lapinlahti         </t>
  </si>
  <si>
    <t xml:space="preserve">Lappajärvi         </t>
  </si>
  <si>
    <t xml:space="preserve">Laukaa             </t>
  </si>
  <si>
    <t xml:space="preserve">Lemi               </t>
  </si>
  <si>
    <t xml:space="preserve">Lempäälä           </t>
  </si>
  <si>
    <t xml:space="preserve">Leppävirta         </t>
  </si>
  <si>
    <t xml:space="preserve">Lestijärvi         </t>
  </si>
  <si>
    <t xml:space="preserve">Lieksa             </t>
  </si>
  <si>
    <t xml:space="preserve">Liperi             </t>
  </si>
  <si>
    <t xml:space="preserve">Loimaa             </t>
  </si>
  <si>
    <t xml:space="preserve">Loppi              </t>
  </si>
  <si>
    <t xml:space="preserve">Luhanka            </t>
  </si>
  <si>
    <t xml:space="preserve">Lumijoki           </t>
  </si>
  <si>
    <t xml:space="preserve">Luumäki            </t>
  </si>
  <si>
    <t xml:space="preserve">Luvia              </t>
  </si>
  <si>
    <t xml:space="preserve">Marttila           </t>
  </si>
  <si>
    <t xml:space="preserve">Masku              </t>
  </si>
  <si>
    <t xml:space="preserve">Merijärvi          </t>
  </si>
  <si>
    <t xml:space="preserve">Miehikkälä         </t>
  </si>
  <si>
    <t xml:space="preserve">Muhos              </t>
  </si>
  <si>
    <t xml:space="preserve">Multia             </t>
  </si>
  <si>
    <t xml:space="preserve">Muonio             </t>
  </si>
  <si>
    <t xml:space="preserve">Muurame            </t>
  </si>
  <si>
    <t xml:space="preserve">Mynämäki           </t>
  </si>
  <si>
    <t xml:space="preserve">Mäntsälä           </t>
  </si>
  <si>
    <t xml:space="preserve">Mäntyharju         </t>
  </si>
  <si>
    <t xml:space="preserve">Nakkila            </t>
  </si>
  <si>
    <t xml:space="preserve">Nivala             </t>
  </si>
  <si>
    <t xml:space="preserve">Nokia              </t>
  </si>
  <si>
    <t xml:space="preserve">Nurmes             </t>
  </si>
  <si>
    <t xml:space="preserve">Nurmijärvi         </t>
  </si>
  <si>
    <t xml:space="preserve">Orimattila         </t>
  </si>
  <si>
    <t xml:space="preserve">Oripää             </t>
  </si>
  <si>
    <t xml:space="preserve">Orivesi            </t>
  </si>
  <si>
    <t xml:space="preserve">Oulainen           </t>
  </si>
  <si>
    <t xml:space="preserve">Padasjoki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</si>
  <si>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</si>
  <si>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</si>
  <si>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</si>
  <si>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</si>
  <si>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</si>
  <si>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</si>
  <si>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</si>
  <si>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</si>
  <si>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</si>
  <si>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Pihtipudas         </t>
  </si>
  <si>
    <t xml:space="preserve">Polvijärvi         </t>
  </si>
  <si>
    <t xml:space="preserve">Posio              </t>
  </si>
  <si>
    <t xml:space="preserve">Pudasjärvi         </t>
  </si>
  <si>
    <t xml:space="preserve">Pukkila            </t>
  </si>
  <si>
    <t xml:space="preserve">Punkalaidun        </t>
  </si>
  <si>
    <t xml:space="preserve">Puolanka           </t>
  </si>
  <si>
    <t xml:space="preserve">Puumala            </t>
  </si>
  <si>
    <t xml:space="preserve">Pyhäjoki           </t>
  </si>
  <si>
    <t>Pyhäjärvi</t>
  </si>
  <si>
    <t xml:space="preserve">Pyhäntä            </t>
  </si>
  <si>
    <t xml:space="preserve">Pyhäranta          </t>
  </si>
  <si>
    <t xml:space="preserve">Pälkäne            </t>
  </si>
  <si>
    <t xml:space="preserve">Pöytyä             </t>
  </si>
  <si>
    <t xml:space="preserve">Rantasalmi         </t>
  </si>
  <si>
    <t xml:space="preserve">Ranua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</si>
  <si>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</si>
  <si>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</si>
  <si>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</si>
  <si>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</si>
  <si>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</si>
  <si>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</si>
  <si>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</si>
  <si>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</si>
  <si>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</si>
  <si>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</si>
  <si>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</si>
  <si>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</si>
  <si>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</si>
  <si>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</si>
  <si>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Savitaipale        </t>
  </si>
  <si>
    <t xml:space="preserve">Savukoski          </t>
  </si>
  <si>
    <t xml:space="preserve">Seinäjoki          </t>
  </si>
  <si>
    <t xml:space="preserve">Sievi              </t>
  </si>
  <si>
    <t xml:space="preserve">Siikainen          </t>
  </si>
  <si>
    <t xml:space="preserve">Siikajoki          </t>
  </si>
  <si>
    <t xml:space="preserve">Siilinjärvi        </t>
  </si>
  <si>
    <t xml:space="preserve">Simo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</si>
  <si>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</si>
  <si>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</si>
  <si>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</si>
  <si>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</si>
  <si>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</si>
  <si>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</si>
  <si>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</si>
  <si>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</si>
  <si>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</si>
  <si>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</si>
  <si>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</si>
  <si>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Sastamala</t>
  </si>
  <si>
    <t>Siikalatva</t>
  </si>
  <si>
    <t xml:space="preserve">Taipalsaari        </t>
  </si>
  <si>
    <t xml:space="preserve">Taivalkoski        </t>
  </si>
  <si>
    <t xml:space="preserve">Tammela            </t>
  </si>
  <si>
    <t xml:space="preserve">Tervo              </t>
  </si>
  <si>
    <t xml:space="preserve">Tervola            </t>
  </si>
  <si>
    <t xml:space="preserve">Tohmajärvi         </t>
  </si>
  <si>
    <t xml:space="preserve">Toholampi          </t>
  </si>
  <si>
    <t xml:space="preserve">Toivakka           </t>
  </si>
  <si>
    <t xml:space="preserve">Pello              </t>
  </si>
  <si>
    <t xml:space="preserve">Tuusniemi          </t>
  </si>
  <si>
    <t xml:space="preserve">Tyrnävä            </t>
  </si>
  <si>
    <t xml:space="preserve">Urjala             </t>
  </si>
  <si>
    <t xml:space="preserve">Utajärvi           </t>
  </si>
  <si>
    <t xml:space="preserve">Utsjoki            </t>
  </si>
  <si>
    <t xml:space="preserve">Uurainen           </t>
  </si>
  <si>
    <t xml:space="preserve">Valkeakoski        </t>
  </si>
  <si>
    <t xml:space="preserve">Valtimo            </t>
  </si>
  <si>
    <t xml:space="preserve">Varkaus            </t>
  </si>
  <si>
    <t xml:space="preserve">Vehmaa             </t>
  </si>
  <si>
    <t xml:space="preserve">Vesanto            </t>
  </si>
  <si>
    <t xml:space="preserve">Vesilahti          </t>
  </si>
  <si>
    <t xml:space="preserve">Vieremä            </t>
  </si>
  <si>
    <t xml:space="preserve">Viitasaari         </t>
  </si>
  <si>
    <t xml:space="preserve">Vimpeli            </t>
  </si>
  <si>
    <t xml:space="preserve">Virolahti          </t>
  </si>
  <si>
    <t xml:space="preserve">Ylivieska          </t>
  </si>
  <si>
    <t xml:space="preserve">Ylöjärvi           </t>
  </si>
  <si>
    <t xml:space="preserve">Ypäjä              </t>
  </si>
  <si>
    <t xml:space="preserve">Äänekoski          </t>
  </si>
  <si>
    <t>ko</t>
  </si>
  <si>
    <t>Koko maa</t>
  </si>
  <si>
    <t>06</t>
  </si>
  <si>
    <t>14</t>
  </si>
  <si>
    <t>17</t>
  </si>
  <si>
    <t>07</t>
  </si>
  <si>
    <t>01</t>
  </si>
  <si>
    <t>02</t>
  </si>
  <si>
    <t>10</t>
  </si>
  <si>
    <t>Enontekis</t>
  </si>
  <si>
    <t>19</t>
  </si>
  <si>
    <t>Esbo</t>
  </si>
  <si>
    <t>04</t>
  </si>
  <si>
    <t>Euraåminne</t>
  </si>
  <si>
    <t>05</t>
  </si>
  <si>
    <t>Karlö</t>
  </si>
  <si>
    <t>16</t>
  </si>
  <si>
    <t>Fredrikshamn</t>
  </si>
  <si>
    <t>08</t>
  </si>
  <si>
    <t>13</t>
  </si>
  <si>
    <t>Hangö</t>
  </si>
  <si>
    <t>Helsingfors</t>
  </si>
  <si>
    <t>18</t>
  </si>
  <si>
    <t>Hyvinge</t>
  </si>
  <si>
    <t>Tavastkyro</t>
  </si>
  <si>
    <t>Tavastehus</t>
  </si>
  <si>
    <t>Idensalmi</t>
  </si>
  <si>
    <t>11</t>
  </si>
  <si>
    <t>Ikalis</t>
  </si>
  <si>
    <t>Ilomants</t>
  </si>
  <si>
    <t>12</t>
  </si>
  <si>
    <t>09</t>
  </si>
  <si>
    <t>Enare</t>
  </si>
  <si>
    <t>Ingå</t>
  </si>
  <si>
    <t>Storå</t>
  </si>
  <si>
    <t>Storkyro</t>
  </si>
  <si>
    <t>15</t>
  </si>
  <si>
    <t>Jockis</t>
  </si>
  <si>
    <t>Jorois</t>
  </si>
  <si>
    <t xml:space="preserve">Jämsä              </t>
  </si>
  <si>
    <t>Träskända</t>
  </si>
  <si>
    <t>S:t Karins</t>
  </si>
  <si>
    <t>Kajana</t>
  </si>
  <si>
    <t>Bötom</t>
  </si>
  <si>
    <t>Högfors</t>
  </si>
  <si>
    <t>Kaskö</t>
  </si>
  <si>
    <t>Grankulla</t>
  </si>
  <si>
    <t>Kaustby</t>
  </si>
  <si>
    <t>Kimitoön</t>
  </si>
  <si>
    <t>Kervo</t>
  </si>
  <si>
    <t>Kyrkslätt</t>
  </si>
  <si>
    <t>Kumo</t>
  </si>
  <si>
    <t>Karleby</t>
  </si>
  <si>
    <t>Kristinestad</t>
  </si>
  <si>
    <t>Kronoby</t>
  </si>
  <si>
    <t>Gustavs</t>
  </si>
  <si>
    <t>Lahtis</t>
  </si>
  <si>
    <t>Laihela</t>
  </si>
  <si>
    <t>Lappträsk</t>
  </si>
  <si>
    <t>Villmanstrand</t>
  </si>
  <si>
    <t>Lappo</t>
  </si>
  <si>
    <t>Lundo</t>
  </si>
  <si>
    <t>Limingo</t>
  </si>
  <si>
    <t>Lojo</t>
  </si>
  <si>
    <t>Lovisa</t>
  </si>
  <si>
    <t>Larsmo</t>
  </si>
  <si>
    <t>Malax</t>
  </si>
  <si>
    <t>Sastmola</t>
  </si>
  <si>
    <t>S:t Michel</t>
  </si>
  <si>
    <t>Korsholm</t>
  </si>
  <si>
    <t>Mörskom</t>
  </si>
  <si>
    <t>Mänttä-Vilppula</t>
  </si>
  <si>
    <t>Nådendal</t>
  </si>
  <si>
    <t>Nousis</t>
  </si>
  <si>
    <t>Närpes</t>
  </si>
  <si>
    <t>Uleåborg</t>
  </si>
  <si>
    <t>Pemar</t>
  </si>
  <si>
    <t>Pargas</t>
  </si>
  <si>
    <t>Pedersöre</t>
  </si>
  <si>
    <t>Jakobstad</t>
  </si>
  <si>
    <t>Birkala</t>
  </si>
  <si>
    <t>Påmark</t>
  </si>
  <si>
    <t>Björneborg</t>
  </si>
  <si>
    <t>Borgnäs</t>
  </si>
  <si>
    <t>Borgå</t>
  </si>
  <si>
    <t>Pyttis</t>
  </si>
  <si>
    <t>Brahestad</t>
  </si>
  <si>
    <t>Raseborg</t>
  </si>
  <si>
    <t>Reso</t>
  </si>
  <si>
    <t>Raumo</t>
  </si>
  <si>
    <t>Sagu</t>
  </si>
  <si>
    <t>Nyslott</t>
  </si>
  <si>
    <t>Sibbo</t>
  </si>
  <si>
    <t>Sjundeå</t>
  </si>
  <si>
    <t>Tövsala</t>
  </si>
  <si>
    <t>Tammerfors</t>
  </si>
  <si>
    <t>Östermark</t>
  </si>
  <si>
    <t>Torneå</t>
  </si>
  <si>
    <t>Åbo</t>
  </si>
  <si>
    <t>Tusby</t>
  </si>
  <si>
    <t>Ulvsby</t>
  </si>
  <si>
    <t>Nykarleby</t>
  </si>
  <si>
    <t>Nystad</t>
  </si>
  <si>
    <t>Vasa</t>
  </si>
  <si>
    <t>Vanda</t>
  </si>
  <si>
    <t>Vetil</t>
  </si>
  <si>
    <t>Vichtis</t>
  </si>
  <si>
    <t>Virdois</t>
  </si>
  <si>
    <t>Vörå</t>
  </si>
  <si>
    <t>Övertorneå</t>
  </si>
  <si>
    <t>Etseri</t>
  </si>
  <si>
    <t>Sottunga</t>
  </si>
  <si>
    <t xml:space="preserve">Sottunga           </t>
  </si>
  <si>
    <t>21</t>
  </si>
  <si>
    <t>Kökar</t>
  </si>
  <si>
    <t xml:space="preserve">Kökar              </t>
  </si>
  <si>
    <t>Kumlinge</t>
  </si>
  <si>
    <t xml:space="preserve">Kumlinge           </t>
  </si>
  <si>
    <t>Lumparland</t>
  </si>
  <si>
    <t xml:space="preserve">Lumparland         </t>
  </si>
  <si>
    <t>Vårdö</t>
  </si>
  <si>
    <t xml:space="preserve">Vårdö             </t>
  </si>
  <si>
    <t>Brändö</t>
  </si>
  <si>
    <t xml:space="preserve">Brändö             </t>
  </si>
  <si>
    <t>Geta</t>
  </si>
  <si>
    <t xml:space="preserve">Geta               </t>
  </si>
  <si>
    <t>Föglö</t>
  </si>
  <si>
    <t xml:space="preserve">Föglö              </t>
  </si>
  <si>
    <t>Eckerö</t>
  </si>
  <si>
    <t xml:space="preserve">Eckerö             </t>
  </si>
  <si>
    <t>Sund</t>
  </si>
  <si>
    <t xml:space="preserve">Sund               </t>
  </si>
  <si>
    <t>Hammarland</t>
  </si>
  <si>
    <t xml:space="preserve">Hammarland         </t>
  </si>
  <si>
    <t>Saltvik</t>
  </si>
  <si>
    <t xml:space="preserve">Saltvik            </t>
  </si>
  <si>
    <t>Lemland</t>
  </si>
  <si>
    <t xml:space="preserve">Lemland            </t>
  </si>
  <si>
    <t>Finström</t>
  </si>
  <si>
    <t xml:space="preserve">Finström           </t>
  </si>
  <si>
    <t>Jomala</t>
  </si>
  <si>
    <t xml:space="preserve">Jomala             </t>
  </si>
  <si>
    <t>Maarianhamina</t>
  </si>
  <si>
    <t>Mariehamn</t>
  </si>
  <si>
    <t>Maakunnittain:</t>
  </si>
  <si>
    <t>Uusimaa</t>
  </si>
  <si>
    <t>Nyland</t>
  </si>
  <si>
    <t>Varsinais-Suomi</t>
  </si>
  <si>
    <t>Egentliga Finland</t>
  </si>
  <si>
    <t>Satakunta</t>
  </si>
  <si>
    <t xml:space="preserve">Satakunta </t>
  </si>
  <si>
    <t>Kanta-Häme</t>
  </si>
  <si>
    <t xml:space="preserve">Egentliga Tavastland </t>
  </si>
  <si>
    <t>Pirkanmaa</t>
  </si>
  <si>
    <t>Birkaland</t>
  </si>
  <si>
    <t>Päijät-Häme</t>
  </si>
  <si>
    <t xml:space="preserve">Päijänne-Tavastland </t>
  </si>
  <si>
    <t>Kymenlaakso</t>
  </si>
  <si>
    <t xml:space="preserve">Kymmenedalen </t>
  </si>
  <si>
    <t>Etelä-Karjala</t>
  </si>
  <si>
    <t xml:space="preserve">Södra Karelen </t>
  </si>
  <si>
    <t>Etelä-Savo</t>
  </si>
  <si>
    <t xml:space="preserve">Södra Savolax </t>
  </si>
  <si>
    <t>Pohjois-Savo</t>
  </si>
  <si>
    <t xml:space="preserve">Norra Savolax </t>
  </si>
  <si>
    <t>Pohjois-Karjala</t>
  </si>
  <si>
    <t xml:space="preserve">Norra Karelen </t>
  </si>
  <si>
    <t>Keski-Suomi</t>
  </si>
  <si>
    <t xml:space="preserve">Mellersta Finland </t>
  </si>
  <si>
    <t>Etelä-Pohjanmaa</t>
  </si>
  <si>
    <t xml:space="preserve">Södra Österbotten </t>
  </si>
  <si>
    <t>Pohjanmaa</t>
  </si>
  <si>
    <t>Österbotten</t>
  </si>
  <si>
    <t>Keski-Pohjanmaa</t>
  </si>
  <si>
    <t xml:space="preserve">Mellersta Österbotten </t>
  </si>
  <si>
    <t>Pohjois-Pohjanmaa</t>
  </si>
  <si>
    <t xml:space="preserve">Norra Österbotten </t>
  </si>
  <si>
    <t>Kainuu</t>
  </si>
  <si>
    <t xml:space="preserve">Kajanaland </t>
  </si>
  <si>
    <t>Lappi</t>
  </si>
  <si>
    <t xml:space="preserve">Lappland </t>
  </si>
  <si>
    <t>Ahvenanmaa</t>
  </si>
  <si>
    <t>Åland</t>
  </si>
  <si>
    <t>Kuntakoon mukaan (as.luku 2015):</t>
  </si>
  <si>
    <t xml:space="preserve"> Alle 2000 as. kunnat</t>
  </si>
  <si>
    <t xml:space="preserve"> 2001-5000 as. kunnat</t>
  </si>
  <si>
    <t xml:space="preserve"> 5001-10000 as. kunnat</t>
  </si>
  <si>
    <t xml:space="preserve"> 10001-20000 as. kunnat</t>
  </si>
  <si>
    <t xml:space="preserve"> 20001-50000 as. kunnat</t>
  </si>
  <si>
    <t xml:space="preserve"> 50001-100000 as. kunnat</t>
  </si>
  <si>
    <t xml:space="preserve"> Yli 100000 as. kunnat</t>
  </si>
  <si>
    <t>2)</t>
  </si>
  <si>
    <t>Yhteensä</t>
  </si>
  <si>
    <t>Pl. Ahvenanmaa</t>
  </si>
  <si>
    <t>Jos täytät,</t>
  </si>
  <si>
    <t>niin täytä</t>
  </si>
  <si>
    <t>kaikki.</t>
  </si>
  <si>
    <t>Funktion sarake no.</t>
  </si>
  <si>
    <t>euroa</t>
  </si>
  <si>
    <r>
      <t>(</t>
    </r>
    <r>
      <rPr>
        <sz val="9"/>
        <color theme="1"/>
        <rFont val="Calibri"/>
        <family val="2"/>
      </rPr>
      <t>©)</t>
    </r>
    <r>
      <rPr>
        <sz val="9"/>
        <color theme="1"/>
        <rFont val="Arial"/>
        <family val="2"/>
      </rPr>
      <t xml:space="preserve"> Suomen Kuntaliitto 2017</t>
    </r>
  </si>
  <si>
    <t>Kunnan rahoituslaskelma vuonna 2015 ja skenaario vuodesta 2019</t>
  </si>
  <si>
    <t xml:space="preserve"> 31.12.2015</t>
  </si>
  <si>
    <t>(ennakko)</t>
  </si>
  <si>
    <t>€/as</t>
  </si>
  <si>
    <t>erotus</t>
  </si>
  <si>
    <t xml:space="preserve"> +/- 25 €</t>
  </si>
  <si>
    <t xml:space="preserve"> +/- 50 €</t>
  </si>
  <si>
    <t xml:space="preserve"> +/- 75 €</t>
  </si>
  <si>
    <t xml:space="preserve"> +/-100 €</t>
  </si>
  <si>
    <t>Lähde: Tilastokeskus 4.11.2016 &amp; 8.2.2017</t>
  </si>
  <si>
    <t>Version: 16.2.2017</t>
  </si>
  <si>
    <t>Kommunens resultaträkning år 2015 och scenario över år 2019</t>
  </si>
  <si>
    <t>Ekonominyckeln är ett hjälpmedel för kommunerna. Uppgifterna utgör en grund för ekonomiplaneringen och beräkningarna i kommunen.</t>
  </si>
  <si>
    <t>Verksamhetsinkomster</t>
  </si>
  <si>
    <t>därav: Försäljningsinkomster</t>
  </si>
  <si>
    <t>därav: Avgiftsinkomster</t>
  </si>
  <si>
    <t>därav: Stöd och bidrag</t>
  </si>
  <si>
    <t>därav: Övriga verksamhetsinkomster</t>
  </si>
  <si>
    <t>Förändring av produktlager</t>
  </si>
  <si>
    <t>Tillverkning för eget bruk</t>
  </si>
  <si>
    <t>Verksamhetsutgifter</t>
  </si>
  <si>
    <t>därav: Personalutgifter (summa ihop nedan)</t>
  </si>
  <si>
    <t>därav: Löner och arvoden</t>
  </si>
  <si>
    <t>därav: Lönebikostnader</t>
  </si>
  <si>
    <t>därav: Köp av tjänster</t>
  </si>
  <si>
    <t>därav: Material, förnödenheter och varor</t>
  </si>
  <si>
    <t>därav: Understöd</t>
  </si>
  <si>
    <t>därav: Övriga verksamhetsutgifter</t>
  </si>
  <si>
    <t>VERKSAMHETSBIDRAG</t>
  </si>
  <si>
    <t>Skatteinkomster</t>
  </si>
  <si>
    <t xml:space="preserve">      därav: Kommunens inkomstskatt</t>
  </si>
  <si>
    <t xml:space="preserve">      därav: Andel av samfundsskatten</t>
  </si>
  <si>
    <t xml:space="preserve">      därav: Fastighetsskatt mm</t>
  </si>
  <si>
    <t>Statsandelar</t>
  </si>
  <si>
    <t xml:space="preserve">     därav: Statsandel för kommunal basservice</t>
  </si>
  <si>
    <t xml:space="preserve">     därav: Statsandel för undervisning- och kulturverksamhet</t>
  </si>
  <si>
    <t xml:space="preserve">     därav: Behovsprövad höjning av statsandel</t>
  </si>
  <si>
    <t>Finansieringingsinkomster och -utgifter</t>
  </si>
  <si>
    <t xml:space="preserve">     därav: Ränteintäkter</t>
  </si>
  <si>
    <t xml:space="preserve">     därav: Övriga finansiella intäkter</t>
  </si>
  <si>
    <t xml:space="preserve">     därav: Räntekostnader</t>
  </si>
  <si>
    <t xml:space="preserve">     därav: Övriga finansiella kostnader</t>
  </si>
  <si>
    <t>ÅRSBIDRAG</t>
  </si>
  <si>
    <t>Avskrivningar och nedskrivningar</t>
  </si>
  <si>
    <t xml:space="preserve">     därav: Planavskrivningar</t>
  </si>
  <si>
    <t xml:space="preserve">     därav: Nedskrivningar</t>
  </si>
  <si>
    <t xml:space="preserve">Extraordinära intäkter </t>
  </si>
  <si>
    <t xml:space="preserve">Extraordinära kostnader </t>
  </si>
  <si>
    <t>RÄKENSKAPSPERIODENS RESULTAT</t>
  </si>
  <si>
    <t>Ökning (-) eller minskning (+) av avskrivningsdifferens</t>
  </si>
  <si>
    <t>Ökning (-) eller minskning (+) av reserver</t>
  </si>
  <si>
    <t>Ökning (-) eller minskning (+) av fonder</t>
  </si>
  <si>
    <t>RÄKENSKAPSPERIODENS ÖVERSKOTT (UNDERSKOTT)</t>
  </si>
  <si>
    <t>Invånarnatal 31.12.2015:</t>
  </si>
  <si>
    <t>Välj kommun:</t>
  </si>
  <si>
    <t>(©) Finlands Kommunförbund 2017</t>
  </si>
  <si>
    <t>Gammal</t>
  </si>
  <si>
    <t>Ny</t>
  </si>
  <si>
    <t>kommun</t>
  </si>
  <si>
    <t>Överflyttas</t>
  </si>
  <si>
    <t>BS 2015</t>
  </si>
  <si>
    <t>(2016 års nivå)</t>
  </si>
  <si>
    <t>(1000 euro)</t>
  </si>
  <si>
    <t>Orsak till förändringen</t>
  </si>
  <si>
    <t>I samband med landskapreformen överflyttas följande uppgifter:</t>
  </si>
  <si>
    <t>barnskyddet (anstalt- och familjevård samt öppenvårdstjänster inom barnskyddet), tjänster för äldre, tjänster för handikappade, hemvård, tjänster inom missbrukarvården, primärhälsovården (öppen vård och bäddavdelningsvård), specialliserad sjukvård, miljö- och hälsoskydd, brand- och räddningsväsendet, verksamhet i sysselsättningssyfte, skolkurartors- och psykologiverksamheten överflyttas inte.</t>
  </si>
  <si>
    <t>Välj grunduppgifter:</t>
  </si>
  <si>
    <t xml:space="preserve">Verksamhetsinkomsterna och -utgifterna innehåller interna poster. Från verksamhetsbidraget och framåt är posterna externa. </t>
  </si>
  <si>
    <t>Källa: Statistikcentralen, FM och Kommunförbundet</t>
  </si>
  <si>
    <t>Detaljerad specificering över bildandet av den nuvarande och den nya finansieringen</t>
  </si>
  <si>
    <t xml:space="preserve">För de uppgifter som förblir kvar i kommunen och dess finansiering (efter överflyttandet av sote -uppgifterna) </t>
  </si>
  <si>
    <t>- i 2017 års nivå</t>
  </si>
  <si>
    <t>- ändringen granskas utifrån ett sk. balansläge, med vilket avses årsbidragets tillräcklighet för avskrivningarna (bruksekonomins resultat)</t>
  </si>
  <si>
    <t>- överflyttade sote -uppgifterna har effekt på kommunernas kostnader som syns i verksamhetsbidraget (brukskostnader, netto) och avskrivningarna</t>
  </si>
  <si>
    <t>- överflyttade sote -uppgifterna har effekt på kommunernas inkomster, som syns i verksamhetsbidraget, skatteinkomsterna och statsandelarna</t>
  </si>
  <si>
    <t>- kalkylets bas är kostnadsuppgifterna från enkäten som berör kommunernas budgetar (2017 års nivå) och FM:s uppskattningar över statsandelarna och skatteinkomsterna.</t>
  </si>
  <si>
    <t>OBS! På hela landets nivå är balanslägets ändring ca. + 24 mn euro som beror på landskapets delatagande i finansieringen av HYTE -kriteriet</t>
  </si>
  <si>
    <t xml:space="preserve">   *= övergångsutjämningen från 2015 års statsandelsreform har borttagits från den nuvarande balansen, eftersom den inte utbetalas längre år 2019</t>
  </si>
  <si>
    <t>Fasta Finland</t>
  </si>
  <si>
    <t>NUVARANDE FINANSIERING:</t>
  </si>
  <si>
    <t>(borttas) *</t>
  </si>
  <si>
    <t>NY FINANSIERING</t>
  </si>
  <si>
    <t>ÄNDRING:</t>
  </si>
  <si>
    <t>Övergångsutjämningarna:</t>
  </si>
  <si>
    <t>(bestående)</t>
  </si>
  <si>
    <t>Verksamhetsbidr +</t>
  </si>
  <si>
    <t>Kommunalskatt</t>
  </si>
  <si>
    <t>Samfundsskatt</t>
  </si>
  <si>
    <t>Fastighets-</t>
  </si>
  <si>
    <t>Finansierings-</t>
  </si>
  <si>
    <t>År 2015</t>
  </si>
  <si>
    <t>NUVARANDE</t>
  </si>
  <si>
    <t>Kommunal-</t>
  </si>
  <si>
    <t>Samfunds-</t>
  </si>
  <si>
    <t>Sote -överfl.</t>
  </si>
  <si>
    <t>Statsandel</t>
  </si>
  <si>
    <t>Beskattn.</t>
  </si>
  <si>
    <t xml:space="preserve">NY </t>
  </si>
  <si>
    <t xml:space="preserve">Balansens </t>
  </si>
  <si>
    <t>1. året</t>
  </si>
  <si>
    <t>2. året</t>
  </si>
  <si>
    <t>3. året</t>
  </si>
  <si>
    <t>4. året</t>
  </si>
  <si>
    <t>5. året</t>
  </si>
  <si>
    <t>Land-</t>
  </si>
  <si>
    <t>Inv.antal</t>
  </si>
  <si>
    <t>avskrivningar och</t>
  </si>
  <si>
    <t>som ska betalas</t>
  </si>
  <si>
    <t>skatt</t>
  </si>
  <si>
    <t>FM</t>
  </si>
  <si>
    <t>UKM</t>
  </si>
  <si>
    <t>poster (bs15)</t>
  </si>
  <si>
    <t>statsand. ref.</t>
  </si>
  <si>
    <t>balans</t>
  </si>
  <si>
    <t>utjämn.begr.</t>
  </si>
  <si>
    <t>UKM, 2016</t>
  </si>
  <si>
    <t>poster (bsp 15)</t>
  </si>
  <si>
    <t>kostnader</t>
  </si>
  <si>
    <t>Balans</t>
  </si>
  <si>
    <t>ÄNDRING</t>
  </si>
  <si>
    <t>övergångs-</t>
  </si>
  <si>
    <t xml:space="preserve">utjämn. av </t>
  </si>
  <si>
    <t>skaps</t>
  </si>
  <si>
    <t>nedskrivningar</t>
  </si>
  <si>
    <t>(preliminär)</t>
  </si>
  <si>
    <t>inkl. Kommun -</t>
  </si>
  <si>
    <t>sänkn.</t>
  </si>
  <si>
    <t>exkl. överg.utjämn.</t>
  </si>
  <si>
    <t>utjämning</t>
  </si>
  <si>
    <t>syst.ändr.</t>
  </si>
  <si>
    <t>nr</t>
  </si>
  <si>
    <t>Område</t>
  </si>
  <si>
    <t>utjämn. netto</t>
  </si>
  <si>
    <t>stat neutralis.</t>
  </si>
  <si>
    <t>(fördel kom.)</t>
  </si>
  <si>
    <t>euro</t>
  </si>
  <si>
    <t>€/inv</t>
  </si>
  <si>
    <t>Hela landet</t>
  </si>
  <si>
    <t xml:space="preserve">OBS! Här har inte den nya övergångsutjämningen beaktats, som blir bestående på ett sätt där ändringen begränsas </t>
  </si>
  <si>
    <t>med högst +/- 100 euro per invånare uner en period på 5 år.</t>
  </si>
  <si>
    <t>Övergångsutjämningen och den bestående</t>
  </si>
  <si>
    <t>utjämningen som övergången medför:</t>
  </si>
  <si>
    <t>Gammal kommun</t>
  </si>
  <si>
    <t>Överflyttade</t>
  </si>
  <si>
    <t>Ny kommun</t>
  </si>
  <si>
    <t xml:space="preserve">Ny </t>
  </si>
  <si>
    <t>Överflyttad</t>
  </si>
  <si>
    <t>avskr. / nedskr.</t>
  </si>
  <si>
    <t>Verks.bidr. (exkl. avskr.)</t>
  </si>
  <si>
    <t>Verks.bidr.</t>
  </si>
  <si>
    <t>Inkomstskatt</t>
  </si>
  <si>
    <t>Ink.skatt</t>
  </si>
  <si>
    <t>Samf.skatt</t>
  </si>
  <si>
    <t>SA, FM (basserv)- kompensering av 2015 års systemändring</t>
  </si>
  <si>
    <t>SA, FM (basserv)</t>
  </si>
  <si>
    <t>SA, FM (basserv)+förändringsbegr.+övergångsutjämning</t>
  </si>
  <si>
    <t>Övergångsutjämningens summa (egenvärde)</t>
  </si>
  <si>
    <t>Övergångsutjämningens summa</t>
  </si>
  <si>
    <t>Fastighetsskatt</t>
  </si>
  <si>
    <t>Investeringsutgifter (brutto)</t>
  </si>
  <si>
    <t>Finansieringsandelar till investeringsutgifter</t>
  </si>
  <si>
    <t xml:space="preserve">Investointihyödykkeiden luovutustulot (sis. myyntivoitot ja -tappiot) Investeringsnyttigheternas överlåtelseinkomster (inkl. förs.vinster/förluster) </t>
  </si>
  <si>
    <t> Social- och hälsovårds- och landskapsreformens konsekvenser på förändringen i kommunernas ekonomiska balansläge år 2019 (i 2016 års nivå)</t>
  </si>
  <si>
    <t>Källa: FM/KAO 1.12.2016</t>
  </si>
  <si>
    <t>1) Verksamhetbidragets ändring innehåller även de minskande beskattningskostnaderna, ca. 70 milj. euro på hela landets nivå.</t>
  </si>
  <si>
    <t xml:space="preserve">2) Balanslägets ändring (+6 €/inv.) beror på att landskapen deltar i finansieringen av den s.k. HYTE -koefficienten. </t>
  </si>
  <si>
    <t>knr</t>
  </si>
  <si>
    <t>Kommun</t>
  </si>
  <si>
    <t>Invånar-</t>
  </si>
  <si>
    <t>Inkomst-</t>
  </si>
  <si>
    <t>Nya</t>
  </si>
  <si>
    <t>Verksamhets-</t>
  </si>
  <si>
    <t>Skatte-</t>
  </si>
  <si>
    <t>därav:</t>
  </si>
  <si>
    <t>Balans-</t>
  </si>
  <si>
    <t>antal</t>
  </si>
  <si>
    <t>skatte-</t>
  </si>
  <si>
    <t>kommunens</t>
  </si>
  <si>
    <t>bidragets +</t>
  </si>
  <si>
    <t>finanans.</t>
  </si>
  <si>
    <t>Stats-</t>
  </si>
  <si>
    <t>lägets ändring</t>
  </si>
  <si>
    <t>ink.skatte-%</t>
  </si>
  <si>
    <t>avskrivningars</t>
  </si>
  <si>
    <t>ändring</t>
  </si>
  <si>
    <t>skattens</t>
  </si>
  <si>
    <t>andelarnas</t>
  </si>
  <si>
    <t>Bas-</t>
  </si>
  <si>
    <t>Ändrings-</t>
  </si>
  <si>
    <t>Övergångs-</t>
  </si>
  <si>
    <t>till det nuv.</t>
  </si>
  <si>
    <t>ändring 1)</t>
  </si>
  <si>
    <t>totalt</t>
  </si>
  <si>
    <t>servicens</t>
  </si>
  <si>
    <t>begräns.</t>
  </si>
  <si>
    <t>utjämn.</t>
  </si>
  <si>
    <t>år 2019</t>
  </si>
  <si>
    <t>skap</t>
  </si>
  <si>
    <t>storleks-</t>
  </si>
  <si>
    <t>nivå</t>
  </si>
  <si>
    <t>€/inv.</t>
  </si>
  <si>
    <t>statsand.</t>
  </si>
  <si>
    <t>kod</t>
  </si>
  <si>
    <t>De tidigare uppgifterna är övergångskalkyler som är publicerade på alueuudistus.fi -webbsidan.</t>
  </si>
  <si>
    <t>&gt;&gt; Efter detta är uppgifterna i enlighet med Statistikcentralens insamlade budgetstatistik och FM:s övergångskalkyler</t>
  </si>
  <si>
    <t>…från resultaträkningen</t>
  </si>
  <si>
    <t>Investeringsutgifterna för den överflyttade verksamheten försvinner</t>
  </si>
  <si>
    <t>Finansieringsandelarna för de överflyttade verksamheterna försvinner</t>
  </si>
  <si>
    <t>Eventuell försäljning av egendom (minus -poster ökar penningflödet år 2019)</t>
  </si>
  <si>
    <t>För avslutad verksamhet behövs inte upptas nya lån</t>
  </si>
  <si>
    <t xml:space="preserve">Testamenterat kapital avsedda för förverkligandet av sosial- och hälsovårdens uppgifter?  </t>
  </si>
  <si>
    <t xml:space="preserve">Överflyttade verksamhetens (hälsovårdens) förändrade omsättningstillgångar försvinner </t>
  </si>
  <si>
    <t xml:space="preserve">Låneskötselgraden beskriver inkomstfinansieringens tillräcklighet för kommunen/koncernen och för betalning av främmande kapitalets räntor och amoteringar </t>
  </si>
  <si>
    <t>Låneskötselförmågan kan anses vara god, om nyckeltalets värde överskrider 2</t>
  </si>
  <si>
    <t>Låneskötselförmågan kan anses vara tillfredsställande om nyckeltalets värde är 1-2</t>
  </si>
  <si>
    <t>De internt tillförda medlen räcker till för skötseln av lånen, om nyckeltalets värde är 1 eller större.</t>
  </si>
  <si>
    <t>Om nyckeltalets värde understiger 1, måste kommunen uppta nya lån, sälja egendom eller minska sina kassamedel för att klara av skötseln av det främmande kapitalet.</t>
  </si>
  <si>
    <t>= (Årsbidrag + Ränteutgifter) / (Ränteutgifter + Amorteringar på lån)</t>
  </si>
  <si>
    <t>(1000€), välj kommun fån resultaträkningen</t>
  </si>
  <si>
    <t>Kassaflödet i verksamheten</t>
  </si>
  <si>
    <t xml:space="preserve">  Årsbidrag</t>
  </si>
  <si>
    <t xml:space="preserve">  Extraordinära poster, netto</t>
  </si>
  <si>
    <t xml:space="preserve">  Korrektivposter till internt tillförda medel </t>
  </si>
  <si>
    <t>Kassaflödet för investeringarnas del</t>
  </si>
  <si>
    <t xml:space="preserve">  Investeringsutgifter</t>
  </si>
  <si>
    <t xml:space="preserve">  Finansieringsandelar för investeringsutgifter </t>
  </si>
  <si>
    <t xml:space="preserve">  Försäljningsinkomster av tillgångar bland bestående aktiva</t>
  </si>
  <si>
    <t>Verksamhetens och investeringarnas kassaflöde</t>
  </si>
  <si>
    <t xml:space="preserve">Kassaflödet för finansieringens del </t>
  </si>
  <si>
    <t>Förändringar i utlåningen</t>
  </si>
  <si>
    <t xml:space="preserve">    Ökning av utlåningen</t>
  </si>
  <si>
    <t xml:space="preserve">    Minskning av utlåningen</t>
  </si>
  <si>
    <t>Förändringar i lånebeståndet</t>
  </si>
  <si>
    <t xml:space="preserve">    Ökning av långfristiga lån</t>
  </si>
  <si>
    <t xml:space="preserve">    Minskning av långfristiga lån</t>
  </si>
  <si>
    <t xml:space="preserve">    Förändring av kortfristiga lån</t>
  </si>
  <si>
    <t>Förändringar i eget kapital</t>
  </si>
  <si>
    <t xml:space="preserve">Övriga förändringar av likviditeten </t>
  </si>
  <si>
    <t xml:space="preserve">    Förändring av förvaltade medel och förvaltat kapital</t>
  </si>
  <si>
    <t xml:space="preserve">    Förändring av omsättningstillgångar </t>
  </si>
  <si>
    <t xml:space="preserve">    Förändring av fordringar</t>
  </si>
  <si>
    <t xml:space="preserve">    Förändring av räntefria skulder </t>
  </si>
  <si>
    <t xml:space="preserve">
Förändring av likvida medel</t>
  </si>
  <si>
    <t>Låneskötselbidrag</t>
  </si>
  <si>
    <t>Inkomstfinansiering av investeringar, %</t>
  </si>
  <si>
    <t>sammanlagt</t>
  </si>
  <si>
    <t xml:space="preserve">överflyttas </t>
  </si>
  <si>
    <t>Kommunindelning år 2016</t>
  </si>
  <si>
    <t>Sammansl.</t>
  </si>
  <si>
    <t>Storl</t>
  </si>
  <si>
    <t xml:space="preserve"> Invånar-</t>
  </si>
  <si>
    <t>Resultaträkning</t>
  </si>
  <si>
    <t>FINANSIERINGSANALYS</t>
  </si>
  <si>
    <t>BALANSRÄKNING</t>
  </si>
  <si>
    <t>Resterande</t>
  </si>
  <si>
    <t>kommun totalt</t>
  </si>
  <si>
    <t>överflyttas</t>
  </si>
  <si>
    <t>Abs.ändring</t>
  </si>
  <si>
    <t>på svenska</t>
  </si>
  <si>
    <t>Verksamhetsinkomster totalt</t>
  </si>
  <si>
    <t>Försäljningsinkomster</t>
  </si>
  <si>
    <t>Avgiftsinkomster</t>
  </si>
  <si>
    <t>Stöd och bidrag</t>
  </si>
  <si>
    <t>Övriga verksamhetsinkomster</t>
  </si>
  <si>
    <t>Verksamhetsutgifter totalt</t>
  </si>
  <si>
    <t>Personalutgifter totalt</t>
  </si>
  <si>
    <t>Löner och arvoden</t>
  </si>
  <si>
    <t>Lönebikostnader</t>
  </si>
  <si>
    <t>Pensionskostnader</t>
  </si>
  <si>
    <t>Övriga lönebikostnader</t>
  </si>
  <si>
    <t>Köp av tjänster</t>
  </si>
  <si>
    <t>Material, förnödenheter och varor</t>
  </si>
  <si>
    <t>Understöd</t>
  </si>
  <si>
    <t>Övriga verksamhetsutgifter</t>
  </si>
  <si>
    <t>Verksamhetsbidrag</t>
  </si>
  <si>
    <t>Kommunens inkomstskatt</t>
  </si>
  <si>
    <t>Andel av samfundsskatten</t>
  </si>
  <si>
    <t>Övriga skatteinkomster (inkl. Fastighetsskatt)</t>
  </si>
  <si>
    <t>Ränteintäkter</t>
  </si>
  <si>
    <t>Övriga finansiella intäkter</t>
  </si>
  <si>
    <t>Räntekostnader</t>
  </si>
  <si>
    <t>Övriga finansiella kostnader</t>
  </si>
  <si>
    <t>Årsbidrag</t>
  </si>
  <si>
    <t>Planavskrivningar</t>
  </si>
  <si>
    <t>Nedskrivningar</t>
  </si>
  <si>
    <t>Extraordinära poster</t>
  </si>
  <si>
    <t>Räkenskapsperiodens resultat</t>
  </si>
  <si>
    <t>Räkenskapsperiodens överskott (underskott)</t>
  </si>
  <si>
    <t>Årsbidrag (finansieringsanalys)</t>
  </si>
  <si>
    <t>Extraordinära poster (finansieringsanalys)</t>
  </si>
  <si>
    <t xml:space="preserve">Korrektivposter till internt tillförda medel </t>
  </si>
  <si>
    <t>Investeringsutgifter</t>
  </si>
  <si>
    <t xml:space="preserve">Finansieringsandelar för investeringsutgifter </t>
  </si>
  <si>
    <t>Försäljningsinkomster av tillgångar bland bestående aktiva</t>
  </si>
  <si>
    <t>Ökning av utlåningen</t>
  </si>
  <si>
    <t>Minskning av utlåningen</t>
  </si>
  <si>
    <t>Ökning av långfristiga lån</t>
  </si>
  <si>
    <t>Minskning av långfristiga lån</t>
  </si>
  <si>
    <t>Förändring av kortfristiga lån +/-</t>
  </si>
  <si>
    <t>Förändringar i eget kapital +/-</t>
  </si>
  <si>
    <t>Förändring av förvaltade medel och förvaltat kapital</t>
  </si>
  <si>
    <t xml:space="preserve">Förändring av omsättningstillgångar </t>
  </si>
  <si>
    <t>Förändring av fordringar</t>
  </si>
  <si>
    <t xml:space="preserve">Förändring av räntefria skulder </t>
  </si>
  <si>
    <t>Kassaflödet 31.12</t>
  </si>
  <si>
    <t>Kassaflödet 1.1</t>
  </si>
  <si>
    <t xml:space="preserve">Bestående aktiva totalt </t>
  </si>
  <si>
    <t>Immateriella tillgångar totalt</t>
  </si>
  <si>
    <t>Immateriella rättigheter</t>
  </si>
  <si>
    <t>Övriga utgifter med lång verkningstid</t>
  </si>
  <si>
    <t>Förskottsbetalningar (i bestående aktiva)</t>
  </si>
  <si>
    <t>Materiella tillgångar totalt</t>
  </si>
  <si>
    <t>Mark- och vattenområden</t>
  </si>
  <si>
    <t>Byggnader</t>
  </si>
  <si>
    <t>Fasta konstruktioner och anordningar</t>
  </si>
  <si>
    <t>Maskiner och inventarier</t>
  </si>
  <si>
    <t>Övriga materiella tillgångar</t>
  </si>
  <si>
    <t xml:space="preserve"> Förskottsbetalningar och pågående nyanläggningar</t>
  </si>
  <si>
    <t>Placeringar totalt</t>
  </si>
  <si>
    <t>Aktier och andelar (i bestående aktiva)</t>
  </si>
  <si>
    <t>Samkommunsandelar</t>
  </si>
  <si>
    <t>Övriga aktier och andelar</t>
  </si>
  <si>
    <t>Masskuldebrevsfordringar totalt (i bestående aktiva)</t>
  </si>
  <si>
    <t>Övriga lånefordringar totalt ( i bestående aktiva)</t>
  </si>
  <si>
    <t>Övriga lånefordringar från staten ( i bestående aktiva)</t>
  </si>
  <si>
    <t>Övriga lånefordringar från kommunerna och samkommunerna ( i bestående aktiva)</t>
  </si>
  <si>
    <t>Övriga lånefordringar från övriga ( i bestående aktiva)</t>
  </si>
  <si>
    <t>Övriga fordringar  (i bestående aktiva)</t>
  </si>
  <si>
    <t>Förvaltade medel totalt</t>
  </si>
  <si>
    <t>Statliga uppdrag (bestående)</t>
  </si>
  <si>
    <t>Donationsfondernas medel</t>
  </si>
  <si>
    <t xml:space="preserve">Övriga förvaltade medel </t>
  </si>
  <si>
    <t>Rörliga aktiva totalt</t>
  </si>
  <si>
    <t>Omsättningstillgångar totalt</t>
  </si>
  <si>
    <t>Material och förnödenheter</t>
  </si>
  <si>
    <t>Varor under tillverkning</t>
  </si>
  <si>
    <t>Färdiga produkter</t>
  </si>
  <si>
    <t xml:space="preserve">Övriga omsättningstillgångar </t>
  </si>
  <si>
    <t>Förskottsbetalningar (i rörliga aktiva)</t>
  </si>
  <si>
    <t>Fordringar totalt</t>
  </si>
  <si>
    <t>Långfristiga fordringar totalt</t>
  </si>
  <si>
    <t>Långfristiga kundfordringar</t>
  </si>
  <si>
    <t>Långfristiga lånefordringar</t>
  </si>
  <si>
    <t>Långfristiga övriga fordringar</t>
  </si>
  <si>
    <t>Resultatregleringar</t>
  </si>
  <si>
    <t>Kortfristiga fordringar</t>
  </si>
  <si>
    <t>Kortfristiga kundfordringar</t>
  </si>
  <si>
    <t>Kortfristiga lånefordringar</t>
  </si>
  <si>
    <t>Kortfristiga övriga fordringar</t>
  </si>
  <si>
    <t>Kortfristiga resultatregleringar</t>
  </si>
  <si>
    <t>Finansiella värdepapper totalt</t>
  </si>
  <si>
    <t>Aktier och andelar (i finansiella värdepapper)</t>
  </si>
  <si>
    <t>Placeringar i penningmarknadsinstrument totalt</t>
  </si>
  <si>
    <t>Masskuldebrevsfordringar totalt (i finansiella värdepapper)</t>
  </si>
  <si>
    <t>Övriga värdepapper totalt (i finansiella värdepapper)</t>
  </si>
  <si>
    <t>Kassa och bank</t>
  </si>
  <si>
    <t>Aktiva totalt</t>
  </si>
  <si>
    <t>Eget kapital totalt</t>
  </si>
  <si>
    <t>Grundkapital</t>
  </si>
  <si>
    <t>Uppskrivningsfond</t>
  </si>
  <si>
    <t>Övriga egna fonder</t>
  </si>
  <si>
    <t>Överskott (underskott) från tidigare räkenskapsper.</t>
  </si>
  <si>
    <t>Avskrivningsdifferens och frivilliga reserver totalt</t>
  </si>
  <si>
    <t>Avskrivningsdifferens</t>
  </si>
  <si>
    <t>Frivilliga avsättningar</t>
  </si>
  <si>
    <t>Obligatoriska avsättningar</t>
  </si>
  <si>
    <t>Avsättningar för pensioner</t>
  </si>
  <si>
    <t>Övriga obligatoriska avsättningar</t>
  </si>
  <si>
    <t>Förvaltade medel och förvaltat kapital totalt</t>
  </si>
  <si>
    <t xml:space="preserve">Statliga uppdrag </t>
  </si>
  <si>
    <t>Donationsfondernas kapital</t>
  </si>
  <si>
    <t>Övriga förvaltade medel</t>
  </si>
  <si>
    <t>Främmande kapital totalt</t>
  </si>
  <si>
    <t>Långfristigt främmande kapital totalt</t>
  </si>
  <si>
    <t>Långfristiga masskuldebrevslån</t>
  </si>
  <si>
    <t>Långfristiga lån från finansierings- och försäkrningsinstitut</t>
  </si>
  <si>
    <t>Långfristiga lån från inhemska deponeringsbanker</t>
  </si>
  <si>
    <t>Långfristiga lån från Kommunfinans Ab</t>
  </si>
  <si>
    <t>Långfristiga lån från övriga inhemska finansierings- och försäkringsinstitut</t>
  </si>
  <si>
    <t>Långfristiga lån från utländska finansierings- och försäkringsinstitut</t>
  </si>
  <si>
    <t>Långfristiga lån från offentliga samfund totalt</t>
  </si>
  <si>
    <t>Långfristiga lån från övriga kreditgivare totalt</t>
  </si>
  <si>
    <t>Långfristiga erhållna förskott</t>
  </si>
  <si>
    <t>Långfristiga leverantörsskulder</t>
  </si>
  <si>
    <t>Långfristiga anslutningsavgifter och och övriga skulder totalt</t>
  </si>
  <si>
    <t>Långfristiga anslutningsavgifter och lån till staten</t>
  </si>
  <si>
    <t>Långfristiga resultatregleringar</t>
  </si>
  <si>
    <t>Kortfristigt främmande kapital totalt</t>
  </si>
  <si>
    <t>Kortfristiga masskuldebrevslån</t>
  </si>
  <si>
    <t>Kortfristiga lån från finansierings- och försäkrningsinstitut</t>
  </si>
  <si>
    <t>Kortfristiga lån från inhemska deponeringsbanker</t>
  </si>
  <si>
    <t>Kortfristiga lån från Kommunfinans Ab</t>
  </si>
  <si>
    <t>Kortfristiga lån från övriga inhemska finansierings- och försäkringsinstitut</t>
  </si>
  <si>
    <t>Kortfristiga lån från utländska finansierings- och försäkringsinstitut</t>
  </si>
  <si>
    <t>Kortfristiga lån från offentliga samfund totalt</t>
  </si>
  <si>
    <t>Kortfristiga lån från övriga kreditgivare totalt</t>
  </si>
  <si>
    <t>Kortfristiga erhållna förskott</t>
  </si>
  <si>
    <t>Kortfristiga leverantörsskulder</t>
  </si>
  <si>
    <t>Kortfristiga anslutningsavgifter och och övriga skulder totalt</t>
  </si>
  <si>
    <t>Passiva sammanlagt</t>
  </si>
  <si>
    <t>Borgen för samfund som hör till samma koncern: Resterande kapital</t>
  </si>
  <si>
    <t>Borgen för övriga: Resterande kapital</t>
  </si>
  <si>
    <t>Verksamhetsinkomster + överföringsinkomster</t>
  </si>
  <si>
    <t>Verksamhetsutgifter (Verksamhetsbidraget)</t>
  </si>
  <si>
    <t xml:space="preserve">Verksamhetsbidrag (utan avskrivningar) </t>
  </si>
  <si>
    <t xml:space="preserve">Verksamhetsbidrag </t>
  </si>
  <si>
    <t>Avgifter</t>
  </si>
  <si>
    <t>Statistikår:</t>
  </si>
  <si>
    <t>Hela landet, exkl. Åland</t>
  </si>
  <si>
    <t>Budgetprognos 2017</t>
  </si>
  <si>
    <t>Bokslut 2015</t>
  </si>
  <si>
    <t>Verksamhetsinkomster för samarbetsverksamhet inom social- och hälsovården, räddningsväsendet samt värdkommunen försvinner.</t>
  </si>
  <si>
    <t>Social- och hälsovårdens klientavgifter försvinner.</t>
  </si>
  <si>
    <t>De överflyttade uppgifternas stöd och bidrag försvinner, t.ex. statsbidraget för det grundläggande utkomsstödet som bokförst bland verksamhetsinkomsterna.</t>
  </si>
  <si>
    <t>Ifall kommunen har centraliserad lokalcentral (t.ex. lokalitetsaffärsverk) överflyttas  interna hyrorna i samma stolek som de överflyttade uppgifterna och motsvarandevis ökar de externa hyrorna som landskapet betalar. Landskapet hyr fastigheterna på en övergångsperiod på 3 år (option +1 år) ifall kommunen eller landskapet inte kommer överrens om annat.</t>
  </si>
  <si>
    <t>Social- och hälsovårdens, räddningsväsendets samt värdkommunernas verksamhetsutgifter för gemensam verksamhet försvinner. Skolpsykolog och -kuratorsverksamheten förblir i kommunerna.</t>
  </si>
  <si>
    <t>För värdkommunen minskar egna produktionens och köpens utgifter, för avtalskommunerna minskar i regel endast köpen.</t>
  </si>
  <si>
    <t xml:space="preserve">Lönerna inom social- och hälsovården samt räddningsväsendet försvinner. Det samma gäller även för andelen för de centralt ordnade stödtjänsterna (t.ex.  stödtjänster som ekonomiadministration). OBS! Finansministeriets kalkyler utgår ifrån att de överförda uppgifterna även innehåller överförda interna utgifter. Exempelvis från ekonomiadministrationens personalutgifter, ifall kommunen ordnar denna stödtjänst centralt som egen produktion.
</t>
  </si>
  <si>
    <t xml:space="preserve">Lönebikostnaderna inom social- och hälsovården samt räddningsväsendet försvinner, det samma gäller alltså också för  löner och arvoden. </t>
  </si>
  <si>
    <t xml:space="preserve">Social- och hälsovårdens samt räddningsväsendets köp försvinner; eventuell återbetalning av samkommunens överskott (ifall användandet av tjänsten står som fördelningsgrund), dessa ska bokföras senast 2018. Köp som hänför sig till underhållandet och skötseln av social- och hälsovårdens och räddningsväsendets fastigheter förblir, ifall kommunerna äger fastigheterna. Beskattningskostnaderna minskar sammanlagt med ca. 70 miljoner euro på hela landets nivå. Beskattningskostnaderna halveras (ungefär) även på kommunnivå.  De interna köpen för de överflyttade uppgifterna försvinner, för den externa resultaträkningens del motsvarar produktionskostnaderna dessa köp som försvinner, ifall resurserna inte riktas på annan verksamhet. </t>
  </si>
  <si>
    <t>Social- och hälsovårdens samt räddningsväsendets köp försvinner.</t>
  </si>
  <si>
    <t>Statsunderstöd som hänförs till social- och hälsovården. Arbetsmarknadsstödet förblir i kommunen, men det grundläggande utkomststödet samt det kompletterande och förebyggande utkomststödet har borttagits från kommunernas verksamhet vid detta skede. Täckandet av underskott för social- och hälsovårdens samkommun (ifall fördelningsgrunden är grundkapitalet) bokförs senast år 2018.</t>
  </si>
  <si>
    <t xml:space="preserve">Lokalitetshyror som kommunen har hyrt för social- och hälsovården samt räddningsväsendet samt leasinghyror för maskiner, utrustning och bilar försvinner (avtalet överflyttas till landskapet). Till landskapet överflyttas dock inte sådana avtal gällande  lokaler som kommunen har avsett att lösa in efter att hyresavtalet löpt ut, ifall kommunen och landskapet inte avtalat annorlunda. </t>
  </si>
  <si>
    <t>Verksamhetsbidragets ändring har tagits direkt från FM:s kalkyler.</t>
  </si>
  <si>
    <t>Det bör beaktas att det FM:s kalkyler är fråga om kommunalskatt som ska betalas i 2016 års nivå. I denna kalkyl är utgångsläget bokslutsuppgifterna och förändringen är härledd från FM:s kalkyler. Av denna orsak skiljer sig skatterna som förblir i kommunen från FM:s kalkyler.</t>
  </si>
  <si>
    <t>Reformen orsakar inga förändringar i fastighetsskatten.</t>
  </si>
  <si>
    <t>-12,47 % -enheter (kalkyler i februari 2017) av kommunens inkomstskatt försvinner (skattesatsens belopp uppdateras alltid då kalkylerna uppdateras). Ifall skatteinkomsterna ändras, förväntas även ändringar i statsandelarna (övergångsutjämningen ändras).  BU 2017 skatteinkomster har hämtats från FM:s övergångskalkyler, de baserar sig med andra ord inte på den kommunvisa budgetprognosen.</t>
  </si>
  <si>
    <t>För vissa kommuner är de överflyttade statsandelarna större än i BS 2015. Då ska man uppdatera den gamla kommunens statsandelar enligt nivån för BS 2016. För vissa kommuner är de överflyttade statsandelarna negativ och då handlar det om ett specialfall där kommunen statsandelar  ökar till en följd av övergångsutjämningen. Uppgifterna för BU 2017 är hämtade från FM:s övergångskalkyler, med andra ord baserar dom sig inte på kommunens budget.</t>
  </si>
  <si>
    <t>Reformen orsakar inga förändringar.</t>
  </si>
  <si>
    <t xml:space="preserve">Grundkapitalets ränteinkomster försvinner för sjukvårdsdistriktens del. </t>
  </si>
  <si>
    <t>Fastigheternas avskrivningar syns till största delen av kommunerna i den centrala fastighetsadministrationen som inte är en del av social- och hälsovården. Fastigheterna förblir i kommunernas ägo och därmed sker det inga märkbara förändringar i dessa avskrivningar. Ekonomi- och verksamhetsstatistiken fungerar som källa för avskrivningsuppgifterna enligt uppgiftsklassificeringen. Kommunerna har möjligtvis anmält avskrivningar för sin sote -utrustning bland den centrala fastighetsadministrationen, som i sin tur minskar de överflyttade avskrivningarna. Ifall sote-utrustningens avskrivningar är en del av den centrala fastighetsadministrationen och en del intern hyra, syns utgiften trots allt bland verksamhetsutgifterna, men inte på avskrivningsraden. Användaren kan vid behov precisera avskrivningsuppgifterna. För sote som skötts via entreprenad orsakar inte heller några avskrivningar.</t>
  </si>
  <si>
    <t>Tomma fastigheter inom social- och hälsovården samt räddningsväsendet ska nedskrivas från bokföringen, ifall man inte inom senast tre år har användning av dessa.</t>
  </si>
  <si>
    <t>Avskrivningsdifferensen för den överflyttade verksamhetens lösegendom skall upplösas.</t>
  </si>
  <si>
    <t>Den överflyttade verksamhetens reserveringar ska upplösas</t>
  </si>
  <si>
    <t>Dividender som erhållts i samband med aktieinnehav i social- och hälsovårdsbolag försvinner; möjlig återbetalning av överskott från social- och hälsovårdens samkommuner (ifall utdelningsgrunden är grundkapitalandelarnas förhållande) - ska bokföras 2018.</t>
  </si>
  <si>
    <t>Primärhälsovårdens, specialiserade sjukvårdens, socialverksamhetens och räddningsväsendets immateriella rättigheter och lov som är i användning överflyttas till landskapet.</t>
  </si>
  <si>
    <t>Avtalskommunerna i lagstadgade samkommuner och landskapet kan avtala om att en del av samkommunens markegendom förblir hos avtalskommunerna. Det är möjligt att göra tillägg i kommunens markegendom i balansräknigens bestående aktiva, ifall kommunen t.ex. måste inlösa annan avtalskommuns markområdes andelar som finns inom den egna kommunens gränser.</t>
  </si>
  <si>
    <t>Social- och hälsovårdens och räddningsväsendets fastigheter utan användningsändamål ska nedskrivas inom tre år. Till landskapet överförs inte sådana avtal gällande lokaler, där kommunen har förbundit sig att lösa in lokalen då avtalsperioden löpt ut, ifall inte landskapet och kommunen avtalat annnorlunda.</t>
  </si>
  <si>
    <t>Primärhälsovårdens, specialsjukvårdens, socialverksamhetens och räddningsväsendets lösegendom som är i bruk överflyttas. Till landskapet överflyttas inte sådan lösegendom eller aktier som kommunen använder för verksamhet enligt Lag om företagshälsovård. Kommunen och landskapet kan även avtala om lösegendomen på annat sätt än som nämns i lagförslaget.</t>
  </si>
  <si>
    <t>Primärhälsovårdens, specialsjukvårdens, socialverksamhetens och räddningsväsendets lösegendom som är i bruk överflyttas till landskapet.</t>
  </si>
  <si>
    <t>Sjukvårdsdistriktens, specialsjukvårdsdistriktens och landskapsförbundens samkommunsandelar försvinner (obs. Ifall det har funnits annan än lagstadgad uppgift, så måste detta ordnas på nytt). Bokförs mot grundkapitalet.</t>
  </si>
  <si>
    <t>Kommunens aktieinehav i sådana aktiebolag som kommunen äger äger i avseende att ordna eller producera social- och hälsovårdstjänster, där huvudsakliga verksamheten är producerandet av social- och hälsovårdstjänster, är kommunens dottersamfund, partnersamfund, intressesamfund eller där kommunernas sammanlagda ägarandel bildar detta avsedd ägarandel och där kommunen 2019 har avtal gällande social- och hälsovårdstjänster - försvinner. Nedskrivningen bokförs mot grundkapitalet. Till landskapet överflyttas inte sådan egendom eller aktier som kommunen äger i avsikt att fylla förpliktelserna enligt Lag om företagshälsovård.</t>
  </si>
  <si>
    <t>Testamenetens innehåll och bestämmelser ska beaktas, hur dessa behandlas, ifall de har samband med den överflyttade verksamheten.</t>
  </si>
  <si>
    <t xml:space="preserve">Primärhälsovårdens, specialiserade sjukvårdens, socialverksamhetens och räddningsväsendets lösegendom som är i användning (lager för sjukhusutrustning) överflyttas. </t>
  </si>
  <si>
    <t>Fordringar som har samband med den överflyttade verksamheten kommer inte att öka.</t>
  </si>
  <si>
    <t>(De överflyttade aktierna är bland bestående aktiva).</t>
  </si>
  <si>
    <t>Minskar i samma storlek som den överflyttade egendomen (samkommunsandelar, lösegendom).</t>
  </si>
  <si>
    <t>Ifall det har funnits värdeökningar i aktier eller andelar, måste dessa upplösas.</t>
  </si>
  <si>
    <t>Effekt via resultaträkningen.</t>
  </si>
  <si>
    <t>Avskrivningsdifferens som har samband med den överflyttade verksamhetens lösegendom ska upplösas.</t>
  </si>
  <si>
    <t>Frivilliga reserver som har samband med den överflyttade verksamheten ska upplösas.</t>
  </si>
  <si>
    <t>Medlemskommunens andel av samkommunens underskott har troligtvis beaktats redan tidigare, dvs. de borde inte längre finnas bland avsättningarna.</t>
  </si>
  <si>
    <t>Testamentens innehåll och bestämmelser ska beaktas. Hur ska dessa behandlas ifall de har samband med den överflyttade verksamheten?</t>
  </si>
  <si>
    <t>Kommunernas lån överflyttas inte.</t>
  </si>
  <si>
    <t>Leverantörsskulder som har samband med överflyttad verksamhet kommer inte att öka.</t>
  </si>
  <si>
    <t>Resultatregleringar som har samband med överflyttad verksamhet kommer inte att öka.</t>
  </si>
  <si>
    <t>= 100 * (Eget kapital + Avskrivningsdifferens och avsättningar) / (Hela kapitalet - Erhållna förskott)</t>
  </si>
  <si>
    <t>= Främmande kapital - (Erhållna förskott + Leverantörsskulder + Anslutningsavgifter + Övriga skulder)</t>
  </si>
  <si>
    <t>= 100 * (Främmande kapital - Erhållna förskott) / Verksamhetsinkomster</t>
  </si>
  <si>
    <t>Kommunens balansräkning 31.12.2015</t>
  </si>
  <si>
    <t>Källa: Statistikcentralen 4.11.2015</t>
  </si>
  <si>
    <t>(1000 €), välj kommun från resultaträkningen</t>
  </si>
  <si>
    <t>AKTIVA:</t>
  </si>
  <si>
    <t>Kommun 2015</t>
  </si>
  <si>
    <t>Kommun 2019</t>
  </si>
  <si>
    <t>BESTÅENDE AKTIVA</t>
  </si>
  <si>
    <t xml:space="preserve">  Immateriella tillgångar</t>
  </si>
  <si>
    <t xml:space="preserve">    Immateriella rättigheter</t>
  </si>
  <si>
    <t xml:space="preserve">    Övriga utgifter med lång verkningstid</t>
  </si>
  <si>
    <t xml:space="preserve">    Förskottsbetalningar</t>
  </si>
  <si>
    <t xml:space="preserve">  Materiella tillgångar</t>
  </si>
  <si>
    <t xml:space="preserve">    Mark- och vattenområden</t>
  </si>
  <si>
    <t xml:space="preserve">    Byggnader</t>
  </si>
  <si>
    <t xml:space="preserve">    Fasta konstruktioner och anordningar</t>
  </si>
  <si>
    <t xml:space="preserve">    Maskiner och inventarier</t>
  </si>
  <si>
    <t xml:space="preserve">    Övriga materiella tillgångar</t>
  </si>
  <si>
    <t xml:space="preserve">    Förskottsbetalningar och pågående nyanläggningar</t>
  </si>
  <si>
    <t>Placeringar</t>
  </si>
  <si>
    <t xml:space="preserve">    Aktier och andelar</t>
  </si>
  <si>
    <t xml:space="preserve">        Samkommunsandelar</t>
  </si>
  <si>
    <t xml:space="preserve">        Övriga aktier och andelar</t>
  </si>
  <si>
    <t xml:space="preserve">    Masskuldebrevsfordringar</t>
  </si>
  <si>
    <t xml:space="preserve">    Övriga lånefordringar </t>
  </si>
  <si>
    <t xml:space="preserve">    Övriga fordringar </t>
  </si>
  <si>
    <t>FÖRVALTADE MEDEL</t>
  </si>
  <si>
    <t xml:space="preserve">  Statliga uppdrag</t>
  </si>
  <si>
    <t xml:space="preserve">  Donationsfondernas medel</t>
  </si>
  <si>
    <t xml:space="preserve">  Övriga förvaltade medel </t>
  </si>
  <si>
    <t>RÖRLIGA AKTIVA</t>
  </si>
  <si>
    <t xml:space="preserve">  Omsättningstillgångar</t>
  </si>
  <si>
    <t xml:space="preserve">    Material och förnödenheter</t>
  </si>
  <si>
    <t xml:space="preserve">    Varor under tillverkning</t>
  </si>
  <si>
    <t xml:space="preserve">    Färdiga produkter</t>
  </si>
  <si>
    <t xml:space="preserve">    Övriga omsättningstillgångar </t>
  </si>
  <si>
    <t xml:space="preserve">  Fordringar</t>
  </si>
  <si>
    <t xml:space="preserve">    Långfristiga fordringar</t>
  </si>
  <si>
    <t xml:space="preserve">      Kundfordringar</t>
  </si>
  <si>
    <t xml:space="preserve">      Lånefordringar</t>
  </si>
  <si>
    <t xml:space="preserve">      Övriga fordringar</t>
  </si>
  <si>
    <t xml:space="preserve">      Resultatregleringar</t>
  </si>
  <si>
    <t xml:space="preserve">    Kortfristiga fordringar</t>
  </si>
  <si>
    <t xml:space="preserve">  Finansiella värdepapper</t>
  </si>
  <si>
    <t xml:space="preserve">    Placeringar i penningmarknadsinstrument</t>
  </si>
  <si>
    <t xml:space="preserve">    Övriga värdepapper</t>
  </si>
  <si>
    <t xml:space="preserve">  Kassa och bank</t>
  </si>
  <si>
    <t>AKTIVA TOTALT</t>
  </si>
  <si>
    <t>PASSIVA:</t>
  </si>
  <si>
    <t>EGET KAPITAL</t>
  </si>
  <si>
    <t xml:space="preserve">  Grundkapital</t>
  </si>
  <si>
    <t xml:space="preserve">  Uppskrivningsfond</t>
  </si>
  <si>
    <t xml:space="preserve">  Övriga egna fonder</t>
  </si>
  <si>
    <t xml:space="preserve">  Överskott (underskott) från tidigare räkenskapsper.</t>
  </si>
  <si>
    <t xml:space="preserve">  Räkenskapsperiodens överskott (underskott)</t>
  </si>
  <si>
    <t>AVSKRIVNINGSDIFFERENS OCH RESERVER</t>
  </si>
  <si>
    <t xml:space="preserve">  Avskrivningsdifferens</t>
  </si>
  <si>
    <t xml:space="preserve">  Reserver</t>
  </si>
  <si>
    <t>AVSÄTTNINGAR</t>
  </si>
  <si>
    <t xml:space="preserve">  Avsättningar för pensioner</t>
  </si>
  <si>
    <t xml:space="preserve">  Övriga avsättningar</t>
  </si>
  <si>
    <t>FÖRVALTAT KAPITAL</t>
  </si>
  <si>
    <t xml:space="preserve">  Donationsfondernas kapital</t>
  </si>
  <si>
    <t xml:space="preserve">  Övrigt förvaltat kapital</t>
  </si>
  <si>
    <t>FRÄMMANDE KAPITAL</t>
  </si>
  <si>
    <t xml:space="preserve">  Långfristigt</t>
  </si>
  <si>
    <t xml:space="preserve">    Masskuldebrevslån</t>
  </si>
  <si>
    <t xml:space="preserve">    Lån från finansiella inst. och försäkringsanst.</t>
  </si>
  <si>
    <t xml:space="preserve">    Lån från offentliga samfund</t>
  </si>
  <si>
    <t xml:space="preserve">    Lån från övriga kreditgivare</t>
  </si>
  <si>
    <t xml:space="preserve">    Erhållna förskott</t>
  </si>
  <si>
    <t xml:space="preserve">    Leverantörsskulder</t>
  </si>
  <si>
    <t xml:space="preserve">    Anslutningsavgifter och övriga skulder</t>
  </si>
  <si>
    <t xml:space="preserve">    Resultatregleringar</t>
  </si>
  <si>
    <t xml:space="preserve">  Kortfristigt</t>
  </si>
  <si>
    <t>PASSIVA TOTALT</t>
  </si>
  <si>
    <t>Soliditetsgrad, %</t>
  </si>
  <si>
    <t xml:space="preserve">Likvida medel: </t>
  </si>
  <si>
    <t xml:space="preserve">                  1000  euro</t>
  </si>
  <si>
    <t xml:space="preserve">                  euro/invånare</t>
  </si>
  <si>
    <t xml:space="preserve">Lånestock: </t>
  </si>
  <si>
    <t>Relativ skuldsättningsgrad, %</t>
  </si>
  <si>
    <r>
      <t xml:space="preserve">Som grunduppgifter kan man antingen välja uppgifter i enlighet med BS15 (bokslutet 2015) eller BU17 (budgetprognosen 2017). En del av uppgifterna hämtade från FM:s övergångskalkyler som ändras ifall man använder uppgifter från BS15 eller BU17. I FM:s övergångskalkyler är uppgifterna för BS15 kalkylmässigt förhöjts till 2016 års nivå. De baserar sig trots allt på 2015 års uppgifter och därmed är skillnaden inte märkbar! För 2017 års budgetprognosernas del är alla uppgifter i samma års nivå. Utgångsläget är att bokslutsuppgifterna är mera tillförlitliga än budgetuppgifterna, men beskriver sämre det rådande läget. </t>
    </r>
    <r>
      <rPr>
        <b/>
        <sz val="9"/>
        <rFont val="Arial"/>
        <family val="2"/>
      </rPr>
      <t xml:space="preserve">OBS! Uppgifter för verksamhetsinkomsterna och -utgifterna syns inte då man väljer Budgetuppgifter 2017.  </t>
    </r>
  </si>
  <si>
    <t>Totalt</t>
  </si>
  <si>
    <t>NY KOMMUN</t>
  </si>
  <si>
    <t>GAMMAL KOMMUN</t>
  </si>
  <si>
    <t>Finansieringsandelar</t>
  </si>
  <si>
    <t>Inkomststruktur i 2017 års nivå</t>
  </si>
  <si>
    <t>Övergångsutjämning</t>
  </si>
  <si>
    <t xml:space="preserve">Kommunens inkomststruktur i 2017 års nivå och då </t>
  </si>
  <si>
    <t>reformen träder i kraft år 2019</t>
  </si>
  <si>
    <t>Kommunalskatten sänks med 12,47 % -enheter och samfundsskatten med ca. 500 miljoner euro</t>
  </si>
  <si>
    <t>i hela landets nivå. Fastighetsskatten förblir oförändrad. Till statsandelarna räknas både FM:s och</t>
  </si>
  <si>
    <t>utjämninen enligt uppskattningen i e/inv. år 2019 och kommunens befolkningsantal 31.12.2015</t>
  </si>
  <si>
    <t>UKM:s statsandelar. För nivån  år 2019 finns även utjämningsbegränsaren medräknad. Övergångs-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</si>
</sst>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_);\(#,##0\)"/>
    <numFmt numFmtId="167" formatCode="#,##0_ ;[Red]\-#,##0\ "/>
    <numFmt numFmtId="168" formatCode="#,##0.00_ ;[Red]\-#,##0.00\ "/>
    <numFmt numFmtId="169" formatCode="0.00_ ;[Red]\-0.00\ "/>
    <numFmt numFmtId="170" formatCode="0;0;"/>
    <numFmt numFmtId="171" formatCode="0.0000"/>
  </numFmts>
  <fonts count="57" x14ac:knownFonts="1">
    <font>
      <sz val="10"/>
      <name val="Arial"/>
    </font>
    <font>
      <sz val="11"/>
      <color theme="1"/>
      <name val="Calibri"/>
      <family val="2"/>
      <scheme val="minor"/>
    </font>
    <font>
      <sz val="11"/>
      <color theme="1"/>
      <name val="Calibri"/>
      <family val="2"/>
      <scheme val="minor"/>
    </font>
    <font>
      <b/>
      <sz val="10"/>
      <name val="Arial"/>
      <family val="2"/>
    </font>
    <font>
      <sz val="9"/>
      <name val="Arial"/>
      <family val="2"/>
    </font>
    <font>
      <sz val="8"/>
      <name val="Arial"/>
      <family val="2"/>
    </font>
    <font>
      <sz val="10"/>
      <name val="Arial"/>
      <family val="2"/>
    </font>
    <font>
      <sz val="9"/>
      <color theme="1"/>
      <name val="Arial"/>
      <family val="2"/>
    </font>
    <font>
      <sz val="10"/>
      <color theme="1"/>
      <name val="Arial"/>
      <family val="2"/>
    </font>
    <font>
      <b/>
      <sz val="14"/>
      <color theme="1"/>
      <name val="Arial"/>
      <family val="2"/>
    </font>
    <font>
      <b/>
      <sz val="10"/>
      <color theme="1"/>
      <name val="Arial"/>
      <family val="2"/>
    </font>
    <font>
      <b/>
      <sz val="9"/>
      <color theme="9" tint="-0.499984740745262"/>
      <name val="Arial"/>
      <family val="2"/>
    </font>
    <font>
      <sz val="8"/>
      <name val="Arial Narrow"/>
      <family val="2"/>
    </font>
    <font>
      <sz val="10"/>
      <name val="Arial Narrow"/>
      <family val="2"/>
    </font>
    <font>
      <b/>
      <sz val="14"/>
      <name val="Arial"/>
      <family val="2"/>
    </font>
    <font>
      <b/>
      <sz val="12"/>
      <name val="Arial"/>
      <family val="2"/>
    </font>
    <font>
      <sz val="9"/>
      <color indexed="8"/>
      <name val="Arial"/>
      <family val="2"/>
    </font>
    <font>
      <sz val="8"/>
      <color indexed="8"/>
      <name val="Arial"/>
      <family val="2"/>
    </font>
    <font>
      <b/>
      <sz val="9"/>
      <color indexed="8"/>
      <name val="Arial"/>
      <family val="2"/>
    </font>
    <font>
      <b/>
      <sz val="9"/>
      <color theme="1"/>
      <name val="Arial"/>
      <family val="2"/>
    </font>
    <font>
      <sz val="8"/>
      <color theme="1"/>
      <name val="Arial"/>
      <family val="2"/>
    </font>
    <font>
      <b/>
      <sz val="9"/>
      <color indexed="10"/>
      <name val="Arial"/>
      <family val="2"/>
    </font>
    <font>
      <sz val="10"/>
      <name val="Helv"/>
    </font>
    <font>
      <b/>
      <sz val="9"/>
      <color rgb="FF000000"/>
      <name val="Arial"/>
      <family val="2"/>
    </font>
    <font>
      <b/>
      <sz val="9"/>
      <name val="Arial"/>
      <family val="2"/>
    </font>
    <font>
      <sz val="10"/>
      <color theme="1"/>
      <name val="Verdana"/>
      <family val="2"/>
    </font>
    <font>
      <sz val="9"/>
      <color rgb="FFFF0000"/>
      <name val="Arial"/>
      <family val="2"/>
    </font>
    <font>
      <sz val="10"/>
      <color rgb="FFFF0000"/>
      <name val="Arial"/>
      <family val="2"/>
    </font>
    <font>
      <b/>
      <sz val="10"/>
      <color rgb="FFFF0000"/>
      <name val="Arial"/>
      <family val="2"/>
    </font>
    <font>
      <b/>
      <sz val="11"/>
      <color theme="1"/>
      <name val="Calibri"/>
      <family val="2"/>
      <scheme val="minor"/>
    </font>
    <font>
      <sz val="10"/>
      <color indexed="8"/>
      <name val="Arial"/>
      <family val="2"/>
    </font>
    <font>
      <i/>
      <sz val="10"/>
      <color theme="0" tint="-0.499984740745262"/>
      <name val="Arial"/>
      <family val="2"/>
    </font>
    <font>
      <i/>
      <sz val="10"/>
      <color theme="1"/>
      <name val="Arial"/>
      <family val="2"/>
    </font>
    <font>
      <i/>
      <sz val="10"/>
      <name val="Arial"/>
      <family val="2"/>
    </font>
    <font>
      <b/>
      <i/>
      <sz val="10"/>
      <color rgb="FFFF0000"/>
      <name val="Arial"/>
      <family val="2"/>
    </font>
    <font>
      <b/>
      <sz val="9"/>
      <color rgb="FF00B050"/>
      <name val="Arial"/>
      <family val="2"/>
    </font>
    <font>
      <i/>
      <sz val="10"/>
      <name val="Arial Narrow"/>
      <family val="2"/>
    </font>
    <font>
      <sz val="11"/>
      <name val="Calibri"/>
      <family val="2"/>
    </font>
    <font>
      <sz val="9"/>
      <color theme="1"/>
      <name val="Calibri"/>
      <family val="2"/>
    </font>
    <font>
      <b/>
      <sz val="8"/>
      <color theme="1"/>
      <name val="Arial"/>
      <family val="2"/>
    </font>
    <font>
      <b/>
      <sz val="11"/>
      <color rgb="FFFF0000"/>
      <name val="Arial"/>
      <family val="2"/>
    </font>
    <font>
      <b/>
      <sz val="11"/>
      <color theme="1"/>
      <name val="Arial"/>
      <family val="2"/>
    </font>
    <font>
      <b/>
      <sz val="18"/>
      <color rgb="FFFF0000"/>
      <name val="Arial"/>
      <family val="2"/>
    </font>
    <font>
      <b/>
      <u/>
      <sz val="8"/>
      <color theme="1"/>
      <name val="Arial"/>
      <family val="2"/>
    </font>
    <font>
      <u/>
      <sz val="9"/>
      <color theme="1"/>
      <name val="Arial"/>
      <family val="2"/>
    </font>
    <font>
      <b/>
      <sz val="8"/>
      <color rgb="FFFF0000"/>
      <name val="Arial"/>
      <family val="2"/>
    </font>
    <font>
      <b/>
      <sz val="9"/>
      <color rgb="FFFF0000"/>
      <name val="Arial"/>
      <family val="2"/>
    </font>
    <font>
      <sz val="8"/>
      <color rgb="FFFF0000"/>
      <name val="Arial"/>
      <family val="2"/>
    </font>
    <font>
      <u/>
      <sz val="8"/>
      <color theme="1"/>
      <name val="Arial"/>
      <family val="2"/>
    </font>
    <font>
      <b/>
      <u/>
      <sz val="10"/>
      <name val="Arial"/>
      <family val="2"/>
    </font>
    <font>
      <u/>
      <sz val="8"/>
      <color rgb="FFFF0000"/>
      <name val="Arial"/>
      <family val="2"/>
    </font>
    <font>
      <b/>
      <u/>
      <sz val="10"/>
      <color theme="1"/>
      <name val="Arial"/>
      <family val="2"/>
    </font>
    <font>
      <b/>
      <sz val="8"/>
      <name val="Arial"/>
      <family val="2"/>
    </font>
    <font>
      <b/>
      <sz val="8"/>
      <color rgb="FF00B050"/>
      <name val="Arial"/>
      <family val="2"/>
    </font>
    <font>
      <sz val="10"/>
      <color rgb="FF2F2F2F"/>
      <name val="Segoe UI"/>
      <family val="2"/>
    </font>
    <font>
      <b/>
      <sz val="16"/>
      <name val="Arial"/>
      <family val="2"/>
    </font>
    <font>
      <b/>
      <i/>
      <sz val="10"/>
      <color theme="1"/>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rgb="FFFFA07A"/>
        <bgColor rgb="FFFFA07A"/>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00"/>
        <bgColor rgb="FFFFA07A"/>
      </patternFill>
    </fill>
    <fill>
      <patternFill patternType="solid">
        <fgColor rgb="FFEBE657"/>
        <bgColor indexed="64"/>
      </patternFill>
    </fill>
    <fill>
      <patternFill patternType="solid">
        <fgColor theme="3" tint="0.79998168889431442"/>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hair">
        <color auto="1"/>
      </bottom>
      <diagonal/>
    </border>
    <border>
      <left/>
      <right style="thin">
        <color indexed="64"/>
      </right>
      <top style="hair">
        <color auto="1"/>
      </top>
      <bottom style="thin">
        <color indexed="64"/>
      </bottom>
      <diagonal/>
    </border>
    <border>
      <left style="hair">
        <color auto="1"/>
      </left>
      <right style="thin">
        <color indexed="64"/>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ck">
        <color auto="1"/>
      </left>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22" fillId="0" borderId="0"/>
    <xf numFmtId="0" fontId="25" fillId="0" borderId="0"/>
    <xf numFmtId="0" fontId="1" fillId="0" borderId="0"/>
  </cellStyleXfs>
  <cellXfs count="446">
    <xf numFmtId="0" fontId="0" fillId="0" borderId="0" xfId="0"/>
    <xf numFmtId="0" fontId="4" fillId="0" borderId="0" xfId="0" applyFont="1"/>
    <xf numFmtId="0" fontId="3" fillId="0" borderId="0" xfId="0" applyFont="1"/>
    <xf numFmtId="0" fontId="6" fillId="0" borderId="0" xfId="0" applyFont="1"/>
    <xf numFmtId="14" fontId="7" fillId="0" borderId="0" xfId="0" applyNumberFormat="1" applyFont="1" applyAlignment="1">
      <alignment horizontal="left"/>
    </xf>
    <xf numFmtId="0" fontId="8" fillId="0" borderId="0" xfId="0" applyFont="1"/>
    <xf numFmtId="0" fontId="7" fillId="0" borderId="0" xfId="0" applyFont="1"/>
    <xf numFmtId="3" fontId="8" fillId="0" borderId="0" xfId="0" applyNumberFormat="1" applyFont="1"/>
    <xf numFmtId="4" fontId="8" fillId="0" borderId="0" xfId="0" applyNumberFormat="1" applyFont="1"/>
    <xf numFmtId="0" fontId="10" fillId="0" borderId="0" xfId="0" applyFont="1"/>
    <xf numFmtId="0" fontId="8" fillId="0" borderId="0" xfId="0" applyFont="1" applyAlignment="1">
      <alignment horizontal="center"/>
    </xf>
    <xf numFmtId="14" fontId="12" fillId="0" borderId="0" xfId="0" applyNumberFormat="1" applyFont="1" applyAlignment="1" applyProtection="1">
      <alignment horizontal="left"/>
    </xf>
    <xf numFmtId="0" fontId="13" fillId="0" borderId="0" xfId="0" applyFont="1"/>
    <xf numFmtId="0" fontId="14" fillId="0" borderId="0" xfId="0" applyFont="1" applyAlignment="1" applyProtection="1">
      <alignment horizontal="left"/>
    </xf>
    <xf numFmtId="0" fontId="13" fillId="0" borderId="0" xfId="0" applyFont="1" applyAlignment="1" applyProtection="1">
      <alignment horizontal="left"/>
    </xf>
    <xf numFmtId="0" fontId="15" fillId="2" borderId="1" xfId="0" applyFont="1" applyFill="1" applyBorder="1" applyAlignment="1" applyProtection="1">
      <alignment horizontal="left"/>
    </xf>
    <xf numFmtId="49" fontId="3" fillId="2" borderId="1" xfId="0" applyNumberFormat="1" applyFont="1" applyFill="1" applyBorder="1" applyAlignment="1" applyProtection="1">
      <alignment horizontal="center"/>
    </xf>
    <xf numFmtId="0" fontId="15" fillId="2" borderId="2" xfId="0" applyFont="1" applyFill="1" applyBorder="1" applyAlignment="1" applyProtection="1">
      <alignment horizontal="left"/>
    </xf>
    <xf numFmtId="0" fontId="3" fillId="0" borderId="4" xfId="0" applyFont="1" applyBorder="1" applyAlignment="1" applyProtection="1">
      <alignment horizontal="left"/>
    </xf>
    <xf numFmtId="166" fontId="6" fillId="0" borderId="0" xfId="0" applyNumberFormat="1" applyFont="1" applyProtection="1"/>
    <xf numFmtId="0" fontId="6" fillId="0" borderId="4" xfId="0" applyFont="1" applyBorder="1" applyAlignment="1" applyProtection="1">
      <alignment horizontal="left"/>
    </xf>
    <xf numFmtId="3" fontId="6" fillId="0" borderId="5" xfId="0" applyNumberFormat="1" applyFont="1" applyBorder="1"/>
    <xf numFmtId="0" fontId="4" fillId="0" borderId="4" xfId="0" applyFont="1" applyBorder="1" applyAlignment="1" applyProtection="1">
      <alignment horizontal="left"/>
    </xf>
    <xf numFmtId="0" fontId="6" fillId="0" borderId="4" xfId="0" applyFont="1" applyBorder="1"/>
    <xf numFmtId="0" fontId="5" fillId="0" borderId="4" xfId="0" applyFont="1" applyBorder="1"/>
    <xf numFmtId="0" fontId="3" fillId="0" borderId="4" xfId="0" applyFont="1" applyBorder="1"/>
    <xf numFmtId="166" fontId="3" fillId="0" borderId="4" xfId="0" applyNumberFormat="1" applyFont="1" applyBorder="1" applyAlignment="1" applyProtection="1">
      <alignment horizontal="left"/>
    </xf>
    <xf numFmtId="0" fontId="3" fillId="0" borderId="6" xfId="0" applyFont="1" applyBorder="1" applyAlignment="1" applyProtection="1">
      <alignment horizontal="left"/>
    </xf>
    <xf numFmtId="0" fontId="6" fillId="0" borderId="8" xfId="0" applyFont="1" applyBorder="1"/>
    <xf numFmtId="0" fontId="6" fillId="0" borderId="9" xfId="0" applyFont="1" applyBorder="1"/>
    <xf numFmtId="0" fontId="3" fillId="0" borderId="3" xfId="0" applyFont="1" applyBorder="1" applyAlignment="1" applyProtection="1">
      <alignment horizontal="left"/>
    </xf>
    <xf numFmtId="0" fontId="6" fillId="0" borderId="10" xfId="0" applyFont="1" applyBorder="1"/>
    <xf numFmtId="0" fontId="8" fillId="0" borderId="4" xfId="0" applyFont="1" applyBorder="1"/>
    <xf numFmtId="0" fontId="10" fillId="0" borderId="6" xfId="0" applyFont="1" applyBorder="1"/>
    <xf numFmtId="0" fontId="8" fillId="0" borderId="0" xfId="0" applyFont="1" applyAlignment="1">
      <alignment wrapText="1"/>
    </xf>
    <xf numFmtId="0" fontId="13" fillId="0" borderId="0" xfId="0" applyFont="1" applyAlignment="1">
      <alignment wrapText="1"/>
    </xf>
    <xf numFmtId="49" fontId="8" fillId="0" borderId="0" xfId="0" applyNumberFormat="1" applyFont="1" applyAlignment="1">
      <alignment wrapText="1"/>
    </xf>
    <xf numFmtId="3" fontId="13" fillId="0" borderId="0" xfId="0" applyNumberFormat="1" applyFont="1"/>
    <xf numFmtId="0" fontId="16" fillId="0" borderId="0" xfId="0" applyFont="1" applyFill="1"/>
    <xf numFmtId="0" fontId="17" fillId="0" borderId="0" xfId="0" applyFont="1"/>
    <xf numFmtId="0" fontId="18" fillId="0" borderId="0" xfId="0" applyFont="1"/>
    <xf numFmtId="0" fontId="16" fillId="0" borderId="0" xfId="0" applyFont="1"/>
    <xf numFmtId="0" fontId="9" fillId="0" borderId="0" xfId="0" applyFont="1" applyFill="1" applyAlignment="1">
      <alignment horizontal="left"/>
    </xf>
    <xf numFmtId="0" fontId="16" fillId="0" borderId="0" xfId="0" applyFont="1" applyAlignment="1" applyProtection="1">
      <alignment horizontal="left"/>
    </xf>
    <xf numFmtId="0" fontId="7" fillId="0" borderId="0" xfId="0" applyFont="1" applyAlignment="1" applyProtection="1">
      <alignment horizontal="center"/>
    </xf>
    <xf numFmtId="0" fontId="17" fillId="0" borderId="0" xfId="0" applyFont="1" applyAlignment="1" applyProtection="1">
      <alignment horizontal="center"/>
    </xf>
    <xf numFmtId="0" fontId="17" fillId="0" borderId="0" xfId="0" applyFont="1" applyAlignment="1">
      <alignment horizontal="center"/>
    </xf>
    <xf numFmtId="167" fontId="19" fillId="0" borderId="0" xfId="0" applyNumberFormat="1" applyFont="1" applyAlignment="1">
      <alignment horizontal="center"/>
    </xf>
    <xf numFmtId="0" fontId="18" fillId="0" borderId="0" xfId="0" applyFont="1" applyAlignment="1">
      <alignment horizontal="center"/>
    </xf>
    <xf numFmtId="167" fontId="7" fillId="0" borderId="0" xfId="0" applyNumberFormat="1"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7" fillId="0" borderId="0" xfId="0" applyFont="1" applyAlignment="1" applyProtection="1">
      <alignment horizontal="left"/>
      <protection locked="0"/>
    </xf>
    <xf numFmtId="2" fontId="20" fillId="0" borderId="0" xfId="0" applyNumberFormat="1" applyFont="1" applyProtection="1"/>
    <xf numFmtId="3" fontId="16" fillId="0" borderId="0" xfId="0" applyNumberFormat="1" applyFont="1" applyProtection="1"/>
    <xf numFmtId="168" fontId="17" fillId="0" borderId="0" xfId="0" applyNumberFormat="1" applyFont="1"/>
    <xf numFmtId="167" fontId="19" fillId="0" borderId="0" xfId="0" applyNumberFormat="1" applyFont="1"/>
    <xf numFmtId="167" fontId="7" fillId="0" borderId="0" xfId="0" applyNumberFormat="1" applyFont="1"/>
    <xf numFmtId="3" fontId="7" fillId="0" borderId="0" xfId="0" applyNumberFormat="1" applyFont="1" applyFill="1" applyBorder="1"/>
    <xf numFmtId="169" fontId="20" fillId="0" borderId="0" xfId="0" applyNumberFormat="1" applyFont="1"/>
    <xf numFmtId="0" fontId="4" fillId="0" borderId="0" xfId="0" applyFont="1" applyAlignment="1" applyProtection="1">
      <alignment horizontal="left"/>
    </xf>
    <xf numFmtId="3" fontId="7" fillId="0" borderId="0" xfId="1" applyNumberFormat="1" applyFont="1" applyAlignment="1" applyProtection="1">
      <alignment horizontal="right"/>
      <protection locked="0"/>
    </xf>
    <xf numFmtId="0" fontId="4" fillId="0" borderId="0" xfId="0" applyFont="1" applyProtection="1"/>
    <xf numFmtId="0" fontId="16" fillId="0" borderId="0" xfId="0" applyFont="1" applyProtection="1"/>
    <xf numFmtId="0" fontId="21" fillId="0" borderId="0" xfId="0" applyFont="1"/>
    <xf numFmtId="170" fontId="4" fillId="0" borderId="0" xfId="2" applyNumberFormat="1" applyFont="1" applyFill="1" applyBorder="1" applyAlignment="1" applyProtection="1">
      <alignment horizontal="left" vertical="center"/>
    </xf>
    <xf numFmtId="0" fontId="16" fillId="0" borderId="0" xfId="2" applyFont="1" applyAlignment="1" applyProtection="1">
      <alignment horizontal="center"/>
    </xf>
    <xf numFmtId="0" fontId="4" fillId="0" borderId="0" xfId="0" applyFont="1" applyFill="1" applyProtection="1"/>
    <xf numFmtId="0" fontId="23" fillId="0" borderId="0" xfId="0" applyFont="1" applyFill="1" applyProtection="1"/>
    <xf numFmtId="170" fontId="4" fillId="0" borderId="0" xfId="2" applyNumberFormat="1" applyFont="1" applyFill="1" applyBorder="1" applyAlignment="1">
      <alignment horizontal="left" vertical="center"/>
    </xf>
    <xf numFmtId="0" fontId="16" fillId="0" borderId="0" xfId="2" applyFont="1" applyAlignment="1">
      <alignment horizontal="center"/>
    </xf>
    <xf numFmtId="0" fontId="24" fillId="0" borderId="0" xfId="0" applyFont="1" applyAlignment="1" applyProtection="1">
      <alignment horizontal="center"/>
    </xf>
    <xf numFmtId="0" fontId="16" fillId="0" borderId="0" xfId="2" applyFont="1"/>
    <xf numFmtId="0" fontId="4" fillId="0" borderId="0" xfId="0" applyFont="1" applyAlignment="1">
      <alignment horizontal="center"/>
    </xf>
    <xf numFmtId="3" fontId="7" fillId="0" borderId="0" xfId="0" applyNumberFormat="1" applyFont="1" applyProtection="1"/>
    <xf numFmtId="3" fontId="7" fillId="0" borderId="0" xfId="0" applyNumberFormat="1" applyFont="1" applyAlignment="1" applyProtection="1">
      <alignment horizontal="left"/>
    </xf>
    <xf numFmtId="3" fontId="7" fillId="0" borderId="0" xfId="0" applyNumberFormat="1" applyFont="1" applyAlignment="1" applyProtection="1">
      <alignment horizontal="center"/>
    </xf>
    <xf numFmtId="3" fontId="7" fillId="0" borderId="0" xfId="3" applyNumberFormat="1" applyFont="1" applyFill="1" applyBorder="1" applyAlignment="1" applyProtection="1">
      <alignment horizontal="center"/>
      <protection locked="0"/>
    </xf>
    <xf numFmtId="3" fontId="7" fillId="0" borderId="0" xfId="2" applyNumberFormat="1" applyFont="1" applyFill="1" applyBorder="1" applyAlignment="1" applyProtection="1">
      <alignment horizontal="right"/>
      <protection locked="0"/>
    </xf>
    <xf numFmtId="3" fontId="7" fillId="0" borderId="0" xfId="4" applyNumberFormat="1" applyFont="1" applyAlignment="1" applyProtection="1">
      <alignment horizontal="right"/>
      <protection locked="0"/>
    </xf>
    <xf numFmtId="3" fontId="4" fillId="0" borderId="0" xfId="0" applyNumberFormat="1" applyFont="1" applyFill="1" applyProtection="1"/>
    <xf numFmtId="3" fontId="4" fillId="3" borderId="0" xfId="0" applyNumberFormat="1" applyFont="1" applyFill="1" applyAlignment="1" applyProtection="1">
      <alignment horizontal="right"/>
    </xf>
    <xf numFmtId="3" fontId="7" fillId="0" borderId="0" xfId="0" applyNumberFormat="1" applyFont="1" applyFill="1" applyBorder="1" applyAlignment="1" applyProtection="1">
      <alignment vertical="center"/>
    </xf>
    <xf numFmtId="0" fontId="26" fillId="0" borderId="0" xfId="0" applyFont="1"/>
    <xf numFmtId="3" fontId="7" fillId="0" borderId="0" xfId="0" applyNumberFormat="1" applyFont="1" applyAlignment="1">
      <alignment horizontal="center"/>
    </xf>
    <xf numFmtId="0" fontId="7" fillId="0" borderId="0" xfId="0" applyFont="1" applyProtection="1"/>
    <xf numFmtId="0" fontId="7" fillId="0" borderId="0" xfId="0" applyFont="1" applyAlignment="1" applyProtection="1">
      <alignment horizontal="left"/>
    </xf>
    <xf numFmtId="170" fontId="7" fillId="0" borderId="0" xfId="0" applyNumberFormat="1" applyFont="1" applyFill="1" applyBorder="1" applyAlignment="1" applyProtection="1">
      <alignment vertical="center"/>
    </xf>
    <xf numFmtId="49" fontId="7" fillId="0" borderId="0" xfId="3" applyNumberFormat="1" applyFont="1" applyFill="1" applyBorder="1" applyAlignment="1" applyProtection="1">
      <alignment horizontal="center"/>
      <protection locked="0"/>
    </xf>
    <xf numFmtId="1" fontId="7" fillId="0" borderId="0" xfId="2" applyNumberFormat="1" applyFont="1" applyFill="1" applyBorder="1" applyAlignment="1" applyProtection="1">
      <alignment horizontal="right"/>
      <protection locked="0"/>
    </xf>
    <xf numFmtId="170" fontId="16" fillId="0" borderId="0" xfId="0" applyNumberFormat="1" applyFont="1" applyFill="1" applyBorder="1" applyAlignment="1" applyProtection="1">
      <alignment vertical="center"/>
    </xf>
    <xf numFmtId="0" fontId="4" fillId="0" borderId="0" xfId="0" applyFont="1" applyAlignment="1" applyProtection="1">
      <alignment horizontal="center"/>
    </xf>
    <xf numFmtId="49" fontId="4" fillId="0" borderId="0" xfId="3" applyNumberFormat="1" applyFont="1" applyFill="1" applyBorder="1" applyAlignment="1" applyProtection="1">
      <alignment horizontal="center"/>
      <protection locked="0"/>
    </xf>
    <xf numFmtId="1" fontId="4" fillId="0" borderId="0" xfId="2" applyNumberFormat="1" applyFont="1" applyFill="1" applyBorder="1" applyAlignment="1" applyProtection="1">
      <alignment horizontal="right"/>
      <protection locked="0"/>
    </xf>
    <xf numFmtId="1" fontId="16" fillId="0" borderId="0" xfId="0" applyNumberFormat="1" applyFont="1" applyProtection="1"/>
    <xf numFmtId="1" fontId="16" fillId="0" borderId="0" xfId="0" applyNumberFormat="1" applyFont="1"/>
    <xf numFmtId="3" fontId="16" fillId="0" borderId="0" xfId="0" applyNumberFormat="1" applyFont="1"/>
    <xf numFmtId="0" fontId="18" fillId="0" borderId="0" xfId="0" applyFont="1" applyAlignment="1" applyProtection="1">
      <alignment horizontal="left"/>
    </xf>
    <xf numFmtId="0" fontId="27" fillId="0" borderId="0" xfId="0" applyFont="1"/>
    <xf numFmtId="3" fontId="27" fillId="0" borderId="0" xfId="0" applyNumberFormat="1" applyFont="1"/>
    <xf numFmtId="1" fontId="4" fillId="0" borderId="0" xfId="0" applyNumberFormat="1" applyFont="1" applyFill="1" applyProtection="1"/>
    <xf numFmtId="0" fontId="29" fillId="0" borderId="0" xfId="0" applyFont="1" applyFill="1" applyProtection="1"/>
    <xf numFmtId="1" fontId="8" fillId="0" borderId="0" xfId="0" applyNumberFormat="1" applyFont="1"/>
    <xf numFmtId="0" fontId="24" fillId="0" borderId="0" xfId="0" applyFont="1" applyFill="1" applyProtection="1"/>
    <xf numFmtId="0" fontId="30" fillId="0" borderId="0" xfId="0" applyFont="1" applyFill="1"/>
    <xf numFmtId="170" fontId="4" fillId="0" borderId="0" xfId="0" applyNumberFormat="1" applyFont="1" applyFill="1" applyBorder="1" applyAlignment="1" applyProtection="1">
      <alignment horizontal="left" vertical="center"/>
    </xf>
    <xf numFmtId="0" fontId="16" fillId="0" borderId="0" xfId="0" applyFont="1" applyAlignment="1" applyProtection="1">
      <alignment horizontal="center"/>
    </xf>
    <xf numFmtId="0" fontId="8" fillId="0" borderId="0" xfId="0" applyFont="1" applyAlignment="1">
      <alignment horizontal="left" indent="3"/>
    </xf>
    <xf numFmtId="3" fontId="8" fillId="5" borderId="0" xfId="0" applyNumberFormat="1" applyFont="1" applyFill="1"/>
    <xf numFmtId="3" fontId="4" fillId="6" borderId="0" xfId="0" applyNumberFormat="1" applyFont="1" applyFill="1" applyProtection="1"/>
    <xf numFmtId="0" fontId="8" fillId="0" borderId="0" xfId="0" applyFont="1" applyFill="1"/>
    <xf numFmtId="0" fontId="8" fillId="5" borderId="0" xfId="0" applyFont="1" applyFill="1"/>
    <xf numFmtId="0" fontId="10" fillId="5" borderId="0" xfId="0" applyFont="1" applyFill="1" applyAlignment="1">
      <alignment wrapText="1"/>
    </xf>
    <xf numFmtId="0" fontId="10" fillId="5" borderId="0" xfId="0" applyFont="1" applyFill="1" applyAlignment="1">
      <alignment horizontal="center"/>
    </xf>
    <xf numFmtId="0" fontId="3" fillId="5" borderId="0" xfId="0" applyFont="1" applyFill="1" applyAlignment="1">
      <alignment horizontal="center"/>
    </xf>
    <xf numFmtId="164" fontId="10" fillId="4" borderId="0" xfId="0" applyNumberFormat="1" applyFont="1" applyFill="1" applyAlignment="1">
      <alignment horizontal="center"/>
    </xf>
    <xf numFmtId="0" fontId="8" fillId="0" borderId="11" xfId="0" applyFont="1" applyBorder="1" applyAlignment="1">
      <alignment horizontal="center"/>
    </xf>
    <xf numFmtId="165" fontId="10" fillId="2" borderId="7" xfId="0" applyNumberFormat="1" applyFont="1" applyFill="1" applyBorder="1" applyAlignment="1">
      <alignment horizontal="center"/>
    </xf>
    <xf numFmtId="9" fontId="31" fillId="0" borderId="0" xfId="0" applyNumberFormat="1" applyFont="1"/>
    <xf numFmtId="0" fontId="32" fillId="5" borderId="0" xfId="0" applyFont="1" applyFill="1"/>
    <xf numFmtId="0" fontId="33" fillId="5" borderId="0" xfId="0" applyFont="1" applyFill="1"/>
    <xf numFmtId="3" fontId="8" fillId="5" borderId="0" xfId="0" applyNumberFormat="1" applyFont="1" applyFill="1" applyAlignment="1">
      <alignment horizontal="left"/>
    </xf>
    <xf numFmtId="164" fontId="34" fillId="0" borderId="0" xfId="0" applyNumberFormat="1" applyFont="1" applyFill="1"/>
    <xf numFmtId="14" fontId="7" fillId="7" borderId="0" xfId="0" applyNumberFormat="1" applyFont="1" applyFill="1" applyAlignment="1">
      <alignment horizontal="left"/>
    </xf>
    <xf numFmtId="0" fontId="8" fillId="7" borderId="0" xfId="0" applyFont="1" applyFill="1"/>
    <xf numFmtId="0" fontId="8" fillId="7" borderId="0" xfId="0" applyFont="1" applyFill="1" applyAlignment="1">
      <alignment wrapText="1"/>
    </xf>
    <xf numFmtId="0" fontId="9" fillId="7" borderId="0" xfId="0" applyFont="1" applyFill="1"/>
    <xf numFmtId="0" fontId="28" fillId="7" borderId="0" xfId="0" applyFont="1" applyFill="1"/>
    <xf numFmtId="0" fontId="7" fillId="7" borderId="0" xfId="0" applyFont="1" applyFill="1"/>
    <xf numFmtId="0" fontId="27" fillId="7" borderId="0" xfId="0" applyFont="1" applyFill="1"/>
    <xf numFmtId="9" fontId="27" fillId="7" borderId="0" xfId="0" applyNumberFormat="1" applyFont="1" applyFill="1" applyAlignment="1">
      <alignment horizontal="left"/>
    </xf>
    <xf numFmtId="0" fontId="4" fillId="5" borderId="0" xfId="0" applyFont="1" applyFill="1" applyAlignment="1">
      <alignment wrapText="1"/>
    </xf>
    <xf numFmtId="0" fontId="7" fillId="5" borderId="0" xfId="0" applyFont="1" applyFill="1"/>
    <xf numFmtId="3" fontId="6" fillId="0" borderId="0" xfId="0" applyNumberFormat="1" applyFont="1"/>
    <xf numFmtId="0" fontId="35" fillId="0" borderId="0" xfId="0" applyFont="1"/>
    <xf numFmtId="0" fontId="35" fillId="5" borderId="0" xfId="0" applyFont="1" applyFill="1"/>
    <xf numFmtId="1" fontId="35" fillId="5" borderId="0" xfId="0" applyNumberFormat="1" applyFont="1" applyFill="1" applyAlignment="1">
      <alignment horizontal="center"/>
    </xf>
    <xf numFmtId="0" fontId="35" fillId="5" borderId="0" xfId="0" applyFont="1" applyFill="1" applyAlignment="1" applyProtection="1">
      <alignment horizontal="center"/>
    </xf>
    <xf numFmtId="0" fontId="35" fillId="5" borderId="0" xfId="0" applyFont="1" applyFill="1" applyAlignment="1">
      <alignment horizontal="center"/>
    </xf>
    <xf numFmtId="0" fontId="32" fillId="5" borderId="0" xfId="0" applyFont="1" applyFill="1" applyAlignment="1">
      <alignment horizontal="center"/>
    </xf>
    <xf numFmtId="0" fontId="8" fillId="5" borderId="0" xfId="0" applyFont="1" applyFill="1" applyAlignment="1">
      <alignment wrapText="1"/>
    </xf>
    <xf numFmtId="0" fontId="9" fillId="5" borderId="0" xfId="0" applyFont="1" applyFill="1"/>
    <xf numFmtId="49" fontId="10" fillId="5" borderId="0" xfId="0" applyNumberFormat="1" applyFont="1" applyFill="1" applyAlignment="1">
      <alignment wrapText="1"/>
    </xf>
    <xf numFmtId="0" fontId="10" fillId="0" borderId="0" xfId="0" applyFont="1" applyAlignment="1">
      <alignment horizontal="left"/>
    </xf>
    <xf numFmtId="0" fontId="8" fillId="5" borderId="0" xfId="0" applyFont="1" applyFill="1" applyAlignment="1">
      <alignment horizontal="left" wrapText="1" indent="3"/>
    </xf>
    <xf numFmtId="3" fontId="6" fillId="5" borderId="0" xfId="0" applyNumberFormat="1" applyFont="1" applyFill="1" applyAlignment="1">
      <alignment horizontal="center"/>
    </xf>
    <xf numFmtId="3" fontId="8" fillId="0" borderId="0" xfId="0" applyNumberFormat="1" applyFont="1" applyAlignment="1">
      <alignment horizontal="center"/>
    </xf>
    <xf numFmtId="3" fontId="8" fillId="5" borderId="0" xfId="0" applyNumberFormat="1" applyFont="1" applyFill="1" applyAlignment="1">
      <alignment horizontal="center"/>
    </xf>
    <xf numFmtId="3" fontId="27" fillId="0" borderId="0" xfId="0" applyNumberFormat="1" applyFont="1" applyAlignment="1">
      <alignment horizontal="center"/>
    </xf>
    <xf numFmtId="3" fontId="27" fillId="0" borderId="0" xfId="0" applyNumberFormat="1" applyFont="1" applyFill="1" applyAlignment="1">
      <alignment horizontal="center"/>
    </xf>
    <xf numFmtId="0" fontId="8" fillId="7" borderId="13" xfId="0" applyFont="1" applyFill="1" applyBorder="1" applyAlignment="1">
      <alignment horizontal="center"/>
    </xf>
    <xf numFmtId="3" fontId="3" fillId="5" borderId="0" xfId="0" applyNumberFormat="1" applyFont="1" applyFill="1" applyAlignment="1">
      <alignment horizontal="center"/>
    </xf>
    <xf numFmtId="3" fontId="3" fillId="5" borderId="0" xfId="0" applyNumberFormat="1" applyFont="1" applyFill="1" applyBorder="1" applyAlignment="1">
      <alignment horizontal="center"/>
    </xf>
    <xf numFmtId="0" fontId="8" fillId="5" borderId="0" xfId="0" applyFont="1" applyFill="1" applyAlignment="1">
      <alignment horizontal="center"/>
    </xf>
    <xf numFmtId="3" fontId="10" fillId="5" borderId="0" xfId="0" applyNumberFormat="1" applyFont="1" applyFill="1" applyAlignment="1">
      <alignment horizontal="center"/>
    </xf>
    <xf numFmtId="9" fontId="31" fillId="0" borderId="0" xfId="0" applyNumberFormat="1" applyFont="1" applyAlignment="1">
      <alignment horizontal="center"/>
    </xf>
    <xf numFmtId="0" fontId="8" fillId="0" borderId="0" xfId="0" applyFont="1" applyFill="1" applyAlignment="1">
      <alignment horizontal="center"/>
    </xf>
    <xf numFmtId="3" fontId="3" fillId="0" borderId="0" xfId="0" applyNumberFormat="1" applyFont="1" applyFill="1" applyAlignment="1">
      <alignment horizontal="center"/>
    </xf>
    <xf numFmtId="3" fontId="6" fillId="0" borderId="0" xfId="0" applyNumberFormat="1" applyFont="1" applyAlignment="1">
      <alignment horizontal="center"/>
    </xf>
    <xf numFmtId="0" fontId="6" fillId="0" borderId="0" xfId="0" applyFont="1" applyAlignment="1">
      <alignment horizontal="center"/>
    </xf>
    <xf numFmtId="0" fontId="10" fillId="0" borderId="0" xfId="0" applyFont="1" applyFill="1"/>
    <xf numFmtId="3" fontId="8" fillId="0" borderId="0" xfId="0" applyNumberFormat="1" applyFont="1" applyFill="1" applyAlignment="1">
      <alignment horizontal="center"/>
    </xf>
    <xf numFmtId="0" fontId="8" fillId="0" borderId="0" xfId="0" applyFont="1" applyAlignment="1">
      <alignment horizontal="left" indent="5"/>
    </xf>
    <xf numFmtId="0" fontId="8" fillId="0" borderId="14" xfId="0" applyFont="1" applyBorder="1"/>
    <xf numFmtId="0" fontId="8" fillId="0" borderId="14" xfId="0" applyFont="1" applyBorder="1" applyAlignment="1">
      <alignment horizontal="center"/>
    </xf>
    <xf numFmtId="0" fontId="4" fillId="0" borderId="4" xfId="0" applyFont="1" applyBorder="1" applyAlignment="1" applyProtection="1">
      <alignment horizontal="left" indent="1"/>
    </xf>
    <xf numFmtId="0" fontId="4" fillId="0" borderId="4" xfId="0" applyFont="1" applyBorder="1" applyAlignment="1" applyProtection="1">
      <alignment horizontal="left" indent="2"/>
    </xf>
    <xf numFmtId="0" fontId="7" fillId="0" borderId="4" xfId="0" applyFont="1" applyBorder="1" applyAlignment="1">
      <alignment horizontal="left" indent="3"/>
    </xf>
    <xf numFmtId="3" fontId="3" fillId="0" borderId="9" xfId="0" applyNumberFormat="1" applyFont="1" applyBorder="1" applyAlignment="1" applyProtection="1">
      <alignment horizontal="center"/>
    </xf>
    <xf numFmtId="3" fontId="3" fillId="0" borderId="5" xfId="0" applyNumberFormat="1" applyFont="1" applyBorder="1" applyAlignment="1" applyProtection="1">
      <alignment horizontal="center"/>
    </xf>
    <xf numFmtId="3" fontId="6" fillId="0" borderId="5" xfId="0" applyNumberFormat="1" applyFont="1" applyBorder="1" applyAlignment="1" applyProtection="1">
      <alignment horizontal="center"/>
    </xf>
    <xf numFmtId="0" fontId="6" fillId="0" borderId="4" xfId="0" applyFont="1" applyBorder="1" applyAlignment="1">
      <alignment horizontal="left" indent="1"/>
    </xf>
    <xf numFmtId="0" fontId="4" fillId="0" borderId="4" xfId="0" applyFont="1" applyBorder="1" applyAlignment="1">
      <alignment horizontal="left" indent="2"/>
    </xf>
    <xf numFmtId="0" fontId="6" fillId="0" borderId="4" xfId="0" applyFont="1" applyBorder="1" applyAlignment="1" applyProtection="1">
      <alignment horizontal="left" indent="1"/>
    </xf>
    <xf numFmtId="3" fontId="8" fillId="0" borderId="14" xfId="0" applyNumberFormat="1" applyFont="1" applyBorder="1" applyAlignment="1">
      <alignment horizontal="center"/>
    </xf>
    <xf numFmtId="3" fontId="10" fillId="0" borderId="14" xfId="0" applyNumberFormat="1" applyFont="1" applyBorder="1" applyAlignment="1">
      <alignment horizontal="center"/>
    </xf>
    <xf numFmtId="0" fontId="8" fillId="0" borderId="11" xfId="0" applyFont="1" applyBorder="1"/>
    <xf numFmtId="0" fontId="36" fillId="0" borderId="0" xfId="0" applyFont="1" applyAlignment="1">
      <alignment horizontal="left"/>
    </xf>
    <xf numFmtId="0" fontId="10" fillId="2" borderId="1" xfId="0" applyFont="1" applyFill="1" applyBorder="1" applyAlignment="1">
      <alignment horizontal="center"/>
    </xf>
    <xf numFmtId="165" fontId="10" fillId="2" borderId="16" xfId="0" applyNumberFormat="1" applyFont="1" applyFill="1" applyBorder="1" applyAlignment="1">
      <alignment horizontal="center"/>
    </xf>
    <xf numFmtId="0" fontId="6" fillId="0" borderId="11" xfId="0" applyFont="1" applyBorder="1"/>
    <xf numFmtId="165" fontId="10" fillId="0" borderId="14" xfId="0" applyNumberFormat="1" applyFont="1" applyBorder="1" applyAlignment="1">
      <alignment horizontal="center"/>
    </xf>
    <xf numFmtId="1" fontId="10" fillId="0" borderId="15" xfId="0" applyNumberFormat="1" applyFont="1" applyBorder="1" applyAlignment="1">
      <alignment horizontal="center"/>
    </xf>
    <xf numFmtId="3" fontId="8" fillId="5" borderId="1" xfId="0" applyNumberFormat="1" applyFont="1" applyFill="1" applyBorder="1" applyAlignment="1">
      <alignment horizontal="center"/>
    </xf>
    <xf numFmtId="3" fontId="8" fillId="5" borderId="11" xfId="0" applyNumberFormat="1" applyFont="1" applyFill="1" applyBorder="1" applyAlignment="1">
      <alignment horizontal="center"/>
    </xf>
    <xf numFmtId="3" fontId="6" fillId="5" borderId="1" xfId="0" applyNumberFormat="1" applyFont="1" applyFill="1" applyBorder="1" applyAlignment="1">
      <alignment horizontal="center"/>
    </xf>
    <xf numFmtId="3" fontId="6" fillId="5" borderId="11" xfId="0" applyNumberFormat="1" applyFont="1" applyFill="1" applyBorder="1" applyAlignment="1">
      <alignment horizontal="center"/>
    </xf>
    <xf numFmtId="3" fontId="6" fillId="5" borderId="12" xfId="0" applyNumberFormat="1" applyFont="1" applyFill="1" applyBorder="1" applyAlignment="1">
      <alignment horizontal="center"/>
    </xf>
    <xf numFmtId="3" fontId="8" fillId="5" borderId="12" xfId="0" applyNumberFormat="1" applyFont="1" applyFill="1" applyBorder="1" applyAlignment="1">
      <alignment horizontal="center"/>
    </xf>
    <xf numFmtId="3" fontId="8" fillId="5" borderId="0" xfId="0" applyNumberFormat="1" applyFont="1" applyFill="1" applyBorder="1" applyAlignment="1">
      <alignment horizontal="center"/>
    </xf>
    <xf numFmtId="3" fontId="10" fillId="5" borderId="0" xfId="0" applyNumberFormat="1" applyFont="1" applyFill="1" applyBorder="1" applyAlignment="1">
      <alignment horizontal="center"/>
    </xf>
    <xf numFmtId="3" fontId="3" fillId="0" borderId="0" xfId="0" applyNumberFormat="1" applyFont="1" applyFill="1" applyBorder="1" applyAlignment="1">
      <alignment horizontal="center"/>
    </xf>
    <xf numFmtId="3" fontId="8" fillId="0" borderId="11" xfId="0" applyNumberFormat="1" applyFont="1" applyBorder="1" applyAlignment="1">
      <alignment horizontal="center"/>
    </xf>
    <xf numFmtId="3" fontId="3" fillId="0" borderId="17" xfId="0" applyNumberFormat="1" applyFont="1" applyBorder="1" applyAlignment="1" applyProtection="1">
      <alignment horizontal="center"/>
    </xf>
    <xf numFmtId="0" fontId="6" fillId="0" borderId="12" xfId="0" applyFont="1" applyFill="1" applyBorder="1"/>
    <xf numFmtId="22" fontId="8" fillId="0" borderId="0" xfId="0" applyNumberFormat="1" applyFont="1"/>
    <xf numFmtId="22" fontId="28" fillId="7" borderId="0" xfId="0" applyNumberFormat="1" applyFont="1" applyFill="1" applyAlignment="1">
      <alignment horizontal="left" wrapText="1"/>
    </xf>
    <xf numFmtId="0" fontId="5" fillId="0" borderId="0" xfId="0" applyFont="1" applyFill="1" applyProtection="1"/>
    <xf numFmtId="3" fontId="8" fillId="6" borderId="0" xfId="0" applyNumberFormat="1" applyFont="1" applyFill="1" applyProtection="1"/>
    <xf numFmtId="3" fontId="8" fillId="6" borderId="0" xfId="0" applyNumberFormat="1" applyFont="1" applyFill="1" applyAlignment="1" applyProtection="1">
      <alignment horizontal="left"/>
    </xf>
    <xf numFmtId="3" fontId="8" fillId="6" borderId="0" xfId="0" applyNumberFormat="1" applyFont="1" applyFill="1" applyBorder="1" applyAlignment="1" applyProtection="1">
      <alignment vertical="center"/>
    </xf>
    <xf numFmtId="3" fontId="8" fillId="6" borderId="0" xfId="0" applyNumberFormat="1" applyFont="1" applyFill="1" applyAlignment="1" applyProtection="1">
      <alignment horizontal="center"/>
    </xf>
    <xf numFmtId="3" fontId="8" fillId="6" borderId="0" xfId="3" applyNumberFormat="1" applyFont="1" applyFill="1" applyBorder="1" applyAlignment="1" applyProtection="1">
      <alignment horizontal="center"/>
      <protection locked="0"/>
    </xf>
    <xf numFmtId="3" fontId="8" fillId="6" borderId="0" xfId="2" applyNumberFormat="1" applyFont="1" applyFill="1" applyBorder="1" applyAlignment="1" applyProtection="1">
      <alignment horizontal="right"/>
      <protection locked="0"/>
    </xf>
    <xf numFmtId="3" fontId="8" fillId="6" borderId="0" xfId="4" applyNumberFormat="1" applyFont="1" applyFill="1" applyAlignment="1" applyProtection="1">
      <alignment horizontal="right"/>
      <protection locked="0"/>
    </xf>
    <xf numFmtId="3" fontId="6" fillId="6" borderId="0" xfId="0" applyNumberFormat="1" applyFont="1" applyFill="1" applyProtection="1"/>
    <xf numFmtId="3" fontId="6" fillId="8" borderId="0" xfId="0" applyNumberFormat="1" applyFont="1" applyFill="1" applyAlignment="1" applyProtection="1">
      <alignment horizontal="right"/>
    </xf>
    <xf numFmtId="1" fontId="6" fillId="6" borderId="0" xfId="0" applyNumberFormat="1" applyFont="1" applyFill="1" applyProtection="1"/>
    <xf numFmtId="0" fontId="6" fillId="6" borderId="0" xfId="0" applyFont="1" applyFill="1" applyProtection="1"/>
    <xf numFmtId="3" fontId="8" fillId="6" borderId="0" xfId="0" applyNumberFormat="1" applyFont="1" applyFill="1" applyBorder="1"/>
    <xf numFmtId="0" fontId="30" fillId="6" borderId="0" xfId="0" applyFont="1" applyFill="1"/>
    <xf numFmtId="0" fontId="17" fillId="0" borderId="0" xfId="0" applyFont="1" applyFill="1"/>
    <xf numFmtId="3" fontId="20" fillId="0" borderId="0" xfId="0" applyNumberFormat="1" applyFont="1" applyFill="1" applyAlignment="1" applyProtection="1">
      <alignment horizontal="left"/>
    </xf>
    <xf numFmtId="3" fontId="20" fillId="0" borderId="0" xfId="1" applyNumberFormat="1" applyFont="1" applyFill="1" applyAlignment="1" applyProtection="1">
      <alignment horizontal="right"/>
      <protection locked="0"/>
    </xf>
    <xf numFmtId="169" fontId="20" fillId="0" borderId="0" xfId="0" applyNumberFormat="1" applyFont="1" applyFill="1"/>
    <xf numFmtId="168" fontId="17" fillId="0" borderId="0" xfId="0" applyNumberFormat="1" applyFont="1" applyFill="1"/>
    <xf numFmtId="167" fontId="20" fillId="0" borderId="0" xfId="0" applyNumberFormat="1" applyFont="1" applyFill="1"/>
    <xf numFmtId="1" fontId="17" fillId="0" borderId="0" xfId="0" applyNumberFormat="1" applyFont="1" applyFill="1"/>
    <xf numFmtId="170" fontId="17" fillId="0" borderId="0" xfId="0" applyNumberFormat="1" applyFont="1" applyFill="1" applyBorder="1" applyAlignment="1" applyProtection="1">
      <alignment vertical="center"/>
    </xf>
    <xf numFmtId="49" fontId="5" fillId="0" borderId="0" xfId="3" applyNumberFormat="1" applyFont="1" applyFill="1" applyBorder="1" applyAlignment="1" applyProtection="1">
      <alignment horizontal="center"/>
      <protection locked="0"/>
    </xf>
    <xf numFmtId="1" fontId="5" fillId="0" borderId="0" xfId="2" applyNumberFormat="1" applyFont="1" applyFill="1" applyBorder="1" applyAlignment="1" applyProtection="1">
      <alignment horizontal="right"/>
      <protection locked="0"/>
    </xf>
    <xf numFmtId="0" fontId="27" fillId="5" borderId="0" xfId="0" applyFont="1" applyFill="1" applyAlignment="1">
      <alignment wrapText="1"/>
    </xf>
    <xf numFmtId="0" fontId="27" fillId="0" borderId="0" xfId="0" applyFont="1" applyAlignment="1">
      <alignment horizontal="left" indent="2"/>
    </xf>
    <xf numFmtId="3" fontId="8" fillId="0" borderId="0" xfId="0" applyNumberFormat="1" applyFont="1" applyFill="1" applyAlignment="1" applyProtection="1">
      <alignment horizontal="left"/>
    </xf>
    <xf numFmtId="3" fontId="8" fillId="0" borderId="0" xfId="1" applyNumberFormat="1" applyFont="1" applyFill="1" applyAlignment="1" applyProtection="1">
      <alignment horizontal="right"/>
      <protection locked="0"/>
    </xf>
    <xf numFmtId="169" fontId="8" fillId="0" borderId="0" xfId="0" applyNumberFormat="1" applyFont="1" applyFill="1"/>
    <xf numFmtId="168" fontId="30" fillId="0" borderId="0" xfId="0" applyNumberFormat="1" applyFont="1" applyFill="1"/>
    <xf numFmtId="167" fontId="8" fillId="0" borderId="0" xfId="0" applyNumberFormat="1" applyFont="1" applyFill="1"/>
    <xf numFmtId="1" fontId="30" fillId="0" borderId="0" xfId="0" applyNumberFormat="1" applyFont="1" applyFill="1"/>
    <xf numFmtId="0" fontId="30" fillId="0" borderId="0" xfId="0" applyFont="1" applyFill="1" applyProtection="1"/>
    <xf numFmtId="0" fontId="30" fillId="0" borderId="0" xfId="0" applyFont="1" applyFill="1" applyAlignment="1" applyProtection="1">
      <alignment horizontal="left"/>
    </xf>
    <xf numFmtId="49" fontId="6" fillId="0" borderId="0" xfId="3" applyNumberFormat="1" applyFont="1" applyFill="1" applyBorder="1" applyAlignment="1" applyProtection="1">
      <alignment horizontal="center"/>
      <protection locked="0"/>
    </xf>
    <xf numFmtId="1" fontId="6" fillId="0" borderId="0" xfId="2" applyNumberFormat="1" applyFont="1" applyFill="1" applyBorder="1" applyAlignment="1" applyProtection="1">
      <alignment horizontal="right"/>
      <protection locked="0"/>
    </xf>
    <xf numFmtId="0" fontId="7" fillId="7" borderId="0" xfId="0" applyFont="1" applyFill="1" applyAlignment="1">
      <alignment wrapText="1"/>
    </xf>
    <xf numFmtId="0" fontId="3" fillId="0" borderId="1" xfId="0" applyFont="1" applyBorder="1" applyAlignment="1">
      <alignment horizontal="center"/>
    </xf>
    <xf numFmtId="0" fontId="8" fillId="9" borderId="2" xfId="0" applyFont="1" applyFill="1" applyBorder="1"/>
    <xf numFmtId="9" fontId="31" fillId="9" borderId="1" xfId="0" applyNumberFormat="1" applyFont="1" applyFill="1" applyBorder="1" applyAlignment="1">
      <alignment horizontal="center"/>
    </xf>
    <xf numFmtId="3" fontId="32" fillId="9" borderId="11" xfId="0" applyNumberFormat="1" applyFont="1" applyFill="1" applyBorder="1" applyAlignment="1">
      <alignment horizontal="center"/>
    </xf>
    <xf numFmtId="0" fontId="32" fillId="9" borderId="11" xfId="0" applyFont="1" applyFill="1" applyBorder="1" applyAlignment="1">
      <alignment horizontal="center"/>
    </xf>
    <xf numFmtId="0" fontId="8" fillId="9" borderId="12" xfId="0" applyFont="1" applyFill="1" applyBorder="1" applyAlignment="1">
      <alignment horizontal="center"/>
    </xf>
    <xf numFmtId="3" fontId="10" fillId="9" borderId="1" xfId="0" applyNumberFormat="1" applyFont="1" applyFill="1" applyBorder="1" applyAlignment="1">
      <alignment horizontal="center"/>
    </xf>
    <xf numFmtId="0" fontId="8" fillId="9" borderId="11" xfId="0" applyFont="1" applyFill="1" applyBorder="1" applyAlignment="1">
      <alignment horizontal="center"/>
    </xf>
    <xf numFmtId="0" fontId="6" fillId="9" borderId="12" xfId="0" applyFont="1" applyFill="1" applyBorder="1" applyAlignment="1">
      <alignment horizontal="center"/>
    </xf>
    <xf numFmtId="3" fontId="3" fillId="9" borderId="1" xfId="0" applyNumberFormat="1" applyFont="1" applyFill="1" applyBorder="1" applyAlignment="1">
      <alignment horizontal="center"/>
    </xf>
    <xf numFmtId="3" fontId="8" fillId="9" borderId="11" xfId="0" applyNumberFormat="1" applyFont="1" applyFill="1" applyBorder="1" applyAlignment="1">
      <alignment horizontal="center"/>
    </xf>
    <xf numFmtId="3" fontId="8" fillId="9" borderId="12" xfId="0" applyNumberFormat="1" applyFont="1" applyFill="1" applyBorder="1" applyAlignment="1">
      <alignment horizontal="center"/>
    </xf>
    <xf numFmtId="3" fontId="8" fillId="9" borderId="1" xfId="0" applyNumberFormat="1" applyFont="1" applyFill="1" applyBorder="1" applyAlignment="1">
      <alignment horizontal="center"/>
    </xf>
    <xf numFmtId="0" fontId="8" fillId="9" borderId="1" xfId="0" applyFont="1" applyFill="1" applyBorder="1" applyAlignment="1">
      <alignment horizontal="center"/>
    </xf>
    <xf numFmtId="0" fontId="8" fillId="0" borderId="0" xfId="0" applyFont="1" applyAlignment="1">
      <alignment horizontal="left" vertical="top" wrapText="1"/>
    </xf>
    <xf numFmtId="0" fontId="8" fillId="0" borderId="0" xfId="0" applyFont="1" applyAlignment="1">
      <alignment vertical="top" wrapText="1"/>
    </xf>
    <xf numFmtId="0" fontId="37" fillId="0" borderId="0" xfId="0" applyFont="1" applyAlignment="1">
      <alignment vertical="top"/>
    </xf>
    <xf numFmtId="0" fontId="7" fillId="5" borderId="0" xfId="0" applyFont="1" applyFill="1" applyAlignment="1">
      <alignment vertical="top" wrapText="1"/>
    </xf>
    <xf numFmtId="0" fontId="8" fillId="9" borderId="13" xfId="0" applyFont="1" applyFill="1" applyBorder="1" applyAlignment="1">
      <alignment horizontal="center"/>
    </xf>
    <xf numFmtId="0" fontId="8" fillId="9" borderId="2" xfId="0" applyFont="1" applyFill="1" applyBorder="1" applyAlignment="1">
      <alignment horizontal="center"/>
    </xf>
    <xf numFmtId="0" fontId="8" fillId="9" borderId="1" xfId="0" applyFont="1" applyFill="1" applyBorder="1"/>
    <xf numFmtId="0" fontId="8" fillId="9" borderId="11" xfId="0" applyFont="1" applyFill="1" applyBorder="1"/>
    <xf numFmtId="0" fontId="8" fillId="9" borderId="12" xfId="0" applyFont="1" applyFill="1" applyBorder="1"/>
    <xf numFmtId="166" fontId="6" fillId="9" borderId="1" xfId="0" applyNumberFormat="1" applyFont="1" applyFill="1" applyBorder="1" applyProtection="1"/>
    <xf numFmtId="166" fontId="6" fillId="9" borderId="11" xfId="0" applyNumberFormat="1" applyFont="1" applyFill="1" applyBorder="1" applyProtection="1"/>
    <xf numFmtId="166" fontId="6" fillId="9" borderId="12" xfId="0" applyNumberFormat="1" applyFont="1" applyFill="1" applyBorder="1" applyProtection="1"/>
    <xf numFmtId="0" fontId="6" fillId="9" borderId="1" xfId="0" applyFont="1" applyFill="1" applyBorder="1"/>
    <xf numFmtId="0" fontId="6" fillId="9" borderId="11" xfId="0" applyFont="1" applyFill="1" applyBorder="1"/>
    <xf numFmtId="0" fontId="6" fillId="9" borderId="12" xfId="0" applyFont="1" applyFill="1" applyBorder="1"/>
    <xf numFmtId="0" fontId="3" fillId="9" borderId="11" xfId="0" applyFont="1" applyFill="1" applyBorder="1"/>
    <xf numFmtId="0" fontId="6" fillId="9" borderId="0" xfId="0" applyFont="1" applyFill="1"/>
    <xf numFmtId="0" fontId="6" fillId="9" borderId="2" xfId="0" applyFont="1" applyFill="1" applyBorder="1"/>
    <xf numFmtId="0" fontId="7" fillId="5" borderId="0" xfId="0" applyFont="1" applyFill="1" applyAlignment="1">
      <alignment vertical="top" wrapText="1"/>
    </xf>
    <xf numFmtId="3" fontId="24" fillId="0" borderId="0" xfId="0" applyNumberFormat="1" applyFont="1" applyAlignment="1">
      <alignment horizontal="center"/>
    </xf>
    <xf numFmtId="0" fontId="24" fillId="0" borderId="0" xfId="0" applyFont="1"/>
    <xf numFmtId="0" fontId="19" fillId="0" borderId="0" xfId="0" applyFont="1"/>
    <xf numFmtId="0" fontId="24" fillId="0" borderId="0" xfId="0" applyFont="1" applyFill="1" applyAlignment="1" applyProtection="1">
      <alignment horizontal="center"/>
    </xf>
    <xf numFmtId="170" fontId="24" fillId="0" borderId="0" xfId="2" applyNumberFormat="1" applyFont="1" applyFill="1" applyBorder="1" applyAlignment="1" applyProtection="1">
      <alignment horizontal="left" vertical="center"/>
    </xf>
    <xf numFmtId="0" fontId="18" fillId="0" borderId="0" xfId="2" applyFont="1" applyAlignment="1" applyProtection="1">
      <alignment horizontal="center"/>
    </xf>
    <xf numFmtId="0" fontId="19" fillId="0" borderId="0" xfId="0" applyFont="1" applyAlignment="1" applyProtection="1">
      <alignment horizontal="center"/>
    </xf>
    <xf numFmtId="170" fontId="24" fillId="0" borderId="0" xfId="2" applyNumberFormat="1" applyFont="1" applyFill="1" applyBorder="1" applyAlignment="1">
      <alignment horizontal="left" vertical="center"/>
    </xf>
    <xf numFmtId="0" fontId="18" fillId="0" borderId="0" xfId="2" applyFont="1" applyAlignment="1">
      <alignment horizontal="center"/>
    </xf>
    <xf numFmtId="0" fontId="19" fillId="0" borderId="0" xfId="0" applyFont="1" applyAlignment="1">
      <alignment horizontal="center"/>
    </xf>
    <xf numFmtId="0" fontId="9" fillId="0" borderId="0" xfId="0" applyFont="1"/>
    <xf numFmtId="3" fontId="20" fillId="0" borderId="0" xfId="0" applyNumberFormat="1" applyFont="1"/>
    <xf numFmtId="167" fontId="20" fillId="0" borderId="0" xfId="0" applyNumberFormat="1" applyFont="1"/>
    <xf numFmtId="167" fontId="5" fillId="0" borderId="0" xfId="0" applyNumberFormat="1" applyFont="1"/>
    <xf numFmtId="167" fontId="39" fillId="0" borderId="0" xfId="0" applyNumberFormat="1" applyFont="1" applyFill="1"/>
    <xf numFmtId="167" fontId="40" fillId="7" borderId="0" xfId="0" applyNumberFormat="1" applyFont="1" applyFill="1"/>
    <xf numFmtId="167" fontId="5" fillId="0" borderId="0" xfId="0" applyNumberFormat="1" applyFont="1" applyFill="1"/>
    <xf numFmtId="3" fontId="20" fillId="0" borderId="0" xfId="0" applyNumberFormat="1" applyFont="1" applyAlignment="1">
      <alignment horizontal="right"/>
    </xf>
    <xf numFmtId="167" fontId="20" fillId="0" borderId="0" xfId="0" applyNumberFormat="1" applyFont="1" applyAlignment="1">
      <alignment horizontal="right"/>
    </xf>
    <xf numFmtId="167" fontId="39" fillId="0" borderId="0" xfId="0" applyNumberFormat="1" applyFont="1" applyFill="1" applyBorder="1"/>
    <xf numFmtId="167" fontId="20" fillId="0" borderId="0" xfId="0" applyNumberFormat="1" applyFont="1" applyFill="1" applyBorder="1"/>
    <xf numFmtId="0" fontId="20" fillId="0" borderId="0" xfId="0" applyFont="1"/>
    <xf numFmtId="0" fontId="41" fillId="0" borderId="0" xfId="0" applyFont="1"/>
    <xf numFmtId="167" fontId="42" fillId="0" borderId="0" xfId="0" applyNumberFormat="1" applyFont="1"/>
    <xf numFmtId="0" fontId="43" fillId="0" borderId="0" xfId="0" applyFont="1"/>
    <xf numFmtId="3" fontId="39" fillId="0" borderId="0" xfId="0" applyNumberFormat="1" applyFont="1"/>
    <xf numFmtId="3" fontId="7" fillId="0" borderId="0" xfId="0" applyNumberFormat="1" applyFont="1"/>
    <xf numFmtId="167" fontId="4" fillId="0" borderId="0" xfId="0" applyNumberFormat="1" applyFont="1"/>
    <xf numFmtId="167" fontId="19" fillId="0" borderId="0" xfId="0" applyNumberFormat="1" applyFont="1" applyFill="1"/>
    <xf numFmtId="167" fontId="4" fillId="0" borderId="0" xfId="0" applyNumberFormat="1" applyFont="1" applyFill="1"/>
    <xf numFmtId="3" fontId="7" fillId="0" borderId="0" xfId="0" applyNumberFormat="1" applyFont="1" applyAlignment="1">
      <alignment horizontal="right"/>
    </xf>
    <xf numFmtId="167" fontId="7" fillId="0" borderId="0" xfId="0" applyNumberFormat="1" applyFont="1" applyAlignment="1">
      <alignment horizontal="right"/>
    </xf>
    <xf numFmtId="167" fontId="28" fillId="0" borderId="0" xfId="0" applyNumberFormat="1" applyFont="1" applyFill="1" applyBorder="1"/>
    <xf numFmtId="0" fontId="39" fillId="0" borderId="0" xfId="0" applyFont="1" applyAlignment="1">
      <alignment horizontal="left"/>
    </xf>
    <xf numFmtId="0" fontId="39" fillId="0" borderId="0" xfId="0" applyFont="1"/>
    <xf numFmtId="167" fontId="7" fillId="0" borderId="0" xfId="0" applyNumberFormat="1" applyFont="1" applyBorder="1"/>
    <xf numFmtId="3" fontId="26" fillId="0" borderId="0" xfId="0" applyNumberFormat="1" applyFont="1"/>
    <xf numFmtId="167" fontId="44" fillId="0" borderId="0" xfId="0" applyNumberFormat="1" applyFont="1" applyAlignment="1">
      <alignment horizontal="right"/>
    </xf>
    <xf numFmtId="0" fontId="7" fillId="0" borderId="0" xfId="0" applyFont="1" applyAlignment="1">
      <alignment horizontal="right"/>
    </xf>
    <xf numFmtId="167" fontId="19" fillId="0" borderId="0" xfId="0" applyNumberFormat="1" applyFont="1" applyAlignment="1">
      <alignment horizontal="right"/>
    </xf>
    <xf numFmtId="167" fontId="4" fillId="0" borderId="0" xfId="0" applyNumberFormat="1" applyFont="1" applyFill="1" applyAlignment="1">
      <alignment horizontal="right"/>
    </xf>
    <xf numFmtId="167" fontId="45" fillId="0" borderId="0" xfId="0" applyNumberFormat="1" applyFont="1" applyFill="1" applyBorder="1"/>
    <xf numFmtId="0" fontId="20" fillId="0" borderId="0" xfId="0" applyFont="1" applyAlignment="1">
      <alignment horizontal="left"/>
    </xf>
    <xf numFmtId="167" fontId="28" fillId="6" borderId="18" xfId="0" applyNumberFormat="1" applyFont="1" applyFill="1" applyBorder="1"/>
    <xf numFmtId="167" fontId="28" fillId="6" borderId="19" xfId="0" applyNumberFormat="1" applyFont="1" applyFill="1" applyBorder="1"/>
    <xf numFmtId="0" fontId="28" fillId="6" borderId="19" xfId="0" applyFont="1" applyFill="1" applyBorder="1"/>
    <xf numFmtId="167" fontId="28" fillId="6" borderId="20" xfId="0" applyNumberFormat="1" applyFont="1" applyFill="1" applyBorder="1"/>
    <xf numFmtId="0" fontId="46" fillId="6" borderId="18" xfId="0" applyFont="1" applyFill="1" applyBorder="1"/>
    <xf numFmtId="167" fontId="26" fillId="6" borderId="19" xfId="0" applyNumberFormat="1" applyFont="1" applyFill="1" applyBorder="1"/>
    <xf numFmtId="0" fontId="28" fillId="6" borderId="21" xfId="0" applyFont="1" applyFill="1" applyBorder="1"/>
    <xf numFmtId="167" fontId="28" fillId="6" borderId="22" xfId="0" applyNumberFormat="1" applyFont="1" applyFill="1" applyBorder="1"/>
    <xf numFmtId="0" fontId="28" fillId="6" borderId="22" xfId="0" applyFont="1" applyFill="1" applyBorder="1"/>
    <xf numFmtId="167" fontId="28" fillId="6" borderId="23" xfId="0" applyNumberFormat="1" applyFont="1" applyFill="1" applyBorder="1"/>
    <xf numFmtId="3" fontId="28" fillId="0" borderId="0" xfId="0" applyNumberFormat="1" applyFont="1" applyFill="1" applyAlignment="1">
      <alignment horizontal="right"/>
    </xf>
    <xf numFmtId="167" fontId="28" fillId="0" borderId="0" xfId="0" applyNumberFormat="1" applyFont="1" applyFill="1" applyAlignment="1">
      <alignment horizontal="right"/>
    </xf>
    <xf numFmtId="167" fontId="28" fillId="0" borderId="0" xfId="0" applyNumberFormat="1" applyFont="1" applyFill="1"/>
    <xf numFmtId="0" fontId="46" fillId="6" borderId="21" xfId="0" applyFont="1" applyFill="1" applyBorder="1"/>
    <xf numFmtId="167" fontId="27" fillId="6" borderId="22" xfId="0" applyNumberFormat="1" applyFont="1" applyFill="1" applyBorder="1"/>
    <xf numFmtId="0" fontId="7" fillId="6" borderId="18" xfId="0" applyFont="1" applyFill="1" applyBorder="1"/>
    <xf numFmtId="167" fontId="27" fillId="6" borderId="19" xfId="0" applyNumberFormat="1" applyFont="1" applyFill="1" applyBorder="1"/>
    <xf numFmtId="167" fontId="3" fillId="0" borderId="0" xfId="0" applyNumberFormat="1" applyFont="1" applyAlignment="1">
      <alignment horizontal="left"/>
    </xf>
    <xf numFmtId="3" fontId="47" fillId="0" borderId="0" xfId="0" applyNumberFormat="1" applyFont="1"/>
    <xf numFmtId="167" fontId="48" fillId="0" borderId="0" xfId="0" applyNumberFormat="1" applyFont="1" applyAlignment="1">
      <alignment horizontal="right"/>
    </xf>
    <xf numFmtId="167" fontId="5" fillId="0" borderId="0" xfId="0" applyNumberFormat="1" applyFont="1" applyFill="1" applyAlignment="1">
      <alignment horizontal="right"/>
    </xf>
    <xf numFmtId="167" fontId="20" fillId="0" borderId="0" xfId="0" applyNumberFormat="1" applyFont="1" applyBorder="1"/>
    <xf numFmtId="167" fontId="39" fillId="0" borderId="0" xfId="0" applyNumberFormat="1" applyFont="1"/>
    <xf numFmtId="3" fontId="45" fillId="0" borderId="0" xfId="0" applyNumberFormat="1" applyFont="1" applyAlignment="1">
      <alignment horizontal="right"/>
    </xf>
    <xf numFmtId="167" fontId="45" fillId="0" borderId="0" xfId="0" applyNumberFormat="1" applyFont="1" applyAlignment="1">
      <alignment horizontal="right"/>
    </xf>
    <xf numFmtId="167" fontId="39" fillId="6" borderId="24" xfId="0" applyNumberFormat="1" applyFont="1" applyFill="1" applyBorder="1"/>
    <xf numFmtId="167" fontId="27" fillId="6" borderId="0" xfId="0" applyNumberFormat="1" applyFont="1" applyFill="1" applyBorder="1"/>
    <xf numFmtId="167" fontId="49" fillId="0" borderId="24" xfId="0" applyNumberFormat="1" applyFont="1" applyBorder="1"/>
    <xf numFmtId="167" fontId="47" fillId="0" borderId="0" xfId="0" applyNumberFormat="1" applyFont="1" applyAlignment="1">
      <alignment horizontal="right"/>
    </xf>
    <xf numFmtId="167" fontId="50" fillId="0" borderId="0" xfId="0" applyNumberFormat="1" applyFont="1"/>
    <xf numFmtId="167" fontId="5" fillId="0" borderId="0" xfId="0" applyNumberFormat="1" applyFont="1" applyAlignment="1">
      <alignment horizontal="right"/>
    </xf>
    <xf numFmtId="167" fontId="39" fillId="10" borderId="24" xfId="0" applyNumberFormat="1" applyFont="1" applyFill="1" applyBorder="1"/>
    <xf numFmtId="167" fontId="39" fillId="10" borderId="14" xfId="0" applyNumberFormat="1" applyFont="1" applyFill="1" applyBorder="1"/>
    <xf numFmtId="167" fontId="51" fillId="0" borderId="24" xfId="0" applyNumberFormat="1" applyFont="1" applyBorder="1"/>
    <xf numFmtId="168" fontId="20" fillId="0" borderId="0" xfId="0" applyNumberFormat="1" applyFont="1"/>
    <xf numFmtId="167" fontId="45" fillId="0" borderId="0" xfId="0" applyNumberFormat="1" applyFont="1"/>
    <xf numFmtId="3" fontId="20" fillId="10" borderId="24" xfId="0" applyNumberFormat="1" applyFont="1" applyFill="1" applyBorder="1" applyAlignment="1">
      <alignment horizontal="right"/>
    </xf>
    <xf numFmtId="167" fontId="39" fillId="10" borderId="14" xfId="0" applyNumberFormat="1" applyFont="1" applyFill="1" applyBorder="1" applyAlignment="1">
      <alignment horizontal="right"/>
    </xf>
    <xf numFmtId="167" fontId="51" fillId="6" borderId="24" xfId="0" applyNumberFormat="1" applyFont="1" applyFill="1" applyBorder="1" applyAlignment="1">
      <alignment horizontal="left"/>
    </xf>
    <xf numFmtId="167" fontId="39" fillId="6" borderId="14" xfId="0" applyNumberFormat="1" applyFont="1" applyFill="1" applyBorder="1" applyAlignment="1">
      <alignment horizontal="right"/>
    </xf>
    <xf numFmtId="167" fontId="20" fillId="6" borderId="0" xfId="0" applyNumberFormat="1" applyFont="1" applyFill="1" applyBorder="1"/>
    <xf numFmtId="167" fontId="52" fillId="0" borderId="24" xfId="0" applyNumberFormat="1" applyFont="1" applyBorder="1" applyAlignment="1">
      <alignment horizontal="right"/>
    </xf>
    <xf numFmtId="167" fontId="39" fillId="0" borderId="0" xfId="0" applyNumberFormat="1" applyFont="1" applyAlignment="1">
      <alignment horizontal="right"/>
    </xf>
    <xf numFmtId="167" fontId="5" fillId="0" borderId="0" xfId="0" applyNumberFormat="1" applyFont="1" applyFill="1" applyBorder="1" applyAlignment="1">
      <alignment horizontal="right"/>
    </xf>
    <xf numFmtId="167" fontId="39" fillId="11" borderId="24" xfId="0" applyNumberFormat="1" applyFont="1" applyFill="1" applyBorder="1" applyAlignment="1">
      <alignment horizontal="right"/>
    </xf>
    <xf numFmtId="167" fontId="39" fillId="11" borderId="14" xfId="0" applyNumberFormat="1" applyFont="1" applyFill="1" applyBorder="1" applyAlignment="1">
      <alignment horizontal="right"/>
    </xf>
    <xf numFmtId="167" fontId="52" fillId="0" borderId="0" xfId="0" applyNumberFormat="1" applyFont="1" applyFill="1" applyAlignment="1">
      <alignment horizontal="right"/>
    </xf>
    <xf numFmtId="167" fontId="52" fillId="0" borderId="0" xfId="0" applyNumberFormat="1" applyFont="1" applyAlignment="1">
      <alignment horizontal="right"/>
    </xf>
    <xf numFmtId="3" fontId="39" fillId="11" borderId="24" xfId="0" applyNumberFormat="1" applyFont="1" applyFill="1" applyBorder="1" applyAlignment="1">
      <alignment horizontal="right"/>
    </xf>
    <xf numFmtId="3" fontId="39" fillId="11" borderId="14" xfId="0" applyNumberFormat="1" applyFont="1" applyFill="1" applyBorder="1" applyAlignment="1">
      <alignment horizontal="right"/>
    </xf>
    <xf numFmtId="167" fontId="39" fillId="6" borderId="24" xfId="0" applyNumberFormat="1" applyFont="1" applyFill="1" applyBorder="1" applyAlignment="1">
      <alignment horizontal="left"/>
    </xf>
    <xf numFmtId="167" fontId="20" fillId="6" borderId="24" xfId="0" applyNumberFormat="1" applyFont="1" applyFill="1" applyBorder="1" applyAlignment="1">
      <alignment horizontal="right"/>
    </xf>
    <xf numFmtId="167" fontId="20" fillId="6" borderId="0" xfId="0" applyNumberFormat="1" applyFont="1" applyFill="1" applyBorder="1" applyAlignment="1">
      <alignment horizontal="right"/>
    </xf>
    <xf numFmtId="167" fontId="39" fillId="0" borderId="24" xfId="0" applyNumberFormat="1" applyFont="1" applyBorder="1" applyAlignment="1">
      <alignment horizontal="right"/>
    </xf>
    <xf numFmtId="167" fontId="5" fillId="0" borderId="24" xfId="0" applyNumberFormat="1" applyFont="1" applyBorder="1"/>
    <xf numFmtId="167" fontId="20" fillId="0" borderId="24" xfId="0" applyNumberFormat="1" applyFont="1" applyBorder="1"/>
    <xf numFmtId="167" fontId="39" fillId="6" borderId="24" xfId="0" applyNumberFormat="1" applyFont="1" applyFill="1" applyBorder="1" applyAlignment="1">
      <alignment horizontal="right"/>
    </xf>
    <xf numFmtId="167" fontId="52" fillId="0" borderId="24" xfId="0" applyNumberFormat="1" applyFont="1" applyBorder="1"/>
    <xf numFmtId="167" fontId="52" fillId="0" borderId="0" xfId="0" applyNumberFormat="1" applyFont="1" applyBorder="1"/>
    <xf numFmtId="167" fontId="39" fillId="11" borderId="24" xfId="0" applyNumberFormat="1" applyFont="1" applyFill="1" applyBorder="1"/>
    <xf numFmtId="167" fontId="39" fillId="11" borderId="14" xfId="0" applyNumberFormat="1" applyFont="1" applyFill="1" applyBorder="1"/>
    <xf numFmtId="167" fontId="39" fillId="0" borderId="24" xfId="0" applyNumberFormat="1" applyFont="1" applyBorder="1"/>
    <xf numFmtId="167" fontId="39" fillId="0" borderId="0" xfId="0" applyNumberFormat="1" applyFont="1" applyBorder="1"/>
    <xf numFmtId="167" fontId="39" fillId="0" borderId="14" xfId="0" applyNumberFormat="1" applyFont="1" applyBorder="1"/>
    <xf numFmtId="167" fontId="20" fillId="6" borderId="24" xfId="0" applyNumberFormat="1" applyFont="1" applyFill="1" applyBorder="1"/>
    <xf numFmtId="167" fontId="53" fillId="5" borderId="0" xfId="0" applyNumberFormat="1" applyFont="1" applyFill="1" applyAlignment="1">
      <alignment horizontal="center"/>
    </xf>
    <xf numFmtId="167" fontId="53" fillId="5" borderId="24" xfId="0" applyNumberFormat="1" applyFont="1" applyFill="1" applyBorder="1" applyAlignment="1">
      <alignment horizontal="center"/>
    </xf>
    <xf numFmtId="167" fontId="20" fillId="6" borderId="21" xfId="0" applyNumberFormat="1" applyFont="1" applyFill="1" applyBorder="1"/>
    <xf numFmtId="167" fontId="20" fillId="6" borderId="22" xfId="0" applyNumberFormat="1" applyFont="1" applyFill="1" applyBorder="1"/>
    <xf numFmtId="0" fontId="4" fillId="5" borderId="0" xfId="0" applyFont="1" applyFill="1" applyAlignment="1"/>
    <xf numFmtId="0" fontId="10" fillId="5" borderId="0" xfId="0" applyFont="1" applyFill="1"/>
    <xf numFmtId="3" fontId="3" fillId="5" borderId="0" xfId="0" applyNumberFormat="1" applyFont="1" applyFill="1" applyAlignment="1">
      <alignment horizontal="center" vertical="top"/>
    </xf>
    <xf numFmtId="3" fontId="3" fillId="9" borderId="2" xfId="0" applyNumberFormat="1" applyFont="1" applyFill="1" applyBorder="1" applyAlignment="1">
      <alignment horizontal="center" vertical="top"/>
    </xf>
    <xf numFmtId="0" fontId="10" fillId="0" borderId="0" xfId="0" applyFont="1" applyAlignment="1">
      <alignment vertical="top"/>
    </xf>
    <xf numFmtId="167" fontId="39" fillId="6" borderId="0" xfId="0" applyNumberFormat="1" applyFont="1" applyFill="1" applyBorder="1" applyAlignment="1">
      <alignment horizontal="right"/>
    </xf>
    <xf numFmtId="167" fontId="53" fillId="5" borderId="0" xfId="0" applyNumberFormat="1" applyFont="1" applyFill="1" applyBorder="1" applyAlignment="1">
      <alignment horizontal="center"/>
    </xf>
    <xf numFmtId="0" fontId="39" fillId="0" borderId="0" xfId="0" applyFont="1" applyBorder="1"/>
    <xf numFmtId="167" fontId="5" fillId="0" borderId="0" xfId="0" applyNumberFormat="1" applyFont="1" applyBorder="1"/>
    <xf numFmtId="0" fontId="20" fillId="0" borderId="0" xfId="0" applyFont="1" applyFill="1"/>
    <xf numFmtId="167" fontId="53" fillId="0" borderId="0" xfId="0" applyNumberFormat="1" applyFont="1" applyFill="1" applyAlignment="1">
      <alignment horizontal="center"/>
    </xf>
    <xf numFmtId="167" fontId="53" fillId="0" borderId="0" xfId="0" applyNumberFormat="1" applyFont="1" applyFill="1" applyBorder="1" applyAlignment="1">
      <alignment horizontal="center"/>
    </xf>
    <xf numFmtId="167" fontId="53" fillId="0" borderId="24" xfId="0" applyNumberFormat="1" applyFont="1" applyFill="1" applyBorder="1" applyAlignment="1">
      <alignment horizontal="center"/>
    </xf>
    <xf numFmtId="0" fontId="0" fillId="0" borderId="0" xfId="0" applyFill="1"/>
    <xf numFmtId="167" fontId="5" fillId="0" borderId="0" xfId="0" applyNumberFormat="1" applyFont="1" applyFill="1" applyBorder="1" applyAlignment="1">
      <alignment horizontal="center"/>
    </xf>
    <xf numFmtId="167" fontId="5" fillId="0" borderId="0" xfId="0" applyNumberFormat="1" applyFont="1" applyFill="1" applyAlignment="1">
      <alignment horizontal="center"/>
    </xf>
    <xf numFmtId="167" fontId="5" fillId="0" borderId="24" xfId="0" applyNumberFormat="1" applyFont="1" applyFill="1" applyBorder="1" applyAlignment="1">
      <alignment horizontal="center"/>
    </xf>
    <xf numFmtId="167" fontId="53" fillId="6" borderId="0" xfId="0" applyNumberFormat="1" applyFont="1" applyFill="1" applyBorder="1" applyAlignment="1">
      <alignment horizontal="center"/>
    </xf>
    <xf numFmtId="167" fontId="53" fillId="6" borderId="0" xfId="0" applyNumberFormat="1" applyFont="1" applyFill="1" applyAlignment="1">
      <alignment horizontal="center"/>
    </xf>
    <xf numFmtId="0" fontId="54" fillId="0" borderId="0" xfId="0" applyFont="1"/>
    <xf numFmtId="22" fontId="6" fillId="5" borderId="0" xfId="0" applyNumberFormat="1" applyFont="1" applyFill="1" applyAlignment="1">
      <alignment horizontal="left"/>
    </xf>
    <xf numFmtId="22" fontId="11" fillId="0" borderId="0" xfId="0" applyNumberFormat="1" applyFont="1" applyFill="1" applyAlignment="1">
      <alignment horizontal="left"/>
    </xf>
    <xf numFmtId="167" fontId="52" fillId="0" borderId="0" xfId="0" applyNumberFormat="1" applyFont="1" applyFill="1" applyBorder="1" applyAlignment="1">
      <alignment horizontal="center"/>
    </xf>
    <xf numFmtId="167" fontId="20" fillId="0" borderId="25" xfId="0" applyNumberFormat="1" applyFont="1" applyFill="1" applyBorder="1"/>
    <xf numFmtId="167" fontId="7" fillId="0" borderId="25" xfId="0" applyNumberFormat="1" applyFont="1" applyFill="1" applyBorder="1"/>
    <xf numFmtId="167" fontId="27" fillId="0" borderId="25" xfId="0" applyNumberFormat="1" applyFont="1" applyFill="1" applyBorder="1"/>
    <xf numFmtId="167" fontId="39" fillId="0" borderId="25" xfId="0" applyNumberFormat="1" applyFont="1" applyFill="1" applyBorder="1"/>
    <xf numFmtId="167" fontId="53" fillId="5" borderId="25" xfId="0" applyNumberFormat="1" applyFont="1" applyFill="1" applyBorder="1" applyAlignment="1">
      <alignment horizontal="center"/>
    </xf>
    <xf numFmtId="167" fontId="5" fillId="0" borderId="25" xfId="0" applyNumberFormat="1" applyFont="1" applyFill="1" applyBorder="1" applyAlignment="1">
      <alignment horizontal="right"/>
    </xf>
    <xf numFmtId="167" fontId="5" fillId="0" borderId="25" xfId="0" applyNumberFormat="1" applyFont="1" applyFill="1" applyBorder="1"/>
    <xf numFmtId="0" fontId="19" fillId="5" borderId="0" xfId="0" applyFont="1" applyFill="1" applyBorder="1" applyAlignment="1">
      <alignment vertical="top"/>
    </xf>
    <xf numFmtId="0" fontId="7" fillId="5" borderId="0" xfId="0" applyFont="1" applyFill="1" applyBorder="1" applyAlignment="1">
      <alignment vertical="top"/>
    </xf>
    <xf numFmtId="0" fontId="7" fillId="5" borderId="0" xfId="0" applyFont="1" applyFill="1" applyBorder="1" applyAlignment="1">
      <alignment vertical="top" wrapText="1"/>
    </xf>
    <xf numFmtId="0" fontId="4" fillId="5" borderId="0" xfId="0" applyFont="1" applyFill="1" applyBorder="1" applyAlignment="1">
      <alignment vertical="top"/>
    </xf>
    <xf numFmtId="0" fontId="7" fillId="7" borderId="0" xfId="0" applyFont="1" applyFill="1" applyAlignment="1">
      <alignment vertical="top"/>
    </xf>
    <xf numFmtId="3" fontId="3" fillId="5" borderId="12" xfId="0" applyNumberFormat="1" applyFont="1" applyFill="1" applyBorder="1" applyAlignment="1">
      <alignment horizontal="center"/>
    </xf>
    <xf numFmtId="0" fontId="8" fillId="9" borderId="19" xfId="0" applyFont="1" applyFill="1" applyBorder="1" applyAlignment="1">
      <alignment horizontal="center"/>
    </xf>
    <xf numFmtId="0" fontId="8" fillId="9" borderId="0" xfId="0" applyFont="1" applyFill="1" applyBorder="1" applyAlignment="1">
      <alignment horizontal="center"/>
    </xf>
    <xf numFmtId="0" fontId="8" fillId="9" borderId="22" xfId="0" applyFont="1" applyFill="1" applyBorder="1" applyAlignment="1">
      <alignment horizontal="center"/>
    </xf>
    <xf numFmtId="164" fontId="27" fillId="0" borderId="0" xfId="0" applyNumberFormat="1" applyFont="1" applyAlignment="1">
      <alignment horizontal="center"/>
    </xf>
    <xf numFmtId="0" fontId="20" fillId="5" borderId="0" xfId="0" applyFont="1" applyFill="1"/>
    <xf numFmtId="0" fontId="4" fillId="7" borderId="0" xfId="0" applyFont="1" applyFill="1" applyAlignment="1">
      <alignment wrapText="1"/>
    </xf>
    <xf numFmtId="167" fontId="39" fillId="0" borderId="0" xfId="0" applyNumberFormat="1" applyFont="1" applyAlignment="1">
      <alignment horizontal="center"/>
    </xf>
    <xf numFmtId="3" fontId="20" fillId="0" borderId="0" xfId="0" applyNumberFormat="1" applyFont="1" applyAlignment="1">
      <alignment horizontal="center"/>
    </xf>
    <xf numFmtId="168" fontId="53" fillId="0" borderId="0" xfId="0" applyNumberFormat="1" applyFont="1" applyFill="1" applyBorder="1" applyAlignment="1">
      <alignment horizontal="center"/>
    </xf>
    <xf numFmtId="168" fontId="0" fillId="0" borderId="0" xfId="0" applyNumberFormat="1"/>
    <xf numFmtId="167" fontId="3" fillId="0" borderId="0" xfId="0" applyNumberFormat="1" applyFont="1" applyFill="1"/>
    <xf numFmtId="169" fontId="53" fillId="0" borderId="0" xfId="0" applyNumberFormat="1" applyFont="1" applyFill="1" applyBorder="1" applyAlignment="1">
      <alignment horizontal="center"/>
    </xf>
    <xf numFmtId="9" fontId="0" fillId="0" borderId="0" xfId="0" applyNumberFormat="1"/>
    <xf numFmtId="0" fontId="55" fillId="0" borderId="0" xfId="0" applyFont="1" applyFill="1"/>
    <xf numFmtId="0" fontId="8" fillId="0" borderId="26" xfId="0" applyFont="1" applyFill="1" applyBorder="1"/>
    <xf numFmtId="0" fontId="56" fillId="0" borderId="0" xfId="0" applyFont="1" applyFill="1" applyAlignment="1">
      <alignment horizontal="left"/>
    </xf>
    <xf numFmtId="0" fontId="4" fillId="5" borderId="0" xfId="0" applyFont="1" applyFill="1" applyAlignment="1">
      <alignment vertical="top" wrapText="1"/>
    </xf>
    <xf numFmtId="0" fontId="4" fillId="0" borderId="0" xfId="0" applyFont="1" applyAlignment="1"/>
    <xf numFmtId="0" fontId="7" fillId="5" borderId="0" xfId="0" applyFont="1" applyFill="1" applyAlignment="1">
      <alignment vertical="top" wrapText="1"/>
    </xf>
    <xf numFmtId="0" fontId="4" fillId="0" borderId="0" xfId="0" applyFont="1" applyAlignment="1">
      <alignment vertical="top"/>
    </xf>
    <xf numFmtId="0" fontId="7" fillId="5" borderId="0" xfId="0" applyFont="1" applyFill="1" applyAlignment="1">
      <alignment vertical="top"/>
    </xf>
    <xf numFmtId="0" fontId="7" fillId="5" borderId="0" xfId="0" applyFont="1" applyFill="1" applyAlignment="1">
      <alignment horizontal="left" vertical="top"/>
    </xf>
    <xf numFmtId="0" fontId="4" fillId="0" borderId="0" xfId="0" applyFont="1" applyAlignment="1">
      <alignment horizontal="left" vertical="top"/>
    </xf>
    <xf numFmtId="0" fontId="4" fillId="5" borderId="0" xfId="0" quotePrefix="1" applyFont="1" applyFill="1" applyBorder="1" applyAlignment="1">
      <alignment horizontal="left" vertical="top" wrapText="1"/>
    </xf>
    <xf numFmtId="0" fontId="6" fillId="0" borderId="0" xfId="0" applyFont="1" applyAlignment="1">
      <alignment horizontal="left" vertical="top" wrapText="1"/>
    </xf>
    <xf numFmtId="171" fontId="7" fillId="5" borderId="0" xfId="0" applyNumberFormat="1" applyFont="1" applyFill="1" applyAlignment="1">
      <alignment horizontal="left" vertical="top" wrapText="1"/>
    </xf>
    <xf numFmtId="171" fontId="4" fillId="0" borderId="0" xfId="0" applyNumberFormat="1" applyFont="1" applyAlignment="1">
      <alignment horizontal="left" vertical="top"/>
    </xf>
    <xf numFmtId="0" fontId="4" fillId="5" borderId="0" xfId="0" applyFont="1" applyFill="1" applyBorder="1" applyAlignment="1">
      <alignment vertical="top" wrapText="1"/>
    </xf>
    <xf numFmtId="0" fontId="6" fillId="0" borderId="0" xfId="0" applyFont="1" applyAlignment="1">
      <alignment vertical="top"/>
    </xf>
    <xf numFmtId="0" fontId="8" fillId="5" borderId="0" xfId="0" applyFont="1" applyFill="1" applyAlignment="1">
      <alignment vertical="top" wrapText="1"/>
    </xf>
    <xf numFmtId="0" fontId="0" fillId="0" borderId="0" xfId="0" applyAlignment="1">
      <alignment vertical="top"/>
    </xf>
  </cellXfs>
  <cellStyles count="5">
    <cellStyle name="Normaali" xfId="0" builtinId="0"/>
    <cellStyle name="Normaali 2" xfId="1"/>
    <cellStyle name="Normaali 3" xfId="3"/>
    <cellStyle name="Normaali 5" xfId="4"/>
    <cellStyle name="Normaali_Taul1" xfId="2"/>
  </cellStyles>
  <dxfs count="0"/>
  <tableStyles count="0" defaultTableStyle="TableStyleMedium2" defaultPivotStyle="PivotStyleLight16"/>
  <colors>
    <mruColors>
      <color rgb="FFEBE65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Inkomststruktur!$A$24</c:f>
              <c:strCache>
                <c:ptCount val="1"/>
                <c:pt idx="0">
                  <c:v>Kommunalskatt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Inkomststruktur!$A$25:$A$26</c:f>
              <c:numCache>
                <c:formatCode>0%</c:formatCode>
                <c:ptCount val="2"/>
                <c:pt idx="0">
                  <c:v>0.3683123802567892</c:v>
                </c:pt>
                <c:pt idx="1">
                  <c:v>0.44587894175227966</c:v>
                </c:pt>
              </c:numCache>
            </c:numRef>
          </c:val>
          <c:extLst>
            <c:ext xmlns:c16="http://schemas.microsoft.com/office/drawing/2014/chart" uri="{C3380CC4-5D6E-409C-BE32-E72D297353CC}">
              <c16:uniqueId val="{00000001-0B41-49B2-9D02-29776F7B432C}"/>
            </c:ext>
          </c:extLst>
        </c:ser>
        <c:ser>
          <c:idx val="0"/>
          <c:order val="1"/>
          <c:tx>
            <c:strRef>
              <c:f>Inkomststruktur!$B$24</c:f>
              <c:strCache>
                <c:ptCount val="1"/>
                <c:pt idx="0">
                  <c:v>Samfundsskatt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Inkomststruktur!$B$25:$B$26</c:f>
              <c:numCache>
                <c:formatCode>0%</c:formatCode>
                <c:ptCount val="2"/>
                <c:pt idx="0">
                  <c:v>2.8697830286501719E-2</c:v>
                </c:pt>
                <c:pt idx="1">
                  <c:v>5.0449800283204622E-2</c:v>
                </c:pt>
              </c:numCache>
            </c:numRef>
          </c:val>
          <c:extLst>
            <c:ext xmlns:c16="http://schemas.microsoft.com/office/drawing/2014/chart" uri="{C3380CC4-5D6E-409C-BE32-E72D297353CC}">
              <c16:uniqueId val="{00000002-0B41-49B2-9D02-29776F7B432C}"/>
            </c:ext>
          </c:extLst>
        </c:ser>
        <c:ser>
          <c:idx val="2"/>
          <c:order val="2"/>
          <c:tx>
            <c:strRef>
              <c:f>Inkomststruktur!$C$24</c:f>
              <c:strCache>
                <c:ptCount val="1"/>
                <c:pt idx="0">
                  <c:v>Fastighetsskatt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Inkomststruktur!$C$25:$C$26</c:f>
              <c:numCache>
                <c:formatCode>0%</c:formatCode>
                <c:ptCount val="2"/>
                <c:pt idx="0">
                  <c:v>3.1238300701776398E-2</c:v>
                </c:pt>
                <c:pt idx="1">
                  <c:v>8.4791205788647572E-2</c:v>
                </c:pt>
              </c:numCache>
            </c:numRef>
          </c:val>
          <c:extLst>
            <c:ext xmlns:c16="http://schemas.microsoft.com/office/drawing/2014/chart" uri="{C3380CC4-5D6E-409C-BE32-E72D297353CC}">
              <c16:uniqueId val="{00000003-0B41-49B2-9D02-29776F7B432C}"/>
            </c:ext>
          </c:extLst>
        </c:ser>
        <c:ser>
          <c:idx val="3"/>
          <c:order val="3"/>
          <c:tx>
            <c:strRef>
              <c:f>Inkomststruktur!$D$24</c:f>
              <c:strCache>
                <c:ptCount val="1"/>
                <c:pt idx="0">
                  <c:v>Statsandelar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Inkomststruktur!$D$25:$D$26</c:f>
              <c:numCache>
                <c:formatCode>0%</c:formatCode>
                <c:ptCount val="2"/>
                <c:pt idx="0">
                  <c:v>0.55466138065586545</c:v>
                </c:pt>
                <c:pt idx="1">
                  <c:v>0.36393914259797744</c:v>
                </c:pt>
              </c:numCache>
            </c:numRef>
          </c:val>
          <c:extLst>
            <c:ext xmlns:c16="http://schemas.microsoft.com/office/drawing/2014/chart" uri="{C3380CC4-5D6E-409C-BE32-E72D297353CC}">
              <c16:uniqueId val="{00000004-0B41-49B2-9D02-29776F7B432C}"/>
            </c:ext>
          </c:extLst>
        </c:ser>
        <c:ser>
          <c:idx val="4"/>
          <c:order val="4"/>
          <c:tx>
            <c:strRef>
              <c:f>Inkomststruktur!$E$24</c:f>
              <c:strCache>
                <c:ptCount val="1"/>
                <c:pt idx="0">
                  <c:v>Finansieringsandelar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Inkomststruktur!$E$25:$E$26</c:f>
              <c:numCache>
                <c:formatCode>0%</c:formatCode>
                <c:ptCount val="2"/>
                <c:pt idx="0">
                  <c:v>1.7090108099067313E-2</c:v>
                </c:pt>
                <c:pt idx="1">
                  <c:v>4.6388274657201349E-2</c:v>
                </c:pt>
              </c:numCache>
            </c:numRef>
          </c:val>
          <c:extLst>
            <c:ext xmlns:c16="http://schemas.microsoft.com/office/drawing/2014/chart" uri="{C3380CC4-5D6E-409C-BE32-E72D297353CC}">
              <c16:uniqueId val="{00000005-0B41-49B2-9D02-29776F7B432C}"/>
            </c:ext>
          </c:extLst>
        </c:ser>
        <c:ser>
          <c:idx val="5"/>
          <c:order val="5"/>
          <c:tx>
            <c:strRef>
              <c:f>Inkomststruktur!$F$24</c:f>
              <c:strCache>
                <c:ptCount val="1"/>
                <c:pt idx="0">
                  <c:v>Övergångsutjämning</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Inkomststruktur!$F$25:$F$26</c:f>
              <c:numCache>
                <c:formatCode>0%</c:formatCode>
                <c:ptCount val="2"/>
                <c:pt idx="1">
                  <c:v>8.552634920689469E-3</c:v>
                </c:pt>
              </c:numCache>
            </c:numRef>
          </c:val>
          <c:extLst>
            <c:ext xmlns:c16="http://schemas.microsoft.com/office/drawing/2014/chart" uri="{C3380CC4-5D6E-409C-BE32-E72D297353CC}">
              <c16:uniqueId val="{0000000B-0B41-49B2-9D02-29776F7B432C}"/>
            </c:ext>
          </c:extLst>
        </c:ser>
        <c:dLbls>
          <c:showLegendKey val="0"/>
          <c:showVal val="1"/>
          <c:showCatName val="0"/>
          <c:showSerName val="0"/>
          <c:showPercent val="0"/>
          <c:showBubbleSize val="0"/>
        </c:dLbls>
        <c:gapWidth val="75"/>
        <c:overlap val="100"/>
        <c:axId val="298331199"/>
        <c:axId val="298339103"/>
      </c:barChart>
      <c:catAx>
        <c:axId val="298331199"/>
        <c:scaling>
          <c:orientation val="minMax"/>
        </c:scaling>
        <c:delete val="1"/>
        <c:axPos val="b"/>
        <c:numFmt formatCode="General" sourceLinked="1"/>
        <c:majorTickMark val="none"/>
        <c:minorTickMark val="none"/>
        <c:tickLblPos val="nextTo"/>
        <c:crossAx val="298339103"/>
        <c:crosses val="autoZero"/>
        <c:auto val="1"/>
        <c:lblAlgn val="ctr"/>
        <c:lblOffset val="100"/>
        <c:noMultiLvlLbl val="0"/>
      </c:catAx>
      <c:valAx>
        <c:axId val="298339103"/>
        <c:scaling>
          <c:orientation val="minMax"/>
          <c:max val="1.2"/>
          <c:min val="-0.2"/>
        </c:scaling>
        <c:delete val="1"/>
        <c:axPos val="l"/>
        <c:numFmt formatCode="0%" sourceLinked="1"/>
        <c:majorTickMark val="none"/>
        <c:minorTickMark val="none"/>
        <c:tickLblPos val="nextTo"/>
        <c:crossAx val="298331199"/>
        <c:crosses val="autoZero"/>
        <c:crossBetween val="between"/>
      </c:valAx>
      <c:spPr>
        <a:noFill/>
        <a:ln>
          <a:noFill/>
        </a:ln>
        <a:effectLst/>
      </c:spPr>
    </c:plotArea>
    <c:legend>
      <c:legendPos val="b"/>
      <c:layout>
        <c:manualLayout>
          <c:xMode val="edge"/>
          <c:yMode val="edge"/>
          <c:x val="2.2535434375604121E-2"/>
          <c:y val="0.92187624615592578"/>
          <c:w val="0.94389971884551405"/>
          <c:h val="6.9540062856949747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734002</xdr:colOff>
      <xdr:row>0</xdr:row>
      <xdr:rowOff>128197</xdr:rowOff>
    </xdr:from>
    <xdr:to>
      <xdr:col>6</xdr:col>
      <xdr:colOff>2531455</xdr:colOff>
      <xdr:row>2</xdr:row>
      <xdr:rowOff>351118</xdr:rowOff>
    </xdr:to>
    <xdr:pic>
      <xdr:nvPicPr>
        <xdr:cNvPr id="2" name="Kuva 1"/>
        <xdr:cNvPicPr>
          <a:picLocks noChangeAspect="1"/>
        </xdr:cNvPicPr>
      </xdr:nvPicPr>
      <xdr:blipFill>
        <a:blip xmlns:r="http://schemas.openxmlformats.org/officeDocument/2006/relationships" r:embed="rId1"/>
        <a:stretch>
          <a:fillRect/>
        </a:stretch>
      </xdr:blipFill>
      <xdr:spPr>
        <a:xfrm>
          <a:off x="13150120" y="128197"/>
          <a:ext cx="1797453" cy="693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5334000</xdr:colOff>
      <xdr:row>1</xdr:row>
      <xdr:rowOff>38100</xdr:rowOff>
    </xdr:from>
    <xdr:to>
      <xdr:col>5</xdr:col>
      <xdr:colOff>6740650</xdr:colOff>
      <xdr:row>4</xdr:row>
      <xdr:rowOff>845</xdr:rowOff>
    </xdr:to>
    <xdr:pic>
      <xdr:nvPicPr>
        <xdr:cNvPr id="2" name="Kuva 1"/>
        <xdr:cNvPicPr>
          <a:picLocks noChangeAspect="1"/>
        </xdr:cNvPicPr>
      </xdr:nvPicPr>
      <xdr:blipFill>
        <a:blip xmlns:r="http://schemas.openxmlformats.org/officeDocument/2006/relationships" r:embed="rId1"/>
        <a:stretch>
          <a:fillRect/>
        </a:stretch>
      </xdr:blipFill>
      <xdr:spPr>
        <a:xfrm>
          <a:off x="11971020" y="205740"/>
          <a:ext cx="1406650" cy="5410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6076950</xdr:colOff>
      <xdr:row>0</xdr:row>
      <xdr:rowOff>116840</xdr:rowOff>
    </xdr:from>
    <xdr:to>
      <xdr:col>4</xdr:col>
      <xdr:colOff>8064500</xdr:colOff>
      <xdr:row>4</xdr:row>
      <xdr:rowOff>119282</xdr:rowOff>
    </xdr:to>
    <xdr:pic>
      <xdr:nvPicPr>
        <xdr:cNvPr id="2" name="Kuva 1"/>
        <xdr:cNvPicPr>
          <a:picLocks noChangeAspect="1"/>
        </xdr:cNvPicPr>
      </xdr:nvPicPr>
      <xdr:blipFill>
        <a:blip xmlns:r="http://schemas.openxmlformats.org/officeDocument/2006/relationships" r:embed="rId1"/>
        <a:stretch>
          <a:fillRect/>
        </a:stretch>
      </xdr:blipFill>
      <xdr:spPr>
        <a:xfrm>
          <a:off x="11639550" y="116840"/>
          <a:ext cx="1987550" cy="7644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21167</xdr:colOff>
      <xdr:row>7</xdr:row>
      <xdr:rowOff>95250</xdr:rowOff>
    </xdr:from>
    <xdr:to>
      <xdr:col>7</xdr:col>
      <xdr:colOff>10583</xdr:colOff>
      <xdr:row>49</xdr:row>
      <xdr:rowOff>31750</xdr:rowOff>
    </xdr:to>
    <xdr:graphicFrame macro="">
      <xdr:nvGraphicFramePr>
        <xdr:cNvPr id="3" name="Kaavi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709084</xdr:colOff>
      <xdr:row>26</xdr:row>
      <xdr:rowOff>42938</xdr:rowOff>
    </xdr:from>
    <xdr:to>
      <xdr:col>3</xdr:col>
      <xdr:colOff>341085</xdr:colOff>
      <xdr:row>29</xdr:row>
      <xdr:rowOff>89201</xdr:rowOff>
    </xdr:to>
    <xdr:sp macro="" textlink="">
      <xdr:nvSpPr>
        <xdr:cNvPr id="9" name="Nuoli oikealle 8"/>
        <xdr:cNvSpPr/>
      </xdr:nvSpPr>
      <xdr:spPr>
        <a:xfrm>
          <a:off x="2518834" y="4477355"/>
          <a:ext cx="785584" cy="522513"/>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4</xdr:col>
      <xdr:colOff>49787</xdr:colOff>
      <xdr:row>5</xdr:row>
      <xdr:rowOff>1796</xdr:rowOff>
    </xdr:from>
    <xdr:to>
      <xdr:col>5</xdr:col>
      <xdr:colOff>589538</xdr:colOff>
      <xdr:row>7</xdr:row>
      <xdr:rowOff>6333</xdr:rowOff>
    </xdr:to>
    <xdr:sp macro="" textlink="">
      <xdr:nvSpPr>
        <xdr:cNvPr id="2" name="Tekstiruutu 1"/>
        <xdr:cNvSpPr txBox="1"/>
      </xdr:nvSpPr>
      <xdr:spPr>
        <a:xfrm>
          <a:off x="3699703" y="1103174"/>
          <a:ext cx="1365784" cy="324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200" b="1"/>
            <a:t>År</a:t>
          </a:r>
          <a:r>
            <a:rPr lang="fi-FI" sz="1200" b="1" baseline="0"/>
            <a:t> 2019</a:t>
          </a:r>
          <a:endParaRPr lang="fi-FI" sz="1200" b="1"/>
        </a:p>
      </xdr:txBody>
    </xdr:sp>
    <xdr:clientData/>
  </xdr:twoCellAnchor>
  <xdr:twoCellAnchor>
    <xdr:from>
      <xdr:col>1</xdr:col>
      <xdr:colOff>102062</xdr:colOff>
      <xdr:row>4</xdr:row>
      <xdr:rowOff>166311</xdr:rowOff>
    </xdr:from>
    <xdr:to>
      <xdr:col>2</xdr:col>
      <xdr:colOff>483062</xdr:colOff>
      <xdr:row>7</xdr:row>
      <xdr:rowOff>10106</xdr:rowOff>
    </xdr:to>
    <xdr:sp macro="" textlink="">
      <xdr:nvSpPr>
        <xdr:cNvPr id="5" name="Tekstiruutu 4"/>
        <xdr:cNvSpPr txBox="1"/>
      </xdr:nvSpPr>
      <xdr:spPr>
        <a:xfrm>
          <a:off x="947306" y="1101202"/>
          <a:ext cx="1367117" cy="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200" b="1"/>
            <a:t>2017</a:t>
          </a:r>
          <a:r>
            <a:rPr lang="fi-FI" sz="1200" b="1" baseline="0"/>
            <a:t> års nivå</a:t>
          </a:r>
          <a:endParaRPr lang="fi-FI" sz="1200" b="1"/>
        </a:p>
      </xdr:txBody>
    </xdr:sp>
    <xdr:clientData/>
  </xdr:twoCellAnchor>
  <xdr:twoCellAnchor>
    <xdr:from>
      <xdr:col>0</xdr:col>
      <xdr:colOff>246112</xdr:colOff>
      <xdr:row>39</xdr:row>
      <xdr:rowOff>54430</xdr:rowOff>
    </xdr:from>
    <xdr:to>
      <xdr:col>6</xdr:col>
      <xdr:colOff>517071</xdr:colOff>
      <xdr:row>39</xdr:row>
      <xdr:rowOff>61528</xdr:rowOff>
    </xdr:to>
    <xdr:cxnSp macro="">
      <xdr:nvCxnSpPr>
        <xdr:cNvPr id="6" name="Suora yhdysviiva 5"/>
        <xdr:cNvCxnSpPr/>
      </xdr:nvCxnSpPr>
      <xdr:spPr>
        <a:xfrm flipV="1">
          <a:off x="246112" y="6462803"/>
          <a:ext cx="5538698" cy="709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A1:I64"/>
  <sheetViews>
    <sheetView tabSelected="1" zoomScale="85" zoomScaleNormal="85" workbookViewId="0">
      <pane xSplit="1" ySplit="10" topLeftCell="B11" activePane="bottomRight" state="frozen"/>
      <selection pane="topRight" activeCell="B1" sqref="B1"/>
      <selection pane="bottomLeft" activeCell="A9" sqref="A9"/>
      <selection pane="bottomRight" activeCell="A8" sqref="A8"/>
    </sheetView>
  </sheetViews>
  <sheetFormatPr defaultColWidth="9.140625" defaultRowHeight="12.75" x14ac:dyDescent="0.2"/>
  <cols>
    <col min="1" max="1" width="50" style="5" customWidth="1"/>
    <col min="2" max="2" width="15.42578125" style="5" customWidth="1"/>
    <col min="3" max="3" width="14.5703125" style="5" customWidth="1"/>
    <col min="4" max="4" width="12.42578125" style="5" customWidth="1"/>
    <col min="5" max="5" width="5.42578125" style="5" customWidth="1"/>
    <col min="6" max="6" width="79.85546875" style="34" customWidth="1"/>
    <col min="7" max="7" width="39" style="5" customWidth="1"/>
    <col min="8" max="8" width="44.5703125" style="5" customWidth="1"/>
    <col min="9" max="9" width="14.42578125" style="5" bestFit="1" customWidth="1"/>
    <col min="10" max="16384" width="9.140625" style="5"/>
  </cols>
  <sheetData>
    <row r="1" spans="1:7" x14ac:dyDescent="0.2">
      <c r="A1" s="123"/>
      <c r="B1" s="124"/>
      <c r="C1" s="124"/>
      <c r="D1" s="124"/>
      <c r="E1" s="124"/>
      <c r="F1" s="125"/>
      <c r="G1" s="124"/>
    </row>
    <row r="2" spans="1:7" ht="24.75" x14ac:dyDescent="0.25">
      <c r="A2" s="126" t="s">
        <v>423</v>
      </c>
      <c r="B2" s="124"/>
      <c r="C2" s="127"/>
      <c r="D2" s="124"/>
      <c r="E2" s="124"/>
      <c r="F2" s="233" t="s">
        <v>479</v>
      </c>
      <c r="G2" s="124"/>
    </row>
    <row r="3" spans="1:7" ht="81.599999999999994" customHeight="1" x14ac:dyDescent="0.2">
      <c r="A3" s="413" t="s">
        <v>424</v>
      </c>
      <c r="C3" s="124"/>
      <c r="D3" s="129"/>
      <c r="E3" s="124"/>
      <c r="F3" s="420" t="s">
        <v>952</v>
      </c>
      <c r="G3" s="124"/>
    </row>
    <row r="4" spans="1:7" x14ac:dyDescent="0.2">
      <c r="A4" s="400" t="s">
        <v>422</v>
      </c>
      <c r="B4" s="128" t="s">
        <v>467</v>
      </c>
      <c r="C4" s="130"/>
      <c r="D4" s="130"/>
      <c r="E4" s="124"/>
      <c r="F4" s="196"/>
    </row>
    <row r="5" spans="1:7" ht="14.1" customHeight="1" x14ac:dyDescent="0.2">
      <c r="A5" s="399" t="s">
        <v>478</v>
      </c>
      <c r="B5" s="419" t="s">
        <v>480</v>
      </c>
      <c r="C5" s="111"/>
      <c r="D5" s="111"/>
      <c r="E5" s="111"/>
      <c r="F5" s="112" t="s">
        <v>475</v>
      </c>
      <c r="G5" s="111"/>
    </row>
    <row r="6" spans="1:7" ht="14.1" customHeight="1" x14ac:dyDescent="0.2">
      <c r="A6" s="265" t="s">
        <v>822</v>
      </c>
      <c r="B6" s="111"/>
      <c r="C6" s="111"/>
      <c r="D6" s="111"/>
      <c r="E6" s="111"/>
      <c r="F6" s="112"/>
      <c r="G6" s="111"/>
    </row>
    <row r="7" spans="1:7" ht="14.1" customHeight="1" x14ac:dyDescent="0.2">
      <c r="A7" s="119" t="s">
        <v>466</v>
      </c>
      <c r="B7" s="113" t="s">
        <v>468</v>
      </c>
      <c r="C7" s="113"/>
      <c r="D7" s="113" t="s">
        <v>469</v>
      </c>
      <c r="E7" s="111"/>
      <c r="F7" s="131" t="s">
        <v>476</v>
      </c>
      <c r="G7" s="132"/>
    </row>
    <row r="8" spans="1:7" ht="14.1" customHeight="1" x14ac:dyDescent="0.2">
      <c r="A8" s="235" t="s">
        <v>490</v>
      </c>
      <c r="B8" s="113" t="s">
        <v>470</v>
      </c>
      <c r="C8" s="113" t="s">
        <v>471</v>
      </c>
      <c r="D8" s="113" t="s">
        <v>470</v>
      </c>
      <c r="E8" s="111"/>
      <c r="F8" s="431" t="s">
        <v>477</v>
      </c>
      <c r="G8" s="432"/>
    </row>
    <row r="9" spans="1:7" ht="19.350000000000001" customHeight="1" x14ac:dyDescent="0.2">
      <c r="A9" s="120" t="s">
        <v>465</v>
      </c>
      <c r="B9" s="113" t="s">
        <v>472</v>
      </c>
      <c r="C9" s="113" t="s">
        <v>473</v>
      </c>
      <c r="D9" s="114">
        <v>2019</v>
      </c>
      <c r="E9" s="111"/>
      <c r="F9" s="431"/>
      <c r="G9" s="432"/>
    </row>
    <row r="10" spans="1:7" ht="15.6" customHeight="1" x14ac:dyDescent="0.2">
      <c r="A10" s="121">
        <f>VLOOKUP(A8,'Kommunvisa uppgifter (BS 2015)'!B10:G307,6,FALSE)</f>
        <v>5458325</v>
      </c>
      <c r="B10" s="139"/>
      <c r="C10" s="139" t="s">
        <v>474</v>
      </c>
      <c r="D10" s="111"/>
      <c r="E10" s="111"/>
      <c r="F10" s="431"/>
      <c r="G10" s="432"/>
    </row>
    <row r="11" spans="1:7" x14ac:dyDescent="0.2">
      <c r="B11" s="118">
        <f>B12/$B$12</f>
        <v>1</v>
      </c>
      <c r="C11" s="118">
        <f>C12/$B$12</f>
        <v>0.24348977840863328</v>
      </c>
      <c r="D11" s="118">
        <f>D12/$B$12</f>
        <v>0.75651022159136672</v>
      </c>
      <c r="F11" s="221"/>
      <c r="G11" s="111"/>
    </row>
    <row r="12" spans="1:7" s="9" customFormat="1" x14ac:dyDescent="0.2">
      <c r="A12" s="9" t="s">
        <v>425</v>
      </c>
      <c r="B12" s="154">
        <f>IF(A6="Budgetprognos 2017",SUM(B13:B18),IF(SUM($B$13:$B$18)=0,VLOOKUP($A$8,'Kommunvisa uppgifter (BS 2015)'!$B$10:$GC$307,182,FALSE),SUM($B$13:$B$18)))</f>
        <v>12875637</v>
      </c>
      <c r="C12" s="154">
        <f>IF(A6="Budgetprognos 2017",SUM(C13:C18),IF(SUM($C$13:$C$18)=0,VLOOKUP($A$8,'Kommunvisa uppgifter (BS 2015)'!$B$10:$GV$307,183,FALSE),SUM($C$13:$C$18)))</f>
        <v>3135086</v>
      </c>
      <c r="D12" s="154">
        <f>B12-C12</f>
        <v>9740551</v>
      </c>
      <c r="F12" s="433" t="s">
        <v>823</v>
      </c>
      <c r="G12" s="434"/>
    </row>
    <row r="13" spans="1:7" x14ac:dyDescent="0.2">
      <c r="A13" s="107" t="s">
        <v>426</v>
      </c>
      <c r="B13" s="157"/>
      <c r="C13" s="236"/>
      <c r="D13" s="10"/>
      <c r="F13" s="431"/>
      <c r="G13" s="434"/>
    </row>
    <row r="14" spans="1:7" ht="15" customHeight="1" x14ac:dyDescent="0.2">
      <c r="A14" s="107" t="s">
        <v>427</v>
      </c>
      <c r="B14" s="158"/>
      <c r="C14" s="237" t="s">
        <v>406</v>
      </c>
      <c r="D14" s="10"/>
      <c r="F14" s="433" t="s">
        <v>824</v>
      </c>
      <c r="G14" s="434"/>
    </row>
    <row r="15" spans="1:7" x14ac:dyDescent="0.2">
      <c r="A15" s="107" t="s">
        <v>428</v>
      </c>
      <c r="B15" s="158"/>
      <c r="C15" s="237" t="s">
        <v>407</v>
      </c>
      <c r="D15" s="10"/>
      <c r="F15" s="431" t="s">
        <v>825</v>
      </c>
      <c r="G15" s="434"/>
    </row>
    <row r="16" spans="1:7" x14ac:dyDescent="0.2">
      <c r="A16" s="107" t="s">
        <v>429</v>
      </c>
      <c r="B16" s="158"/>
      <c r="C16" s="237" t="s">
        <v>408</v>
      </c>
      <c r="D16" s="10"/>
      <c r="F16" s="431" t="s">
        <v>826</v>
      </c>
      <c r="G16" s="434"/>
    </row>
    <row r="17" spans="1:9" ht="15" customHeight="1" x14ac:dyDescent="0.2">
      <c r="A17" s="5" t="s">
        <v>430</v>
      </c>
      <c r="B17" s="158"/>
      <c r="C17" s="238"/>
      <c r="D17" s="10"/>
      <c r="F17" s="251"/>
      <c r="G17" s="251"/>
    </row>
    <row r="18" spans="1:9" ht="15" customHeight="1" x14ac:dyDescent="0.2">
      <c r="A18" s="5" t="s">
        <v>431</v>
      </c>
      <c r="B18" s="159"/>
      <c r="C18" s="239"/>
      <c r="D18" s="10"/>
      <c r="F18" s="251"/>
      <c r="G18" s="251"/>
    </row>
    <row r="19" spans="1:9" ht="17.100000000000001" customHeight="1" x14ac:dyDescent="0.2">
      <c r="B19" s="155">
        <f>B20/$B$20</f>
        <v>1</v>
      </c>
      <c r="C19" s="155">
        <f>C20/$B$20</f>
        <v>0.50470428258189504</v>
      </c>
      <c r="D19" s="155">
        <f>D20/$B$20</f>
        <v>0.49529571741810491</v>
      </c>
      <c r="F19" s="379"/>
      <c r="G19" s="379"/>
    </row>
    <row r="20" spans="1:9" s="9" customFormat="1" ht="16.350000000000001" customHeight="1" x14ac:dyDescent="0.2">
      <c r="A20" s="9" t="s">
        <v>432</v>
      </c>
      <c r="B20" s="154">
        <f>IF(A6="Budgetprognos 2017",IF(SUM($B$21:$B$27)=0,0,SUM($B$21:$B$27)),IF(SUM($B$21:$B$27)=0,B29-B12,SUM($B$21:$B$27)))</f>
        <v>-41180856</v>
      </c>
      <c r="C20" s="240">
        <f>IF(A6="Budgetprognos 2017",IF(SUM($C$21:$C$27)=0,0,SUM(C21,C24,C25,C26,C27)),IF(SUM($C$21:$C$27)=0,C29-C12,SUM(C21,C24,C25,C26,C27)))</f>
        <v>-20784154.383588329</v>
      </c>
      <c r="D20" s="154">
        <f>B20-C20</f>
        <v>-20396701.616411671</v>
      </c>
      <c r="F20" s="436" t="s">
        <v>827</v>
      </c>
      <c r="G20" s="437"/>
    </row>
    <row r="21" spans="1:9" s="9" customFormat="1" ht="15" customHeight="1" x14ac:dyDescent="0.2">
      <c r="A21" s="107" t="s">
        <v>433</v>
      </c>
      <c r="B21" s="133"/>
      <c r="C21" s="241"/>
      <c r="D21" s="133"/>
      <c r="F21" s="435" t="s">
        <v>828</v>
      </c>
      <c r="G21" s="434"/>
    </row>
    <row r="22" spans="1:9" x14ac:dyDescent="0.2">
      <c r="A22" s="162" t="s">
        <v>434</v>
      </c>
      <c r="B22" s="133"/>
      <c r="C22" s="238"/>
      <c r="D22" s="133"/>
      <c r="F22" s="431" t="s">
        <v>829</v>
      </c>
      <c r="G22" s="434"/>
    </row>
    <row r="23" spans="1:9" ht="15" customHeight="1" x14ac:dyDescent="0.2">
      <c r="A23" s="162" t="s">
        <v>435</v>
      </c>
      <c r="B23" s="133"/>
      <c r="C23" s="238"/>
      <c r="D23" s="133"/>
      <c r="F23" s="433" t="s">
        <v>830</v>
      </c>
      <c r="G23" s="434"/>
      <c r="I23" s="195"/>
    </row>
    <row r="24" spans="1:9" x14ac:dyDescent="0.2">
      <c r="A24" s="107" t="s">
        <v>436</v>
      </c>
      <c r="B24" s="133"/>
      <c r="C24" s="238"/>
      <c r="D24" s="133"/>
      <c r="F24" s="433" t="s">
        <v>831</v>
      </c>
      <c r="G24" s="434"/>
    </row>
    <row r="25" spans="1:9" ht="15" customHeight="1" x14ac:dyDescent="0.2">
      <c r="A25" s="107" t="s">
        <v>437</v>
      </c>
      <c r="B25" s="133"/>
      <c r="C25" s="238"/>
      <c r="D25" s="133"/>
      <c r="F25" s="433" t="s">
        <v>832</v>
      </c>
      <c r="G25" s="434"/>
    </row>
    <row r="26" spans="1:9" x14ac:dyDescent="0.2">
      <c r="A26" s="107" t="s">
        <v>438</v>
      </c>
      <c r="B26" s="133"/>
      <c r="C26" s="241"/>
      <c r="D26" s="133"/>
      <c r="F26" s="431" t="s">
        <v>833</v>
      </c>
      <c r="G26" s="434"/>
    </row>
    <row r="27" spans="1:9" x14ac:dyDescent="0.2">
      <c r="A27" s="107" t="s">
        <v>439</v>
      </c>
      <c r="B27" s="133"/>
      <c r="C27" s="242"/>
      <c r="D27" s="133"/>
      <c r="F27" s="433" t="s">
        <v>834</v>
      </c>
      <c r="G27" s="434"/>
    </row>
    <row r="28" spans="1:9" ht="15.6" customHeight="1" x14ac:dyDescent="0.2">
      <c r="B28" s="155">
        <f>B29/$B$29</f>
        <v>1</v>
      </c>
      <c r="C28" s="155">
        <f>C29/$B$29</f>
        <v>0.62352700339779488</v>
      </c>
      <c r="D28" s="155">
        <f>D29/$B$29</f>
        <v>0.37647299660220507</v>
      </c>
      <c r="F28" s="433" t="s">
        <v>835</v>
      </c>
      <c r="G28" s="434"/>
    </row>
    <row r="29" spans="1:9" s="9" customFormat="1" ht="18" customHeight="1" x14ac:dyDescent="0.2">
      <c r="A29" s="383" t="s">
        <v>440</v>
      </c>
      <c r="B29" s="381">
        <f>IF(A6="Budgetprognos 2017",VLOOKUP($A$8,'FMs uppgifter (februari 2017)'!$B$22:$AT$318,36,FALSE),VLOOKUP($A$8,'Kommunvisa uppgifter (BS 2015)'!$B$10:$GC$307,24,FALSE))</f>
        <v>-28305219</v>
      </c>
      <c r="C29" s="382">
        <f>IF(A6="Budgetprognos 2017",VLOOKUP($A$8,'FMs uppgifter (februari 2017)'!$B$22:$AT$318,40,FALSE),VLOOKUP($A$8,'FMs uppgifter (december 2016)'!$B$15:$V$312,17,FALSE)*(-1)-C50)</f>
        <v>-17649068.383588329</v>
      </c>
      <c r="D29" s="381">
        <f>B29-C29</f>
        <v>-10656150.616411671</v>
      </c>
      <c r="E29" s="383"/>
      <c r="F29" s="409"/>
      <c r="G29" s="380"/>
    </row>
    <row r="30" spans="1:9" s="9" customFormat="1" x14ac:dyDescent="0.2">
      <c r="A30" s="383"/>
      <c r="B30" s="383"/>
      <c r="C30" s="383"/>
      <c r="D30" s="383"/>
      <c r="E30" s="383"/>
      <c r="F30" s="410"/>
      <c r="G30" s="380"/>
    </row>
    <row r="31" spans="1:9" ht="26.1" customHeight="1" x14ac:dyDescent="0.2">
      <c r="B31" s="155">
        <f>B32/$B$32</f>
        <v>1</v>
      </c>
      <c r="C31" s="155">
        <f>C32/$B$32</f>
        <v>0.54310385363971381</v>
      </c>
      <c r="D31" s="155">
        <f t="shared" ref="D31" si="0">D32/$B$32</f>
        <v>0.45689614636028619</v>
      </c>
      <c r="F31" s="433" t="s">
        <v>836</v>
      </c>
      <c r="G31" s="434"/>
    </row>
    <row r="32" spans="1:9" x14ac:dyDescent="0.2">
      <c r="A32" s="5" t="s">
        <v>441</v>
      </c>
      <c r="B32" s="151">
        <f>B33+B34+B35</f>
        <v>21662871</v>
      </c>
      <c r="C32" s="243">
        <f>C33+C34+C35</f>
        <v>11765188.721000001</v>
      </c>
      <c r="D32" s="151">
        <f>D33+D34+D35</f>
        <v>9897682.2789999992</v>
      </c>
      <c r="F32" s="409"/>
      <c r="G32" s="411"/>
    </row>
    <row r="33" spans="1:7" ht="23.45" customHeight="1" x14ac:dyDescent="0.2">
      <c r="A33" s="5" t="s">
        <v>442</v>
      </c>
      <c r="B33" s="147">
        <f>IF(A6="Budgetprognos 2017",VLOOKUP($A$8,'FMs uppgifter (februari 2017)'!$B$22:$AT$318,41,FALSE),VLOOKUP($A$8,'Kommunvisa uppgifter (BS 2015)'!$B$10:$GE$307,26,FALSE))</f>
        <v>18443219</v>
      </c>
      <c r="C33" s="244">
        <f>IF(A6="Budgetprognos 2017",VLOOKUP($A$8,'FMs uppgifter (februari 2017)'!$B$22:$AT$318,42,FALSE),VLOOKUP($A$8,'FMs uppgifter (december 2016)'!$B$15:$Q$312,14,FALSE)*(-1))</f>
        <v>11265188.721000001</v>
      </c>
      <c r="D33" s="145">
        <f>B33-C33</f>
        <v>7178030.2789999992</v>
      </c>
      <c r="F33" s="438" t="s">
        <v>838</v>
      </c>
      <c r="G33" s="439"/>
    </row>
    <row r="34" spans="1:7" ht="28.35" customHeight="1" x14ac:dyDescent="0.2">
      <c r="A34" s="5" t="s">
        <v>443</v>
      </c>
      <c r="B34" s="147">
        <f>IF(A6="Budgetprognos 2017",VLOOKUP($A$8,'FMs uppgifter (februari 2017)'!$B$22:$AT$318,44,FALSE),VLOOKUP($A$8,'Kommunvisa uppgifter (BS 2015)'!$B$10:$GE$307,27,FALSE))</f>
        <v>1638497</v>
      </c>
      <c r="C34" s="244">
        <f>IF(A6="Budgetprognos 2017",VLOOKUP($A$8,'FMs uppgifter (februari 2017)'!$B$22:$AT$318,45,FALSE),VLOOKUP($A$8,'FMs uppgifter (december 2016)'!$B$15:$Q$312,15,FALSE)*(-1))</f>
        <v>500000.00000000035</v>
      </c>
      <c r="D34" s="145">
        <f>B34-C34</f>
        <v>1138496.9999999995</v>
      </c>
      <c r="F34" s="439"/>
      <c r="G34" s="439"/>
    </row>
    <row r="35" spans="1:7" x14ac:dyDescent="0.2">
      <c r="A35" s="5" t="s">
        <v>444</v>
      </c>
      <c r="B35" s="147">
        <f>IF(A6="Budgetprognos 2017",VLOOKUP($A$8,'FMs uppgifter (februari 2017)'!$B$22:$BA$318,52,FALSE),VLOOKUP($A$8,'Kommunvisa uppgifter (BS 2015)'!$B$10:$GE$307,28,FALSE))</f>
        <v>1581155</v>
      </c>
      <c r="C35" s="245"/>
      <c r="D35" s="145">
        <f>B35-C35</f>
        <v>1581155</v>
      </c>
      <c r="F35" s="433" t="s">
        <v>837</v>
      </c>
      <c r="G35" s="434"/>
    </row>
    <row r="36" spans="1:7" s="110" customFormat="1" ht="15" customHeight="1" x14ac:dyDescent="0.2">
      <c r="B36" s="155">
        <f>B37/$B$37</f>
        <v>1</v>
      </c>
      <c r="C36" s="155">
        <f>C37/$B$37</f>
        <v>0.7225392492142465</v>
      </c>
      <c r="D36" s="155">
        <f t="shared" ref="D36" si="1">D37/$B$37</f>
        <v>0.27746075078575355</v>
      </c>
      <c r="F36" s="433"/>
      <c r="G36" s="434"/>
    </row>
    <row r="37" spans="1:7" x14ac:dyDescent="0.2">
      <c r="A37" s="5" t="s">
        <v>445</v>
      </c>
      <c r="B37" s="151">
        <f>IF(A6="Budgetprognos 2017",IF(SUM(B38:B40)=0,VLOOKUP($A$8,'FMs uppgifter (februari 2017)'!$B$22:$BA$318,47,FALSE),SUM(B38:B40)),IF(SUM($B$38:$B$40)=0,VLOOKUP($A$8,'Kommunvisa uppgifter (BS 2015)'!$B$10:$GT$307,29,FALSE),SUM($B$38:$B$40)))</f>
        <v>8196322</v>
      </c>
      <c r="C37" s="243">
        <f>IF(A6="Budgetprognos 2017",IF(SUM(B38:B40)=0,VLOOKUP($A$8,'FMs uppgifter (februari 2017)'!$B$22:$BA$318,48,FALSE),SUM(B38:B40)),IF(SUM($C$38:$C$40)=0,VLOOKUP(A8,'FMs uppgifter (december 2016)'!B15:Q312,16,FALSE)*-1,SUM($C$38:$C$40)))</f>
        <v>5922164.3441982111</v>
      </c>
      <c r="D37" s="151">
        <f>B37-C37</f>
        <v>2274157.6558017889</v>
      </c>
      <c r="F37" s="410" t="str">
        <f>"Kommunens övergångsutjämning år 2019 (" &amp;IF(VLOOKUP(A8,'FMs uppgifter (februari 2017)'!B15:BA412,30,FALSE)&lt;0,"-","+")&amp;(MROUND(ABS(VLOOKUP(A8,'FMs uppgifter (februari 2017)'!B15:BA412,30,FALSE)),1))&amp;" eur/inv.; totalt " &amp; TEXT(VLOOKUP(A8,'FMs uppgifter (februari 2017)'!B22:BD317,51,FALSE),"### ### ###") &amp; " euro)"</f>
        <v>Kommunens övergångsutjämning år 2019 (-0 eur/inv.; totalt  euro)</v>
      </c>
      <c r="G37" s="412"/>
    </row>
    <row r="38" spans="1:7" ht="36.6" customHeight="1" x14ac:dyDescent="0.2">
      <c r="A38" s="5" t="s">
        <v>446</v>
      </c>
      <c r="B38" s="147"/>
      <c r="C38" s="244"/>
      <c r="D38" s="147"/>
      <c r="F38" s="442" t="s">
        <v>839</v>
      </c>
      <c r="G38" s="443"/>
    </row>
    <row r="39" spans="1:7" ht="15" customHeight="1" x14ac:dyDescent="0.2">
      <c r="A39" s="5" t="s">
        <v>447</v>
      </c>
      <c r="B39" s="147"/>
      <c r="C39" s="241"/>
      <c r="D39" s="153"/>
      <c r="F39" s="433" t="s">
        <v>840</v>
      </c>
      <c r="G39" s="434"/>
    </row>
    <row r="40" spans="1:7" x14ac:dyDescent="0.2">
      <c r="A40" s="5" t="s">
        <v>448</v>
      </c>
      <c r="B40" s="147"/>
      <c r="C40" s="239"/>
      <c r="D40" s="153"/>
      <c r="F40" s="440"/>
      <c r="G40" s="441"/>
    </row>
    <row r="41" spans="1:7" ht="15" customHeight="1" x14ac:dyDescent="0.2">
      <c r="A41" s="222"/>
      <c r="B41" s="146"/>
      <c r="C41" s="10"/>
      <c r="D41" s="10"/>
      <c r="F41" s="433"/>
      <c r="G41" s="434"/>
    </row>
    <row r="42" spans="1:7" ht="15" customHeight="1" x14ac:dyDescent="0.2">
      <c r="A42" s="5" t="s">
        <v>449</v>
      </c>
      <c r="B42" s="154">
        <f>B43+B44+B45+B46</f>
        <v>340731</v>
      </c>
      <c r="C42" s="246"/>
      <c r="D42" s="154">
        <f t="shared" ref="D42" si="2">D43+D44+D45+D46</f>
        <v>340731</v>
      </c>
      <c r="F42" s="433"/>
      <c r="G42" s="434"/>
    </row>
    <row r="43" spans="1:7" ht="15" customHeight="1" x14ac:dyDescent="0.2">
      <c r="A43" s="5" t="s">
        <v>450</v>
      </c>
      <c r="B43" s="145">
        <f>IF(A6="Budgetprognos 2017",0,VLOOKUP($A$8,'Kommunvisa uppgifter (BS 2015)'!$B$10:$GE$307,31,FALSE))</f>
        <v>250238</v>
      </c>
      <c r="C43" s="241"/>
      <c r="D43" s="147">
        <f>B43-C43</f>
        <v>250238</v>
      </c>
      <c r="F43" s="433" t="s">
        <v>841</v>
      </c>
      <c r="G43" s="434"/>
    </row>
    <row r="44" spans="1:7" x14ac:dyDescent="0.2">
      <c r="A44" s="5" t="s">
        <v>451</v>
      </c>
      <c r="B44" s="145">
        <f>IF(A6="Budgetprognos 2017",0,VLOOKUP($A$8,'Kommunvisa uppgifter (BS 2015)'!$B$10:$GE$307,32,FALSE))</f>
        <v>359922</v>
      </c>
      <c r="C44" s="241"/>
      <c r="D44" s="147">
        <f>B44-C44</f>
        <v>359922</v>
      </c>
      <c r="F44" s="433" t="s">
        <v>846</v>
      </c>
      <c r="G44" s="434"/>
    </row>
    <row r="45" spans="1:7" ht="15" customHeight="1" x14ac:dyDescent="0.2">
      <c r="A45" s="5" t="s">
        <v>452</v>
      </c>
      <c r="B45" s="145">
        <f>IF(A6="Budgetprognos 2017",0,VLOOKUP($A$8,'Kommunvisa uppgifter (BS 2015)'!$B$10:$GE$307,34,FALSE)*-1)</f>
        <v>-193799</v>
      </c>
      <c r="C45" s="241"/>
      <c r="D45" s="147">
        <f>B45-C45</f>
        <v>-193799</v>
      </c>
      <c r="F45" s="433"/>
      <c r="G45" s="434"/>
    </row>
    <row r="46" spans="1:7" ht="15" customHeight="1" x14ac:dyDescent="0.2">
      <c r="A46" s="5" t="s">
        <v>453</v>
      </c>
      <c r="B46" s="145">
        <f>IF(A6="Budgetprognos 2017",0,VLOOKUP($A$8,'Kommunvisa uppgifter (BS 2015)'!$B$10:$GE$307,35,FALSE)*-1)</f>
        <v>-75630</v>
      </c>
      <c r="C46" s="239"/>
      <c r="D46" s="147">
        <f>B46-C46</f>
        <v>-75630</v>
      </c>
      <c r="F46" s="433"/>
      <c r="G46" s="434"/>
    </row>
    <row r="47" spans="1:7" x14ac:dyDescent="0.2">
      <c r="B47" s="146"/>
      <c r="C47" s="10"/>
      <c r="D47" s="10"/>
      <c r="F47" s="433" t="s">
        <v>842</v>
      </c>
      <c r="G47" s="434"/>
    </row>
    <row r="48" spans="1:7" s="9" customFormat="1" ht="15" customHeight="1" x14ac:dyDescent="0.2">
      <c r="A48" s="9" t="s">
        <v>454</v>
      </c>
      <c r="B48" s="151">
        <f>B29+B32+B37+B42</f>
        <v>1894705</v>
      </c>
      <c r="C48" s="154"/>
      <c r="D48" s="151">
        <f>D29+D32+D37+D42</f>
        <v>1856420.318390117</v>
      </c>
      <c r="F48" s="434"/>
      <c r="G48" s="434"/>
    </row>
    <row r="49" spans="1:7" ht="32.1" customHeight="1" x14ac:dyDescent="0.2">
      <c r="B49" s="155">
        <f>B50/$B$50</f>
        <v>1</v>
      </c>
      <c r="C49" s="155">
        <f t="shared" ref="C49:D49" si="3">C50/$B$50</f>
        <v>3.373543733612501E-2</v>
      </c>
      <c r="D49" s="155">
        <f t="shared" si="3"/>
        <v>0.96626456266387495</v>
      </c>
      <c r="F49" s="434"/>
      <c r="G49" s="434"/>
    </row>
    <row r="50" spans="1:7" x14ac:dyDescent="0.2">
      <c r="A50" s="5" t="s">
        <v>455</v>
      </c>
      <c r="B50" s="147">
        <f>IF(SUM(B51:B52)=0,IF(A6="Budgetprognos 2017",VLOOKUP($A$8,'FMs uppgifter (februari 2017)'!$B$22:$BA$318,35,FALSE),VLOOKUP($A$8,'Kommunvisa uppgifter (BS 2015)'!$B$10:$GC$307,184,FALSE)*-1),SUM(B51:B52))</f>
        <v>-2082380</v>
      </c>
      <c r="C50" s="246">
        <f>IF(SUM(C51:C52)=0,IF(A6="Budgetprognos 2017",VLOOKUP($A$8,'FMs uppgifter (februari 2017)'!$B$22:$BA$318,37,FALSE),VLOOKUP($A$8,'Kommunvisa uppgifter (BS 2015)'!$B$10:$GT$307,191,FALSE)*-1),SUM(C51:C52))</f>
        <v>-70250</v>
      </c>
      <c r="D50" s="147">
        <f>B50-C50</f>
        <v>-2012130</v>
      </c>
      <c r="F50" s="409"/>
      <c r="G50" s="266"/>
    </row>
    <row r="51" spans="1:7" x14ac:dyDescent="0.2">
      <c r="A51" s="5" t="s">
        <v>456</v>
      </c>
      <c r="B51" s="147"/>
      <c r="C51" s="244"/>
      <c r="D51" s="153"/>
      <c r="F51" s="411"/>
      <c r="G51" s="266"/>
    </row>
    <row r="52" spans="1:7" x14ac:dyDescent="0.2">
      <c r="A52" s="5" t="s">
        <v>457</v>
      </c>
      <c r="B52" s="147"/>
      <c r="C52" s="241"/>
      <c r="D52" s="153"/>
      <c r="F52" s="433" t="s">
        <v>843</v>
      </c>
      <c r="G52" s="434"/>
    </row>
    <row r="53" spans="1:7" ht="15" customHeight="1" x14ac:dyDescent="0.2">
      <c r="A53" s="5" t="s">
        <v>458</v>
      </c>
      <c r="B53" s="147">
        <f>IF(A6="Budgetprognos 2017",0,VLOOKUP($A$8,'Kommunvisa uppgifter (BS 2015)'!$B$10:$GE$307,41,FALSE))</f>
        <v>346559</v>
      </c>
      <c r="C53" s="241"/>
      <c r="D53" s="147">
        <f>B53-C53</f>
        <v>346559</v>
      </c>
      <c r="F53" s="433"/>
      <c r="G53" s="434"/>
    </row>
    <row r="54" spans="1:7" ht="15" customHeight="1" x14ac:dyDescent="0.2">
      <c r="A54" s="5" t="s">
        <v>459</v>
      </c>
      <c r="B54" s="147">
        <f>IF(A6="Budgetprognos 2017",0,VLOOKUP($A$8,'Kommunvisa uppgifter (BS 2015)'!$B$10:$GE$307,42,FALSE)*-1)</f>
        <v>-15730</v>
      </c>
      <c r="C54" s="239"/>
      <c r="D54" s="147">
        <f>B54-C54</f>
        <v>-15730</v>
      </c>
      <c r="F54" s="433"/>
      <c r="G54" s="434"/>
    </row>
    <row r="55" spans="1:7" ht="9" customHeight="1" x14ac:dyDescent="0.2">
      <c r="B55" s="146"/>
      <c r="C55" s="10"/>
      <c r="D55" s="10"/>
      <c r="F55" s="433"/>
      <c r="G55" s="434"/>
    </row>
    <row r="56" spans="1:7" s="9" customFormat="1" x14ac:dyDescent="0.2">
      <c r="A56" s="9" t="s">
        <v>460</v>
      </c>
      <c r="B56" s="154">
        <f>B48+B50+B53+B54</f>
        <v>143154</v>
      </c>
      <c r="C56" s="154"/>
      <c r="D56" s="154">
        <f t="shared" ref="D56" si="4">D48+D50+D53+D54</f>
        <v>175119.31839011703</v>
      </c>
      <c r="F56" s="434"/>
      <c r="G56" s="434"/>
    </row>
    <row r="57" spans="1:7" ht="6.75" customHeight="1" x14ac:dyDescent="0.2">
      <c r="B57" s="146"/>
      <c r="C57" s="156"/>
      <c r="D57" s="10"/>
      <c r="F57" s="434"/>
      <c r="G57" s="434"/>
    </row>
    <row r="58" spans="1:7" x14ac:dyDescent="0.2">
      <c r="A58" s="5" t="s">
        <v>461</v>
      </c>
      <c r="B58" s="10">
        <v>0</v>
      </c>
      <c r="C58" s="247"/>
      <c r="D58" s="10">
        <f>B58-C58</f>
        <v>0</v>
      </c>
      <c r="F58" s="433" t="s">
        <v>844</v>
      </c>
      <c r="G58" s="434"/>
    </row>
    <row r="59" spans="1:7" ht="15" customHeight="1" x14ac:dyDescent="0.2">
      <c r="A59" s="5" t="s">
        <v>462</v>
      </c>
      <c r="B59" s="10">
        <v>0</v>
      </c>
      <c r="C59" s="241"/>
      <c r="D59" s="10">
        <f t="shared" ref="D59:D60" si="5">B59-C59</f>
        <v>0</v>
      </c>
      <c r="F59" s="433" t="s">
        <v>845</v>
      </c>
      <c r="G59" s="434"/>
    </row>
    <row r="60" spans="1:7" ht="15" customHeight="1" x14ac:dyDescent="0.2">
      <c r="A60" s="5" t="s">
        <v>463</v>
      </c>
      <c r="B60" s="10">
        <v>0</v>
      </c>
      <c r="C60" s="239"/>
      <c r="D60" s="10">
        <f t="shared" si="5"/>
        <v>0</v>
      </c>
      <c r="F60" s="444"/>
      <c r="G60" s="445"/>
    </row>
    <row r="61" spans="1:7" ht="15" customHeight="1" x14ac:dyDescent="0.2">
      <c r="B61" s="146"/>
      <c r="C61" s="156"/>
      <c r="D61" s="10"/>
      <c r="F61" s="445"/>
      <c r="G61" s="445"/>
    </row>
    <row r="62" spans="1:7" s="9" customFormat="1" x14ac:dyDescent="0.2">
      <c r="A62" s="9" t="s">
        <v>464</v>
      </c>
      <c r="B62" s="154">
        <f>B56+B58+B59+B60</f>
        <v>143154</v>
      </c>
      <c r="C62" s="154"/>
      <c r="D62" s="154">
        <f t="shared" ref="D62" si="6">D56+D58+D59+D60</f>
        <v>175119.31839011703</v>
      </c>
      <c r="F62" s="445"/>
      <c r="G62" s="445"/>
    </row>
    <row r="63" spans="1:7" x14ac:dyDescent="0.2">
      <c r="B63" s="8"/>
      <c r="D63" s="7"/>
    </row>
    <row r="64" spans="1:7" x14ac:dyDescent="0.2">
      <c r="A64" s="4"/>
      <c r="B64" s="7"/>
      <c r="D64" s="102"/>
      <c r="F64" s="34" t="str">
        <f>"BF -årets överskott ändras jämf med ursprungliga uppgifter " &amp; MROUND(ABS(((($D$62-$B$62)*1000)/A10)),1) &amp; " €/inv."</f>
        <v>BF -årets överskott ändras jämf med ursprungliga uppgifter 6 €/inv.</v>
      </c>
    </row>
  </sheetData>
  <mergeCells count="36">
    <mergeCell ref="F60:G62"/>
    <mergeCell ref="F55:G57"/>
    <mergeCell ref="F52:G52"/>
    <mergeCell ref="F53:G53"/>
    <mergeCell ref="F54:G54"/>
    <mergeCell ref="F58:G58"/>
    <mergeCell ref="F44:G44"/>
    <mergeCell ref="F45:G45"/>
    <mergeCell ref="F46:G46"/>
    <mergeCell ref="F47:G49"/>
    <mergeCell ref="F59:G59"/>
    <mergeCell ref="F36:G36"/>
    <mergeCell ref="F39:G39"/>
    <mergeCell ref="F43:G43"/>
    <mergeCell ref="F40:G40"/>
    <mergeCell ref="F41:G41"/>
    <mergeCell ref="F42:G42"/>
    <mergeCell ref="F38:G38"/>
    <mergeCell ref="F31:G31"/>
    <mergeCell ref="F13:G13"/>
    <mergeCell ref="F35:G35"/>
    <mergeCell ref="F12:G12"/>
    <mergeCell ref="F28:G28"/>
    <mergeCell ref="F33:G34"/>
    <mergeCell ref="F8:G10"/>
    <mergeCell ref="F27:G27"/>
    <mergeCell ref="F26:G26"/>
    <mergeCell ref="F15:G15"/>
    <mergeCell ref="F14:G14"/>
    <mergeCell ref="F25:G25"/>
    <mergeCell ref="F24:G24"/>
    <mergeCell ref="F23:G23"/>
    <mergeCell ref="F22:G22"/>
    <mergeCell ref="F21:G21"/>
    <mergeCell ref="F20:G20"/>
    <mergeCell ref="F16:G16"/>
  </mergeCells>
  <phoneticPr fontId="5" type="noConversion"/>
  <dataValidations count="3">
    <dataValidation type="list" allowBlank="1" showInputMessage="1" showErrorMessage="1" prompt="Välj kommun" sqref="A8">
      <formula1>Kunnat2</formula1>
    </dataValidation>
    <dataValidation type="list" allowBlank="1" showInputMessage="1" showErrorMessage="1" sqref="C5:C6">
      <formula1>Lähtötaso</formula1>
    </dataValidation>
    <dataValidation type="list" allowBlank="1" showInputMessage="1" showErrorMessage="1" prompt="Välj gruduppgifter. Bokslutsprognosens uppgifter 2017 gäller från verksamhets-bidraget och framåt." sqref="A6">
      <formula1>Lähtötaso</formula1>
    </dataValidation>
  </dataValidations>
  <pageMargins left="0.27559055118110237" right="0.19685039370078741" top="0.47244094488188981" bottom="0.39370078740157483" header="0.39370078740157483" footer="0.23622047244094491"/>
  <pageSetup paperSize="9" orientation="landscape" verticalDpi="4294967293" r:id="rId1"/>
  <headerFooter alignWithMargins="0"/>
  <ignoredErrors>
    <ignoredError sqref="D3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F39"/>
  <sheetViews>
    <sheetView workbookViewId="0">
      <pane xSplit="1" ySplit="7" topLeftCell="B8" activePane="bottomRight" state="frozen"/>
      <selection pane="topRight" activeCell="B1" sqref="B1"/>
      <selection pane="bottomLeft" activeCell="A9" sqref="A9"/>
      <selection pane="bottomRight" activeCell="B8" sqref="B8"/>
    </sheetView>
  </sheetViews>
  <sheetFormatPr defaultColWidth="9.140625" defaultRowHeight="12.75" x14ac:dyDescent="0.2"/>
  <cols>
    <col min="1" max="1" width="47.42578125" style="5" customWidth="1"/>
    <col min="2" max="2" width="13" style="5" customWidth="1"/>
    <col min="3" max="3" width="11.5703125" style="5" customWidth="1"/>
    <col min="4" max="4" width="20.140625" style="5" bestFit="1" customWidth="1"/>
    <col min="5" max="5" width="4.5703125" style="5" customWidth="1"/>
    <col min="6" max="6" width="98.85546875" style="34" customWidth="1"/>
    <col min="7" max="16384" width="9.140625" style="5"/>
  </cols>
  <sheetData>
    <row r="1" spans="1:6" x14ac:dyDescent="0.2">
      <c r="A1" s="4"/>
      <c r="B1" s="7"/>
    </row>
    <row r="2" spans="1:6" ht="18" x14ac:dyDescent="0.25">
      <c r="A2" s="141" t="s">
        <v>412</v>
      </c>
      <c r="B2" s="108"/>
      <c r="C2" s="111"/>
      <c r="D2" s="111"/>
      <c r="E2" s="111"/>
      <c r="F2" s="140"/>
    </row>
    <row r="3" spans="1:6" ht="17.25" customHeight="1" x14ac:dyDescent="0.2">
      <c r="A3" s="132" t="s">
        <v>421</v>
      </c>
      <c r="B3" s="108"/>
      <c r="C3" s="111"/>
      <c r="D3" s="111"/>
      <c r="E3" s="111"/>
      <c r="F3" s="140"/>
    </row>
    <row r="4" spans="1:6" ht="11.85" customHeight="1" x14ac:dyDescent="0.2">
      <c r="A4" s="111" t="s">
        <v>411</v>
      </c>
      <c r="B4" s="108"/>
      <c r="C4" s="111"/>
      <c r="D4" s="111"/>
      <c r="E4" s="111"/>
      <c r="F4" s="140"/>
    </row>
    <row r="5" spans="1:6" ht="14.85" customHeight="1" x14ac:dyDescent="0.2">
      <c r="A5" s="111"/>
      <c r="B5" s="113" t="s">
        <v>579</v>
      </c>
      <c r="C5" s="111"/>
      <c r="D5" s="113" t="s">
        <v>579</v>
      </c>
      <c r="E5" s="111"/>
      <c r="F5" s="140"/>
    </row>
    <row r="6" spans="1:6" ht="14.85" customHeight="1" x14ac:dyDescent="0.2">
      <c r="A6" s="111" t="str">
        <f>Resultaträkning!A8</f>
        <v>Fasta Finland</v>
      </c>
      <c r="B6" s="113" t="s">
        <v>657</v>
      </c>
      <c r="C6" s="113" t="s">
        <v>658</v>
      </c>
      <c r="D6" s="113" t="s">
        <v>657</v>
      </c>
      <c r="E6" s="111"/>
      <c r="F6" s="140"/>
    </row>
    <row r="7" spans="1:6" ht="14.85" customHeight="1" x14ac:dyDescent="0.2">
      <c r="A7" s="119" t="s">
        <v>630</v>
      </c>
      <c r="B7" s="113" t="s">
        <v>472</v>
      </c>
      <c r="C7" s="111"/>
      <c r="D7" s="113">
        <v>2019</v>
      </c>
      <c r="E7" s="111"/>
      <c r="F7" s="112" t="s">
        <v>1</v>
      </c>
    </row>
    <row r="8" spans="1:6" ht="15" customHeight="1" x14ac:dyDescent="0.2">
      <c r="A8" s="9" t="s">
        <v>631</v>
      </c>
      <c r="B8" s="7"/>
      <c r="F8" s="140"/>
    </row>
    <row r="9" spans="1:6" ht="15" customHeight="1" x14ac:dyDescent="0.2">
      <c r="A9" s="5" t="s">
        <v>632</v>
      </c>
      <c r="B9" s="185">
        <f>Resultaträkning!B48</f>
        <v>1894705</v>
      </c>
      <c r="C9" s="146"/>
      <c r="D9" s="183">
        <f>Resultaträkning!D48</f>
        <v>1856420.318390117</v>
      </c>
      <c r="F9" s="140" t="s">
        <v>617</v>
      </c>
    </row>
    <row r="10" spans="1:6" ht="15" customHeight="1" x14ac:dyDescent="0.2">
      <c r="A10" s="5" t="s">
        <v>633</v>
      </c>
      <c r="B10" s="186">
        <f>Resultaträkning!B53+Resultaträkning!B54</f>
        <v>330829</v>
      </c>
      <c r="C10" s="148"/>
      <c r="D10" s="184">
        <f>Resultaträkning!D53+Resultaträkning!D54</f>
        <v>330829</v>
      </c>
      <c r="F10" s="140" t="s">
        <v>617</v>
      </c>
    </row>
    <row r="11" spans="1:6" ht="15" customHeight="1" x14ac:dyDescent="0.2">
      <c r="A11" s="5" t="s">
        <v>634</v>
      </c>
      <c r="B11" s="187">
        <f>IF(B7="TA2017",0,VLOOKUP($A$6,'Kommunvisa uppgifter (BS 2015)'!$B$10:$GT$307,52,FALSE))</f>
        <v>-614379</v>
      </c>
      <c r="C11" s="252"/>
      <c r="D11" s="188">
        <f>B11-C11</f>
        <v>-614379</v>
      </c>
      <c r="F11" s="140"/>
    </row>
    <row r="12" spans="1:6" ht="15" customHeight="1" x14ac:dyDescent="0.2">
      <c r="A12" s="9" t="s">
        <v>635</v>
      </c>
      <c r="B12" s="149"/>
      <c r="C12" s="10"/>
      <c r="D12" s="150"/>
      <c r="F12" s="140"/>
    </row>
    <row r="13" spans="1:6" ht="15" customHeight="1" x14ac:dyDescent="0.2">
      <c r="A13" s="5" t="s">
        <v>636</v>
      </c>
      <c r="B13" s="185">
        <f>IF(B7="TA2017",VLOOKUP($A$6,'FMs uppgifter (februari 2017)'!$B$22:$BY$318,53,FALSE),VLOOKUP($A$6,'Kommunvisa uppgifter (BS 2015)'!$B$10:$GT$307,54,FALSE)*(-1))</f>
        <v>-3613766</v>
      </c>
      <c r="C13" s="415"/>
      <c r="D13" s="185">
        <f>B13-C13</f>
        <v>-3613766</v>
      </c>
      <c r="F13" s="140" t="s">
        <v>618</v>
      </c>
    </row>
    <row r="14" spans="1:6" ht="15" customHeight="1" x14ac:dyDescent="0.2">
      <c r="A14" s="5" t="s">
        <v>637</v>
      </c>
      <c r="B14" s="186">
        <f>IF(B7="TA2017",VLOOKUP($A$6,'FMs uppgifter (februari 2017)'!$B$22:$BY$318,54,FALSE),VLOOKUP($A$6,'Kommunvisa uppgifter (BS 2015)'!$B$10:$GT$307,55,FALSE))</f>
        <v>195876</v>
      </c>
      <c r="C14" s="416"/>
      <c r="D14" s="186">
        <f t="shared" ref="D14:D15" si="0">B14-C14</f>
        <v>195876</v>
      </c>
      <c r="F14" s="140" t="s">
        <v>619</v>
      </c>
    </row>
    <row r="15" spans="1:6" ht="15" customHeight="1" x14ac:dyDescent="0.2">
      <c r="A15" s="5" t="s">
        <v>638</v>
      </c>
      <c r="B15" s="186">
        <f>IF(B7="TA2017",VLOOKUP($A$6,'FMs uppgifter (februari 2017)'!$B$22:$BY$318,55,FALSE),VLOOKUP($A$6,'Kommunvisa uppgifter (BS 2015)'!$B$10:$GT$307,56,FALSE))</f>
        <v>916223</v>
      </c>
      <c r="C15" s="417"/>
      <c r="D15" s="186">
        <f t="shared" si="0"/>
        <v>916223</v>
      </c>
      <c r="F15" s="140" t="s">
        <v>620</v>
      </c>
    </row>
    <row r="16" spans="1:6" s="9" customFormat="1" ht="15" customHeight="1" x14ac:dyDescent="0.2">
      <c r="A16" s="9" t="s">
        <v>639</v>
      </c>
      <c r="B16" s="414">
        <f>IF(B9*B10*B11*B13*B14*B15=0,VLOOKUP($A$6,'FMs uppgifter (februari 2017)'!$B$22:$BY$318,56,FALSE),SUM(B9:B15))</f>
        <v>-890512</v>
      </c>
      <c r="C16" s="191"/>
      <c r="D16" s="414">
        <f>SUM(D9:D15)</f>
        <v>-928796.68160988297</v>
      </c>
      <c r="F16" s="112"/>
    </row>
    <row r="17" spans="1:6" ht="15" customHeight="1" x14ac:dyDescent="0.2">
      <c r="B17" s="418"/>
      <c r="C17" s="10"/>
      <c r="D17" s="10"/>
      <c r="F17" s="140"/>
    </row>
    <row r="18" spans="1:6" ht="15" customHeight="1" x14ac:dyDescent="0.2">
      <c r="A18" s="9" t="s">
        <v>640</v>
      </c>
      <c r="B18" s="148"/>
      <c r="C18" s="10"/>
      <c r="D18" s="10"/>
      <c r="F18" s="140"/>
    </row>
    <row r="19" spans="1:6" ht="15" customHeight="1" x14ac:dyDescent="0.2">
      <c r="A19" s="5" t="s">
        <v>641</v>
      </c>
      <c r="B19" s="151">
        <f>B20+B21</f>
        <v>-198760</v>
      </c>
      <c r="C19" s="10"/>
      <c r="D19" s="151">
        <f>D20+D21</f>
        <v>-198760</v>
      </c>
      <c r="F19" s="140"/>
    </row>
    <row r="20" spans="1:6" ht="15" customHeight="1" x14ac:dyDescent="0.2">
      <c r="A20" s="107" t="s">
        <v>642</v>
      </c>
      <c r="B20" s="145">
        <f>IF(B7="TA2017",0,VLOOKUP($A$6,'Kommunvisa uppgifter (BS 2015)'!$B$10:$GT$307,60,FALSE)*(-1))</f>
        <v>-512465</v>
      </c>
      <c r="C20" s="247"/>
      <c r="D20" s="147">
        <f>B20-C20</f>
        <v>-512465</v>
      </c>
      <c r="F20" s="140"/>
    </row>
    <row r="21" spans="1:6" ht="15" customHeight="1" x14ac:dyDescent="0.2">
      <c r="A21" s="107" t="s">
        <v>643</v>
      </c>
      <c r="B21" s="145">
        <f>IF(B7="TA2017",0,VLOOKUP($A$6,'Kommunvisa uppgifter (BS 2015)'!$B$10:$GT$307,61,FALSE))</f>
        <v>313705</v>
      </c>
      <c r="C21" s="239"/>
      <c r="D21" s="147">
        <f>B21-C21</f>
        <v>313705</v>
      </c>
      <c r="F21" s="140"/>
    </row>
    <row r="22" spans="1:6" ht="15" customHeight="1" x14ac:dyDescent="0.2">
      <c r="A22" s="5" t="s">
        <v>644</v>
      </c>
      <c r="B22" s="151">
        <f>B23+B24+B25</f>
        <v>819452</v>
      </c>
      <c r="C22" s="10"/>
      <c r="D22" s="151">
        <f>D23+D24+D25</f>
        <v>819452</v>
      </c>
      <c r="F22" s="140"/>
    </row>
    <row r="23" spans="1:6" ht="15" customHeight="1" x14ac:dyDescent="0.2">
      <c r="A23" s="107" t="s">
        <v>645</v>
      </c>
      <c r="B23" s="145">
        <f>IF(B7="TA2017",0,VLOOKUP($A$6,'Kommunvisa uppgifter (BS 2015)'!$B$10:$GT$307,63,FALSE))</f>
        <v>2268170</v>
      </c>
      <c r="C23" s="247"/>
      <c r="D23" s="147">
        <f>B23-C23</f>
        <v>2268170</v>
      </c>
      <c r="F23" s="140" t="s">
        <v>621</v>
      </c>
    </row>
    <row r="24" spans="1:6" ht="15" customHeight="1" x14ac:dyDescent="0.2">
      <c r="A24" s="107" t="s">
        <v>646</v>
      </c>
      <c r="B24" s="145">
        <f>IF(B7="TA2017",0,VLOOKUP($A$6,'Kommunvisa uppgifter (BS 2015)'!$B$10:$GT$307,64,FALSE)*(-1))</f>
        <v>-1783114</v>
      </c>
      <c r="C24" s="241"/>
      <c r="D24" s="147">
        <f t="shared" ref="D24:D26" si="1">B24-C24</f>
        <v>-1783114</v>
      </c>
      <c r="F24" s="140"/>
    </row>
    <row r="25" spans="1:6" ht="15" customHeight="1" x14ac:dyDescent="0.2">
      <c r="A25" s="107" t="s">
        <v>647</v>
      </c>
      <c r="B25" s="145">
        <f>IF(B7="TA2017",0,VLOOKUP($A$6,'Kommunvisa uppgifter (BS 2015)'!$B$10:$GT$307,65,FALSE))</f>
        <v>334396</v>
      </c>
      <c r="C25" s="241"/>
      <c r="D25" s="147">
        <f t="shared" si="1"/>
        <v>334396</v>
      </c>
      <c r="F25" s="140"/>
    </row>
    <row r="26" spans="1:6" ht="15" customHeight="1" x14ac:dyDescent="0.2">
      <c r="A26" s="5" t="s">
        <v>648</v>
      </c>
      <c r="B26" s="151">
        <f>IF(B7="TA2017",0,VLOOKUP($A$6,'Kommunvisa uppgifter (BS 2015)'!$B$10:$GT$307,66,FALSE))</f>
        <v>-7937</v>
      </c>
      <c r="C26" s="253"/>
      <c r="D26" s="190">
        <f t="shared" si="1"/>
        <v>-7937</v>
      </c>
      <c r="F26" s="140"/>
    </row>
    <row r="27" spans="1:6" ht="15" customHeight="1" x14ac:dyDescent="0.2">
      <c r="A27" s="5" t="s">
        <v>649</v>
      </c>
      <c r="B27" s="151">
        <f>B28+B29+B30+B31</f>
        <v>91431</v>
      </c>
      <c r="C27" s="10"/>
      <c r="D27" s="151">
        <f>D28+D29+D30+D31</f>
        <v>91431</v>
      </c>
      <c r="F27" s="140"/>
    </row>
    <row r="28" spans="1:6" ht="15" customHeight="1" x14ac:dyDescent="0.2">
      <c r="A28" s="107" t="s">
        <v>650</v>
      </c>
      <c r="B28" s="145">
        <f>IF(B7="TA2017",0,VLOOKUP($A$6,'Kommunvisa uppgifter (BS 2015)'!$B$10:$GT$307,68,FALSE))</f>
        <v>-1902</v>
      </c>
      <c r="C28" s="247"/>
      <c r="D28" s="189">
        <f>B28-C28</f>
        <v>-1902</v>
      </c>
      <c r="F28" s="140" t="s">
        <v>622</v>
      </c>
    </row>
    <row r="29" spans="1:6" x14ac:dyDescent="0.2">
      <c r="A29" s="107" t="s">
        <v>651</v>
      </c>
      <c r="B29" s="145">
        <f>IF(B7="TA2017",0,VLOOKUP($A$6,'Kommunvisa uppgifter (BS 2015)'!$B$10:$GT$307,69,FALSE))</f>
        <v>13571</v>
      </c>
      <c r="C29" s="241"/>
      <c r="D29" s="189">
        <f t="shared" ref="D29:D31" si="2">B29-C29</f>
        <v>13571</v>
      </c>
      <c r="F29" s="140" t="s">
        <v>623</v>
      </c>
    </row>
    <row r="30" spans="1:6" ht="15" customHeight="1" x14ac:dyDescent="0.2">
      <c r="A30" s="107" t="s">
        <v>652</v>
      </c>
      <c r="B30" s="145">
        <f>IF(B7="TA2017",0,VLOOKUP($A$6,'Kommunvisa uppgifter (BS 2015)'!$B$10:$GT$307,70,FALSE))</f>
        <v>89249</v>
      </c>
      <c r="C30" s="241"/>
      <c r="D30" s="189">
        <f t="shared" si="2"/>
        <v>89249</v>
      </c>
      <c r="F30" s="140"/>
    </row>
    <row r="31" spans="1:6" ht="15" customHeight="1" x14ac:dyDescent="0.2">
      <c r="A31" s="107" t="s">
        <v>653</v>
      </c>
      <c r="B31" s="145">
        <f>IF(B7="TA2017",0,VLOOKUP($A$6,'Kommunvisa uppgifter (BS 2015)'!$B$10:$GT$307,71,FALSE))</f>
        <v>-9487</v>
      </c>
      <c r="C31" s="239"/>
      <c r="D31" s="189">
        <f t="shared" si="2"/>
        <v>-9487</v>
      </c>
      <c r="F31" s="140" t="s">
        <v>624</v>
      </c>
    </row>
    <row r="32" spans="1:6" ht="15" customHeight="1" x14ac:dyDescent="0.2">
      <c r="A32" s="143" t="s">
        <v>640</v>
      </c>
      <c r="B32" s="152">
        <f>B19+B22+B26+B27</f>
        <v>704186</v>
      </c>
      <c r="C32" s="10"/>
      <c r="D32" s="152">
        <f>D19+D22+C26+D27</f>
        <v>712123</v>
      </c>
      <c r="F32" s="144" t="s">
        <v>625</v>
      </c>
    </row>
    <row r="33" spans="1:6" x14ac:dyDescent="0.2">
      <c r="B33" s="99"/>
      <c r="F33" s="144" t="s">
        <v>626</v>
      </c>
    </row>
    <row r="34" spans="1:6" s="9" customFormat="1" ht="15" customHeight="1" x14ac:dyDescent="0.2">
      <c r="A34" s="9" t="s">
        <v>654</v>
      </c>
      <c r="B34" s="151">
        <f>B16+B32</f>
        <v>-186326</v>
      </c>
      <c r="C34" s="157"/>
      <c r="D34" s="151">
        <f>D32+D16</f>
        <v>-216673.68160988297</v>
      </c>
      <c r="F34" s="144" t="s">
        <v>627</v>
      </c>
    </row>
    <row r="35" spans="1:6" s="9" customFormat="1" ht="25.5" x14ac:dyDescent="0.2">
      <c r="B35" s="160"/>
      <c r="C35" s="160"/>
      <c r="D35" s="160"/>
      <c r="F35" s="144" t="s">
        <v>628</v>
      </c>
    </row>
    <row r="36" spans="1:6" ht="15" customHeight="1" x14ac:dyDescent="0.2">
      <c r="B36" s="161"/>
      <c r="C36" s="110"/>
      <c r="D36" s="161"/>
      <c r="F36" s="140"/>
    </row>
    <row r="37" spans="1:6" s="9" customFormat="1" x14ac:dyDescent="0.2">
      <c r="A37" s="9" t="s">
        <v>655</v>
      </c>
      <c r="B37" s="115">
        <f>(Resultaträkning!B48-Resultaträkning!B45)/(-Resultaträkning!B45-B24)</f>
        <v>1.0564470970649695</v>
      </c>
      <c r="C37" s="110"/>
      <c r="D37" s="115">
        <f>(Resultaträkning!D48-Resultaträkning!D45)/(-Resultaträkning!D45-D24)</f>
        <v>1.0370812060976466</v>
      </c>
      <c r="F37" s="142" t="s">
        <v>629</v>
      </c>
    </row>
    <row r="38" spans="1:6" ht="15" customHeight="1" x14ac:dyDescent="0.25">
      <c r="A38" s="11"/>
      <c r="B38" s="12"/>
      <c r="C38" s="12"/>
      <c r="D38" s="37"/>
      <c r="E38" s="12"/>
      <c r="F38" s="35"/>
    </row>
    <row r="39" spans="1:6" x14ac:dyDescent="0.2">
      <c r="A39" s="9" t="s">
        <v>656</v>
      </c>
      <c r="B39" s="115">
        <f>B9/(-B13-B14)*(100)</f>
        <v>55.43493207797794</v>
      </c>
      <c r="C39" s="12"/>
      <c r="D39" s="115">
        <f t="shared" ref="D39" si="3">D9/(-D13-D14)*(100)</f>
        <v>54.314805871169561</v>
      </c>
    </row>
  </sheetData>
  <pageMargins left="0.7" right="0.7" top="0.75" bottom="0.75" header="0.3" footer="0.3"/>
  <pageSetup paperSize="9" orientation="portrait" r:id="rId1"/>
  <ignoredErrors>
    <ignoredError sqref="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E123"/>
  <sheetViews>
    <sheetView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x14ac:dyDescent="0.2"/>
  <cols>
    <col min="1" max="1" width="43.42578125" style="5" customWidth="1"/>
    <col min="2" max="2" width="13.5703125" style="5" customWidth="1"/>
    <col min="3" max="3" width="10.42578125" style="5" bestFit="1" customWidth="1"/>
    <col min="4" max="4" width="13.5703125" style="5" customWidth="1"/>
    <col min="5" max="5" width="118.42578125" style="34" customWidth="1"/>
    <col min="6" max="16384" width="9.140625" style="5"/>
  </cols>
  <sheetData>
    <row r="1" spans="1:5" ht="15" customHeight="1" x14ac:dyDescent="0.25">
      <c r="A1" s="11"/>
      <c r="B1" s="12"/>
      <c r="C1" s="12"/>
      <c r="D1" s="12"/>
      <c r="E1" s="35"/>
    </row>
    <row r="2" spans="1:5" ht="15" customHeight="1" x14ac:dyDescent="0.25">
      <c r="A2" s="13" t="s">
        <v>871</v>
      </c>
      <c r="B2" s="12"/>
      <c r="C2" s="12"/>
      <c r="D2" s="12"/>
      <c r="E2" s="35"/>
    </row>
    <row r="3" spans="1:5" ht="15" customHeight="1" x14ac:dyDescent="0.2">
      <c r="A3" s="14" t="s">
        <v>872</v>
      </c>
      <c r="B3" s="14" t="s">
        <v>467</v>
      </c>
      <c r="C3" s="12"/>
      <c r="D3" s="110"/>
      <c r="E3" s="35"/>
    </row>
    <row r="4" spans="1:5" ht="15" customHeight="1" x14ac:dyDescent="0.2">
      <c r="A4" s="177" t="s">
        <v>873</v>
      </c>
      <c r="C4" s="12"/>
      <c r="D4" s="12"/>
      <c r="E4" s="35"/>
    </row>
    <row r="5" spans="1:5" ht="15" customHeight="1" x14ac:dyDescent="0.25">
      <c r="A5" s="15" t="s">
        <v>874</v>
      </c>
      <c r="B5" s="16" t="s">
        <v>875</v>
      </c>
      <c r="C5" s="234" t="s">
        <v>471</v>
      </c>
      <c r="D5" s="178" t="s">
        <v>876</v>
      </c>
    </row>
    <row r="6" spans="1:5" ht="15" customHeight="1" x14ac:dyDescent="0.2">
      <c r="A6" s="28" t="str">
        <f>Resultaträkning!A8</f>
        <v>Fasta Finland</v>
      </c>
      <c r="B6" s="29"/>
      <c r="C6" s="3"/>
      <c r="D6" s="176"/>
    </row>
    <row r="7" spans="1:5" ht="15" customHeight="1" x14ac:dyDescent="0.2">
      <c r="A7" s="30" t="s">
        <v>877</v>
      </c>
      <c r="B7" s="168">
        <f>B8+B13+B21</f>
        <v>47635049</v>
      </c>
      <c r="C7" s="168"/>
      <c r="D7" s="168">
        <f t="shared" ref="D7" si="0">D8+D13+D21</f>
        <v>47635049</v>
      </c>
      <c r="E7" s="249"/>
    </row>
    <row r="8" spans="1:5" ht="15" customHeight="1" x14ac:dyDescent="0.2">
      <c r="A8" s="18" t="s">
        <v>878</v>
      </c>
      <c r="B8" s="169">
        <f>B9+B10+B11</f>
        <v>599643</v>
      </c>
      <c r="C8" s="193"/>
      <c r="D8" s="169">
        <f t="shared" ref="D8" si="1">D9+D10+D11</f>
        <v>599643</v>
      </c>
      <c r="E8" s="249"/>
    </row>
    <row r="9" spans="1:5" ht="12.6" customHeight="1" x14ac:dyDescent="0.2">
      <c r="A9" s="166" t="s">
        <v>879</v>
      </c>
      <c r="B9" s="170">
        <f>VLOOKUP($A$6,'Kommunvisa uppgifter (BS 2015)'!$B$10:$GT$307,78,FALSE)</f>
        <v>81295</v>
      </c>
      <c r="C9" s="257"/>
      <c r="D9" s="192">
        <f>B9-C9</f>
        <v>81295</v>
      </c>
      <c r="E9" s="248" t="s">
        <v>847</v>
      </c>
    </row>
    <row r="10" spans="1:5" ht="17.45" customHeight="1" x14ac:dyDescent="0.2">
      <c r="A10" s="166" t="s">
        <v>880</v>
      </c>
      <c r="B10" s="170">
        <f>VLOOKUP($A$6,'Kommunvisa uppgifter (BS 2015)'!$B$10:$GT$307,79,FALSE)</f>
        <v>508932</v>
      </c>
      <c r="C10" s="258"/>
      <c r="D10" s="192">
        <f t="shared" ref="D10:D11" si="2">B10-C10</f>
        <v>508932</v>
      </c>
      <c r="E10" s="249"/>
    </row>
    <row r="11" spans="1:5" ht="15" customHeight="1" x14ac:dyDescent="0.2">
      <c r="A11" s="166" t="s">
        <v>881</v>
      </c>
      <c r="B11" s="170">
        <f>VLOOKUP($A$6,'Kommunvisa uppgifter (BS 2015)'!$B$10:$GT$307,80,FALSE)</f>
        <v>9416</v>
      </c>
      <c r="C11" s="259"/>
      <c r="D11" s="192">
        <f t="shared" si="2"/>
        <v>9416</v>
      </c>
      <c r="E11" s="249"/>
    </row>
    <row r="12" spans="1:5" ht="15" customHeight="1" x14ac:dyDescent="0.2">
      <c r="A12" s="23"/>
      <c r="B12" s="164"/>
      <c r="C12" s="19"/>
      <c r="D12" s="176"/>
      <c r="E12" s="249"/>
    </row>
    <row r="13" spans="1:5" ht="15" customHeight="1" x14ac:dyDescent="0.2">
      <c r="A13" s="18" t="s">
        <v>882</v>
      </c>
      <c r="B13" s="169">
        <f>SUM(B14:B19)</f>
        <v>30789415</v>
      </c>
      <c r="C13" s="193"/>
      <c r="D13" s="169">
        <f t="shared" ref="D13" si="3">SUM(D14:D19)</f>
        <v>30789415</v>
      </c>
      <c r="E13" s="249"/>
    </row>
    <row r="14" spans="1:5" ht="15" customHeight="1" x14ac:dyDescent="0.2">
      <c r="A14" s="166" t="s">
        <v>883</v>
      </c>
      <c r="B14" s="170">
        <f>VLOOKUP($A$6,'Kommunvisa uppgifter (BS 2015)'!$B$10:$GT$307,82,FALSE)</f>
        <v>7706316</v>
      </c>
      <c r="C14" s="257"/>
      <c r="D14" s="192">
        <f>B14-C14</f>
        <v>7706316</v>
      </c>
      <c r="E14" s="250" t="s">
        <v>848</v>
      </c>
    </row>
    <row r="15" spans="1:5" ht="15.6" customHeight="1" x14ac:dyDescent="0.2">
      <c r="A15" s="166" t="s">
        <v>884</v>
      </c>
      <c r="B15" s="170">
        <f>VLOOKUP($A$6,'Kommunvisa uppgifter (BS 2015)'!$B$10:$GT$307,83,FALSE)</f>
        <v>13264680</v>
      </c>
      <c r="C15" s="258"/>
      <c r="D15" s="192">
        <f t="shared" ref="D15:D19" si="4">B15-C15</f>
        <v>13264680</v>
      </c>
      <c r="E15" s="249" t="s">
        <v>849</v>
      </c>
    </row>
    <row r="16" spans="1:5" ht="15" customHeight="1" x14ac:dyDescent="0.2">
      <c r="A16" s="166" t="s">
        <v>885</v>
      </c>
      <c r="B16" s="170">
        <f>VLOOKUP($A$6,'Kommunvisa uppgifter (BS 2015)'!$B$10:$GT$307,84,FALSE)</f>
        <v>7900541</v>
      </c>
      <c r="C16" s="258"/>
      <c r="D16" s="192">
        <f t="shared" si="4"/>
        <v>7900541</v>
      </c>
      <c r="E16" s="249"/>
    </row>
    <row r="17" spans="1:5" ht="14.45" customHeight="1" x14ac:dyDescent="0.2">
      <c r="A17" s="166" t="s">
        <v>886</v>
      </c>
      <c r="B17" s="170">
        <f>VLOOKUP($A$6,'Kommunvisa uppgifter (BS 2015)'!$B$10:$GT$307,85,FALSE)</f>
        <v>583969</v>
      </c>
      <c r="C17" s="258"/>
      <c r="D17" s="192">
        <f t="shared" si="4"/>
        <v>583969</v>
      </c>
      <c r="E17" s="249" t="s">
        <v>850</v>
      </c>
    </row>
    <row r="18" spans="1:5" ht="17.100000000000001" customHeight="1" x14ac:dyDescent="0.2">
      <c r="A18" s="166" t="s">
        <v>887</v>
      </c>
      <c r="B18" s="170">
        <f>VLOOKUP($A$6,'Kommunvisa uppgifter (BS 2015)'!$B$10:$GT$307,86,FALSE)</f>
        <v>58182</v>
      </c>
      <c r="C18" s="258"/>
      <c r="D18" s="192">
        <f t="shared" si="4"/>
        <v>58182</v>
      </c>
      <c r="E18" s="249" t="s">
        <v>851</v>
      </c>
    </row>
    <row r="19" spans="1:5" ht="15" customHeight="1" x14ac:dyDescent="0.2">
      <c r="A19" s="166" t="s">
        <v>888</v>
      </c>
      <c r="B19" s="170">
        <f>VLOOKUP($A$6,'Kommunvisa uppgifter (BS 2015)'!$B$10:$GT$307,88,FALSE)</f>
        <v>1275727</v>
      </c>
      <c r="C19" s="259"/>
      <c r="D19" s="192">
        <f t="shared" si="4"/>
        <v>1275727</v>
      </c>
      <c r="E19" s="249"/>
    </row>
    <row r="20" spans="1:5" ht="15" customHeight="1" x14ac:dyDescent="0.2">
      <c r="A20" s="24"/>
      <c r="B20" s="163"/>
      <c r="C20" s="3"/>
      <c r="D20" s="176"/>
      <c r="E20" s="249"/>
    </row>
    <row r="21" spans="1:5" ht="15" customHeight="1" x14ac:dyDescent="0.2">
      <c r="A21" s="18" t="s">
        <v>889</v>
      </c>
      <c r="B21" s="169">
        <f>SUM(B22,B25:B27)</f>
        <v>16245991</v>
      </c>
      <c r="C21" s="193"/>
      <c r="D21" s="169">
        <f t="shared" ref="D21" si="5">SUM(D22,D25:D27)</f>
        <v>16245991</v>
      </c>
      <c r="E21" s="249"/>
    </row>
    <row r="22" spans="1:5" x14ac:dyDescent="0.2">
      <c r="A22" s="166" t="s">
        <v>890</v>
      </c>
      <c r="B22" s="170">
        <f>B23+B24</f>
        <v>10641793</v>
      </c>
      <c r="C22" s="260"/>
      <c r="D22" s="192">
        <f>B22-C22</f>
        <v>10641793</v>
      </c>
      <c r="E22" s="249"/>
    </row>
    <row r="23" spans="1:5" ht="15" customHeight="1" x14ac:dyDescent="0.2">
      <c r="A23" s="167" t="s">
        <v>891</v>
      </c>
      <c r="B23" s="170">
        <f>VLOOKUP($A$6,'Kommunvisa uppgifter (BS 2015)'!$B$10:$GT$307,91,FALSE)</f>
        <v>2746111</v>
      </c>
      <c r="C23" s="261"/>
      <c r="D23" s="192">
        <f t="shared" ref="D23:D27" si="6">B23-C23</f>
        <v>2746111</v>
      </c>
      <c r="E23" s="249" t="s">
        <v>852</v>
      </c>
    </row>
    <row r="24" spans="1:5" ht="15" customHeight="1" x14ac:dyDescent="0.2">
      <c r="A24" s="167" t="s">
        <v>892</v>
      </c>
      <c r="B24" s="170">
        <f>VLOOKUP($A$6,'Kommunvisa uppgifter (BS 2015)'!$B$10:$GT$307,92,FALSE)</f>
        <v>7895682</v>
      </c>
      <c r="C24" s="261"/>
      <c r="D24" s="192">
        <f t="shared" si="6"/>
        <v>7895682</v>
      </c>
      <c r="E24" s="249" t="s">
        <v>853</v>
      </c>
    </row>
    <row r="25" spans="1:5" ht="15" customHeight="1" x14ac:dyDescent="0.2">
      <c r="A25" s="166" t="s">
        <v>893</v>
      </c>
      <c r="B25" s="170">
        <f>VLOOKUP($A$6,'Kommunvisa uppgifter (BS 2015)'!$B$10:$GT$307,93,FALSE)</f>
        <v>150000</v>
      </c>
      <c r="C25" s="261"/>
      <c r="D25" s="192">
        <f t="shared" si="6"/>
        <v>150000</v>
      </c>
      <c r="E25" s="249"/>
    </row>
    <row r="26" spans="1:5" ht="15" customHeight="1" x14ac:dyDescent="0.2">
      <c r="A26" s="166" t="s">
        <v>894</v>
      </c>
      <c r="B26" s="170">
        <f>VLOOKUP($A$6,'Kommunvisa uppgifter (BS 2015)'!$B$10:$GT$307,94,FALSE)</f>
        <v>5402611</v>
      </c>
      <c r="C26" s="261"/>
      <c r="D26" s="192">
        <f t="shared" si="6"/>
        <v>5402611</v>
      </c>
      <c r="E26" s="249"/>
    </row>
    <row r="27" spans="1:5" ht="15" customHeight="1" x14ac:dyDescent="0.2">
      <c r="A27" s="166" t="s">
        <v>895</v>
      </c>
      <c r="B27" s="170">
        <f>VLOOKUP($A$6,'Kommunvisa uppgifter (BS 2015)'!$B$10:$GT$307,98,FALSE)</f>
        <v>51587</v>
      </c>
      <c r="C27" s="262"/>
      <c r="D27" s="192">
        <f t="shared" si="6"/>
        <v>51587</v>
      </c>
      <c r="E27" s="249"/>
    </row>
    <row r="28" spans="1:5" ht="15" customHeight="1" x14ac:dyDescent="0.2">
      <c r="A28" s="22"/>
      <c r="B28" s="163"/>
      <c r="C28" s="3"/>
      <c r="D28" s="176"/>
      <c r="E28" s="249"/>
    </row>
    <row r="29" spans="1:5" ht="15" customHeight="1" x14ac:dyDescent="0.2">
      <c r="A29" s="25" t="s">
        <v>896</v>
      </c>
      <c r="B29" s="169">
        <f>B30+B32+B31</f>
        <v>793634</v>
      </c>
      <c r="C29" s="193"/>
      <c r="D29" s="169">
        <f t="shared" ref="D29" si="7">D30+D32+D31</f>
        <v>793634</v>
      </c>
      <c r="E29" s="249"/>
    </row>
    <row r="30" spans="1:5" ht="15" customHeight="1" x14ac:dyDescent="0.2">
      <c r="A30" s="172" t="s">
        <v>897</v>
      </c>
      <c r="B30" s="170">
        <f>VLOOKUP($A$6,'Kommunvisa uppgifter (BS 2015)'!$B$10:$GT$307,100,FALSE)</f>
        <v>218311</v>
      </c>
      <c r="C30" s="260"/>
      <c r="D30" s="192">
        <f>B30-C30</f>
        <v>218311</v>
      </c>
      <c r="E30" s="249"/>
    </row>
    <row r="31" spans="1:5" ht="16.350000000000001" customHeight="1" x14ac:dyDescent="0.2">
      <c r="A31" s="172" t="s">
        <v>898</v>
      </c>
      <c r="B31" s="170">
        <f>VLOOKUP($A$6,'Kommunvisa uppgifter (BS 2015)'!$B$10:$GT$307,101,FALSE)</f>
        <v>126855</v>
      </c>
      <c r="C31" s="263"/>
      <c r="D31" s="192">
        <f t="shared" ref="D31:D32" si="8">B31-C31</f>
        <v>126855</v>
      </c>
      <c r="E31" s="249" t="s">
        <v>854</v>
      </c>
    </row>
    <row r="32" spans="1:5" ht="15" customHeight="1" x14ac:dyDescent="0.2">
      <c r="A32" s="172" t="s">
        <v>899</v>
      </c>
      <c r="B32" s="170">
        <f>VLOOKUP($A$6,'Kommunvisa uppgifter (BS 2015)'!$B$10:$GT$307,102,FALSE)</f>
        <v>448468</v>
      </c>
      <c r="C32" s="262"/>
      <c r="D32" s="192">
        <f t="shared" si="8"/>
        <v>448468</v>
      </c>
      <c r="E32" s="249"/>
    </row>
    <row r="33" spans="1:5" ht="15" customHeight="1" x14ac:dyDescent="0.2">
      <c r="A33" s="23"/>
      <c r="B33" s="163"/>
      <c r="C33" s="2"/>
      <c r="D33" s="176"/>
      <c r="E33" s="249"/>
    </row>
    <row r="34" spans="1:5" ht="15" customHeight="1" x14ac:dyDescent="0.2">
      <c r="A34" s="18" t="s">
        <v>900</v>
      </c>
      <c r="B34" s="169">
        <f>B35+B43+B49+B55+B61</f>
        <v>6357888</v>
      </c>
      <c r="C34" s="193"/>
      <c r="D34" s="169">
        <f>D35+D43+D49+D55+D61</f>
        <v>6357888</v>
      </c>
      <c r="E34" s="249"/>
    </row>
    <row r="35" spans="1:5" ht="15" customHeight="1" x14ac:dyDescent="0.2">
      <c r="A35" s="20" t="s">
        <v>901</v>
      </c>
      <c r="B35" s="170">
        <f>SUM(B36:B40)</f>
        <v>94451</v>
      </c>
      <c r="C35" s="260"/>
      <c r="D35" s="192">
        <f>B35-C35</f>
        <v>94451</v>
      </c>
      <c r="E35" s="249"/>
    </row>
    <row r="36" spans="1:5" ht="25.5" x14ac:dyDescent="0.2">
      <c r="A36" s="166" t="s">
        <v>902</v>
      </c>
      <c r="B36" s="170">
        <f>VLOOKUP($A$6,'Kommunvisa uppgifter (BS 2015)'!$B$10:$GT$307,105,FALSE)</f>
        <v>39141</v>
      </c>
      <c r="C36" s="261"/>
      <c r="D36" s="192">
        <f t="shared" ref="D36:D40" si="9">B36-C36</f>
        <v>39141</v>
      </c>
      <c r="E36" s="249" t="s">
        <v>855</v>
      </c>
    </row>
    <row r="37" spans="1:5" ht="15" customHeight="1" x14ac:dyDescent="0.2">
      <c r="A37" s="166" t="s">
        <v>903</v>
      </c>
      <c r="B37" s="170">
        <f>VLOOKUP($A$6,'Kommunvisa uppgifter (BS 2015)'!$B$10:$GT$307,106,FALSE)</f>
        <v>11571</v>
      </c>
      <c r="C37" s="263"/>
      <c r="D37" s="192">
        <f t="shared" si="9"/>
        <v>11571</v>
      </c>
      <c r="E37" s="249"/>
    </row>
    <row r="38" spans="1:5" ht="15" customHeight="1" x14ac:dyDescent="0.2">
      <c r="A38" s="166" t="s">
        <v>904</v>
      </c>
      <c r="B38" s="170">
        <f>VLOOKUP($A$6,'Kommunvisa uppgifter (BS 2015)'!$B$10:$GT$307,107,FALSE)</f>
        <v>2634</v>
      </c>
      <c r="C38" s="261"/>
      <c r="D38" s="192">
        <f t="shared" si="9"/>
        <v>2634</v>
      </c>
      <c r="E38" s="249"/>
    </row>
    <row r="39" spans="1:5" ht="15" customHeight="1" x14ac:dyDescent="0.2">
      <c r="A39" s="166" t="s">
        <v>905</v>
      </c>
      <c r="B39" s="170">
        <f>VLOOKUP($A$6,'Kommunvisa uppgifter (BS 2015)'!$B$10:$GT$307,108,FALSE)</f>
        <v>40926</v>
      </c>
      <c r="C39" s="261"/>
      <c r="D39" s="192">
        <f t="shared" si="9"/>
        <v>40926</v>
      </c>
      <c r="E39" s="249"/>
    </row>
    <row r="40" spans="1:5" ht="15" customHeight="1" x14ac:dyDescent="0.2">
      <c r="A40" s="166" t="s">
        <v>881</v>
      </c>
      <c r="B40" s="170">
        <f>VLOOKUP($A$6,'Kommunvisa uppgifter (BS 2015)'!$B$10:$GT$307,109,FALSE)</f>
        <v>179</v>
      </c>
      <c r="C40" s="262"/>
      <c r="D40" s="192">
        <f t="shared" si="9"/>
        <v>179</v>
      </c>
      <c r="E40" s="249"/>
    </row>
    <row r="41" spans="1:5" ht="15" customHeight="1" x14ac:dyDescent="0.2">
      <c r="A41" s="23"/>
      <c r="B41" s="163"/>
      <c r="C41" s="3"/>
      <c r="D41" s="176"/>
      <c r="E41" s="249"/>
    </row>
    <row r="42" spans="1:5" ht="15" customHeight="1" x14ac:dyDescent="0.2">
      <c r="A42" s="20" t="s">
        <v>906</v>
      </c>
      <c r="B42" s="163"/>
      <c r="C42" s="3"/>
      <c r="D42" s="176"/>
      <c r="E42" s="249"/>
    </row>
    <row r="43" spans="1:5" ht="15" customHeight="1" x14ac:dyDescent="0.2">
      <c r="A43" s="165" t="s">
        <v>907</v>
      </c>
      <c r="B43" s="170">
        <f>SUM(B44:B47)</f>
        <v>368119</v>
      </c>
      <c r="C43" s="194"/>
      <c r="D43" s="192">
        <f>B43-C43</f>
        <v>368119</v>
      </c>
      <c r="E43" s="249" t="s">
        <v>856</v>
      </c>
    </row>
    <row r="44" spans="1:5" ht="15" customHeight="1" x14ac:dyDescent="0.2">
      <c r="A44" s="166" t="s">
        <v>908</v>
      </c>
      <c r="B44" s="170">
        <f>VLOOKUP($A$6,'Kommunvisa uppgifter (BS 2015)'!$B$10:$GT$307,112,FALSE)</f>
        <v>32295</v>
      </c>
      <c r="C44" s="261"/>
      <c r="D44" s="192">
        <f t="shared" ref="D44:D47" si="10">B44-C44</f>
        <v>32295</v>
      </c>
      <c r="E44" s="249"/>
    </row>
    <row r="45" spans="1:5" ht="15" customHeight="1" x14ac:dyDescent="0.2">
      <c r="A45" s="166" t="s">
        <v>909</v>
      </c>
      <c r="B45" s="170">
        <f>VLOOKUP($A$6,'Kommunvisa uppgifter (BS 2015)'!$B$10:$GT$307,113,FALSE)</f>
        <v>173963</v>
      </c>
      <c r="C45" s="261"/>
      <c r="D45" s="192">
        <f t="shared" si="10"/>
        <v>173963</v>
      </c>
      <c r="E45" s="249"/>
    </row>
    <row r="46" spans="1:5" ht="15" customHeight="1" x14ac:dyDescent="0.2">
      <c r="A46" s="166" t="s">
        <v>910</v>
      </c>
      <c r="B46" s="170">
        <f>VLOOKUP($A$6,'Kommunvisa uppgifter (BS 2015)'!$B$10:$GT$307,114,FALSE)</f>
        <v>97613</v>
      </c>
      <c r="C46" s="261"/>
      <c r="D46" s="192">
        <f t="shared" si="10"/>
        <v>97613</v>
      </c>
      <c r="E46" s="249"/>
    </row>
    <row r="47" spans="1:5" ht="15" customHeight="1" x14ac:dyDescent="0.2">
      <c r="A47" s="166" t="s">
        <v>911</v>
      </c>
      <c r="B47" s="170">
        <f>VLOOKUP($A$6,'Kommunvisa uppgifter (BS 2015)'!$B$10:$GT$307,115,FALSE)</f>
        <v>64248</v>
      </c>
      <c r="C47" s="262"/>
      <c r="D47" s="192">
        <f t="shared" si="10"/>
        <v>64248</v>
      </c>
      <c r="E47" s="249"/>
    </row>
    <row r="48" spans="1:5" ht="15" customHeight="1" x14ac:dyDescent="0.2">
      <c r="A48" s="23"/>
      <c r="B48" s="163"/>
      <c r="C48" s="1"/>
      <c r="D48" s="176"/>
      <c r="E48" s="249"/>
    </row>
    <row r="49" spans="1:5" ht="15" customHeight="1" x14ac:dyDescent="0.2">
      <c r="A49" s="173" t="s">
        <v>912</v>
      </c>
      <c r="B49" s="174">
        <f>SUM(B50:B53)</f>
        <v>1781195</v>
      </c>
      <c r="C49" s="194"/>
      <c r="D49" s="192">
        <f>B49-C49</f>
        <v>1781195</v>
      </c>
      <c r="E49" s="249" t="s">
        <v>856</v>
      </c>
    </row>
    <row r="50" spans="1:5" ht="15" customHeight="1" x14ac:dyDescent="0.2">
      <c r="A50" s="166" t="s">
        <v>908</v>
      </c>
      <c r="B50" s="170">
        <f>VLOOKUP($A$6,'Kommunvisa uppgifter (BS 2015)'!$B$10:$GT$307,117,FALSE)</f>
        <v>676692</v>
      </c>
      <c r="C50" s="260"/>
      <c r="D50" s="192">
        <f t="shared" ref="D50:D53" si="11">B50-C50</f>
        <v>676692</v>
      </c>
      <c r="E50" s="249"/>
    </row>
    <row r="51" spans="1:5" ht="15" customHeight="1" x14ac:dyDescent="0.2">
      <c r="A51" s="166" t="s">
        <v>909</v>
      </c>
      <c r="B51" s="170">
        <f>VLOOKUP($A$6,'Kommunvisa uppgifter (BS 2015)'!$B$10:$GT$307,118,FALSE)</f>
        <v>210651</v>
      </c>
      <c r="C51" s="261"/>
      <c r="D51" s="192">
        <f t="shared" si="11"/>
        <v>210651</v>
      </c>
      <c r="E51" s="249"/>
    </row>
    <row r="52" spans="1:5" ht="15" customHeight="1" x14ac:dyDescent="0.2">
      <c r="A52" s="166" t="s">
        <v>910</v>
      </c>
      <c r="B52" s="170">
        <f>VLOOKUP($A$6,'Kommunvisa uppgifter (BS 2015)'!$B$10:$GT$307,119,FALSE)</f>
        <v>413286</v>
      </c>
      <c r="C52" s="261"/>
      <c r="D52" s="192">
        <f t="shared" si="11"/>
        <v>413286</v>
      </c>
      <c r="E52" s="249"/>
    </row>
    <row r="53" spans="1:5" ht="15" customHeight="1" x14ac:dyDescent="0.2">
      <c r="A53" s="166" t="s">
        <v>911</v>
      </c>
      <c r="B53" s="170">
        <f>VLOOKUP($A$6,'Kommunvisa uppgifter (BS 2015)'!$B$10:$GT$307,120,FALSE)</f>
        <v>480566</v>
      </c>
      <c r="C53" s="262"/>
      <c r="D53" s="192">
        <f t="shared" si="11"/>
        <v>480566</v>
      </c>
      <c r="E53" s="249"/>
    </row>
    <row r="54" spans="1:5" ht="15" customHeight="1" x14ac:dyDescent="0.2">
      <c r="A54" s="23"/>
      <c r="B54" s="163"/>
      <c r="C54" s="3"/>
      <c r="D54" s="176"/>
      <c r="E54" s="249"/>
    </row>
    <row r="55" spans="1:5" ht="15" customHeight="1" x14ac:dyDescent="0.2">
      <c r="A55" s="20" t="s">
        <v>913</v>
      </c>
      <c r="B55" s="174">
        <f>SUM(B56:B59)</f>
        <v>2038326</v>
      </c>
      <c r="C55" s="194"/>
      <c r="D55" s="192">
        <f>B55-C55</f>
        <v>2038326</v>
      </c>
      <c r="E55" s="249"/>
    </row>
    <row r="56" spans="1:5" ht="15" customHeight="1" x14ac:dyDescent="0.2">
      <c r="A56" s="166" t="s">
        <v>890</v>
      </c>
      <c r="B56" s="170">
        <f>VLOOKUP($A$6,'Kommunvisa uppgifter (BS 2015)'!$B$10:$GT$307,122,FALSE)</f>
        <v>226356</v>
      </c>
      <c r="C56" s="264"/>
      <c r="D56" s="192">
        <f t="shared" ref="D56:D59" si="12">B56-C56</f>
        <v>226356</v>
      </c>
      <c r="E56" s="249" t="s">
        <v>857</v>
      </c>
    </row>
    <row r="57" spans="1:5" ht="15" customHeight="1" x14ac:dyDescent="0.2">
      <c r="A57" s="166" t="s">
        <v>914</v>
      </c>
      <c r="B57" s="170">
        <f>VLOOKUP($A$6,'Kommunvisa uppgifter (BS 2015)'!$B$10:$GT$307,123,FALSE)</f>
        <v>654960</v>
      </c>
      <c r="C57" s="264"/>
      <c r="D57" s="192">
        <f t="shared" si="12"/>
        <v>654960</v>
      </c>
      <c r="E57" s="249"/>
    </row>
    <row r="58" spans="1:5" ht="15" customHeight="1" x14ac:dyDescent="0.2">
      <c r="A58" s="166" t="s">
        <v>893</v>
      </c>
      <c r="B58" s="170">
        <f>VLOOKUP($A$6,'Kommunvisa uppgifter (BS 2015)'!$B$10:$GT$307,124,FALSE)</f>
        <v>281247</v>
      </c>
      <c r="C58" s="264"/>
      <c r="D58" s="192">
        <f t="shared" si="12"/>
        <v>281247</v>
      </c>
      <c r="E58" s="249"/>
    </row>
    <row r="59" spans="1:5" ht="15" customHeight="1" x14ac:dyDescent="0.2">
      <c r="A59" s="166" t="s">
        <v>915</v>
      </c>
      <c r="B59" s="170">
        <f>VLOOKUP($A$6,'Kommunvisa uppgifter (BS 2015)'!$B$10:$GT$307,125,FALSE)</f>
        <v>875763</v>
      </c>
      <c r="C59" s="262"/>
      <c r="D59" s="192">
        <f t="shared" si="12"/>
        <v>875763</v>
      </c>
      <c r="E59" s="249"/>
    </row>
    <row r="60" spans="1:5" ht="15" customHeight="1" x14ac:dyDescent="0.2">
      <c r="A60" s="23"/>
      <c r="B60" s="163"/>
      <c r="C60" s="2"/>
      <c r="D60" s="176"/>
      <c r="E60" s="249"/>
    </row>
    <row r="61" spans="1:5" ht="15" customHeight="1" x14ac:dyDescent="0.2">
      <c r="A61" s="173" t="s">
        <v>916</v>
      </c>
      <c r="B61" s="170">
        <f>VLOOKUP($A$6,'Kommunvisa uppgifter (BS 2015)'!$B$10:$GT$307,126,FALSE)</f>
        <v>2075797</v>
      </c>
      <c r="C61" s="265"/>
      <c r="D61" s="192">
        <f>B61-C61</f>
        <v>2075797</v>
      </c>
      <c r="E61" s="249"/>
    </row>
    <row r="62" spans="1:5" ht="15" customHeight="1" x14ac:dyDescent="0.2">
      <c r="A62" s="23"/>
      <c r="B62" s="163"/>
      <c r="C62" s="3"/>
      <c r="D62" s="176"/>
      <c r="E62" s="249"/>
    </row>
    <row r="63" spans="1:5" ht="15" customHeight="1" x14ac:dyDescent="0.2">
      <c r="A63" s="27" t="s">
        <v>917</v>
      </c>
      <c r="B63" s="175">
        <f>B7+B34+B29</f>
        <v>54786571</v>
      </c>
      <c r="C63" s="175"/>
      <c r="D63" s="175">
        <f t="shared" ref="D63" si="13">D7+D34+D29</f>
        <v>54786571</v>
      </c>
      <c r="E63" s="249"/>
    </row>
    <row r="64" spans="1:5" ht="15" customHeight="1" x14ac:dyDescent="0.2">
      <c r="A64" s="3"/>
      <c r="B64" s="163"/>
      <c r="C64" s="3"/>
      <c r="D64" s="176"/>
      <c r="E64" s="249"/>
    </row>
    <row r="65" spans="1:5" ht="15" customHeight="1" x14ac:dyDescent="0.25">
      <c r="A65" s="17" t="s">
        <v>918</v>
      </c>
      <c r="B65" s="163"/>
      <c r="D65" s="176"/>
      <c r="E65" s="249"/>
    </row>
    <row r="66" spans="1:5" ht="15" customHeight="1" x14ac:dyDescent="0.2">
      <c r="A66" s="31"/>
      <c r="B66" s="163"/>
      <c r="D66" s="176"/>
      <c r="E66" s="249"/>
    </row>
    <row r="67" spans="1:5" ht="15" customHeight="1" x14ac:dyDescent="0.2">
      <c r="A67" s="30" t="s">
        <v>919</v>
      </c>
      <c r="B67" s="175">
        <f>SUM(B68:B72)</f>
        <v>31923788</v>
      </c>
      <c r="C67" s="175"/>
      <c r="D67" s="175">
        <f t="shared" ref="D67" si="14">SUM(D68:D72)</f>
        <v>31923788</v>
      </c>
      <c r="E67" s="249"/>
    </row>
    <row r="68" spans="1:5" ht="14.45" customHeight="1" x14ac:dyDescent="0.2">
      <c r="A68" s="173" t="s">
        <v>920</v>
      </c>
      <c r="B68" s="170">
        <f>VLOOKUP($A$6,'Kommunvisa uppgifter (BS 2015)'!$B$10:$GT$307,129,FALSE)</f>
        <v>17949096</v>
      </c>
      <c r="C68" s="254"/>
      <c r="D68" s="192">
        <f>B68-C68</f>
        <v>17949096</v>
      </c>
      <c r="E68" s="249" t="s">
        <v>858</v>
      </c>
    </row>
    <row r="69" spans="1:5" ht="16.350000000000001" customHeight="1" x14ac:dyDescent="0.2">
      <c r="A69" s="171" t="s">
        <v>921</v>
      </c>
      <c r="B69" s="170">
        <f>VLOOKUP($A$6,'Kommunvisa uppgifter (BS 2015)'!$B$10:$GT$307,130,FALSE)</f>
        <v>2126226</v>
      </c>
      <c r="C69" s="255"/>
      <c r="D69" s="192">
        <f t="shared" ref="D69:D72" si="15">B69-C69</f>
        <v>2126226</v>
      </c>
      <c r="E69" s="249" t="s">
        <v>859</v>
      </c>
    </row>
    <row r="70" spans="1:5" ht="15" customHeight="1" x14ac:dyDescent="0.2">
      <c r="A70" s="171" t="s">
        <v>922</v>
      </c>
      <c r="B70" s="170">
        <f>VLOOKUP($A$6,'Kommunvisa uppgifter (BS 2015)'!$B$10:$GT$307,131,FALSE)</f>
        <v>2425879</v>
      </c>
      <c r="C70" s="255"/>
      <c r="D70" s="192">
        <f t="shared" si="15"/>
        <v>2425879</v>
      </c>
      <c r="E70" s="249"/>
    </row>
    <row r="71" spans="1:5" ht="15" customHeight="1" x14ac:dyDescent="0.2">
      <c r="A71" s="173" t="s">
        <v>923</v>
      </c>
      <c r="B71" s="170">
        <f>VLOOKUP($A$6,'Kommunvisa uppgifter (BS 2015)'!$B$10:$GT$307,132,FALSE)</f>
        <v>9257918</v>
      </c>
      <c r="C71" s="255"/>
      <c r="D71" s="192">
        <f t="shared" si="15"/>
        <v>9257918</v>
      </c>
      <c r="E71" s="249"/>
    </row>
    <row r="72" spans="1:5" ht="15" customHeight="1" x14ac:dyDescent="0.2">
      <c r="A72" s="173" t="s">
        <v>924</v>
      </c>
      <c r="B72" s="170">
        <f>VLOOKUP($A$6,'Kommunvisa uppgifter (BS 2015)'!$B$10:$GT$307,133,FALSE)</f>
        <v>164669</v>
      </c>
      <c r="C72" s="256"/>
      <c r="D72" s="192">
        <f t="shared" si="15"/>
        <v>164669</v>
      </c>
      <c r="E72" s="249" t="s">
        <v>860</v>
      </c>
    </row>
    <row r="73" spans="1:5" ht="15" customHeight="1" x14ac:dyDescent="0.2">
      <c r="A73" s="23"/>
      <c r="B73" s="163"/>
      <c r="D73" s="176"/>
      <c r="E73" s="249"/>
    </row>
    <row r="74" spans="1:5" ht="15" customHeight="1" x14ac:dyDescent="0.2">
      <c r="A74" s="18" t="s">
        <v>925</v>
      </c>
      <c r="B74" s="175">
        <f>SUM(B75:B76)</f>
        <v>889168</v>
      </c>
      <c r="C74" s="175"/>
      <c r="D74" s="175">
        <f t="shared" ref="D74" si="16">SUM(D75:D76)</f>
        <v>889168</v>
      </c>
      <c r="E74" s="249"/>
    </row>
    <row r="75" spans="1:5" ht="13.35" customHeight="1" x14ac:dyDescent="0.2">
      <c r="A75" s="171" t="s">
        <v>926</v>
      </c>
      <c r="B75" s="170">
        <f>VLOOKUP($A$6,'Kommunvisa uppgifter (BS 2015)'!$B$10:$GT$307,135,FALSE)</f>
        <v>684645</v>
      </c>
      <c r="C75" s="254"/>
      <c r="D75" s="192">
        <f>B75-C75</f>
        <v>684645</v>
      </c>
      <c r="E75" s="249" t="s">
        <v>861</v>
      </c>
    </row>
    <row r="76" spans="1:5" ht="17.100000000000001" customHeight="1" x14ac:dyDescent="0.2">
      <c r="A76" s="171" t="s">
        <v>927</v>
      </c>
      <c r="B76" s="170">
        <f>VLOOKUP($A$6,'Kommunvisa uppgifter (BS 2015)'!$B$10:$GT$307,136,FALSE)</f>
        <v>204523</v>
      </c>
      <c r="C76" s="256"/>
      <c r="D76" s="192">
        <f>B76-C76</f>
        <v>204523</v>
      </c>
      <c r="E76" s="249" t="s">
        <v>862</v>
      </c>
    </row>
    <row r="77" spans="1:5" ht="15" customHeight="1" x14ac:dyDescent="0.2">
      <c r="A77" s="23"/>
      <c r="B77" s="163"/>
      <c r="D77" s="176"/>
      <c r="E77" s="249"/>
    </row>
    <row r="78" spans="1:5" ht="15" customHeight="1" x14ac:dyDescent="0.2">
      <c r="A78" s="18" t="s">
        <v>928</v>
      </c>
      <c r="B78" s="175">
        <f>SUM(B79:B80)</f>
        <v>307081</v>
      </c>
      <c r="C78" s="175"/>
      <c r="D78" s="175">
        <f t="shared" ref="D78" si="17">SUM(D79:D80)</f>
        <v>307081</v>
      </c>
      <c r="E78" s="249"/>
    </row>
    <row r="79" spans="1:5" ht="15" customHeight="1" x14ac:dyDescent="0.2">
      <c r="A79" s="20" t="s">
        <v>929</v>
      </c>
      <c r="B79" s="170">
        <f>VLOOKUP($A$6,'Kommunvisa uppgifter (BS 2015)'!$B$10:$GT$307,138,FALSE)</f>
        <v>173488</v>
      </c>
      <c r="C79" s="254"/>
      <c r="D79" s="192">
        <f>B79-C79</f>
        <v>173488</v>
      </c>
      <c r="E79" s="249"/>
    </row>
    <row r="80" spans="1:5" ht="25.5" x14ac:dyDescent="0.2">
      <c r="A80" s="23" t="s">
        <v>930</v>
      </c>
      <c r="B80" s="170">
        <f>VLOOKUP($A$6,'Kommunvisa uppgifter (BS 2015)'!$B$10:$GT$307,139,FALSE)</f>
        <v>133593</v>
      </c>
      <c r="C80" s="256"/>
      <c r="D80" s="192">
        <f>B80-C80</f>
        <v>133593</v>
      </c>
      <c r="E80" s="249" t="s">
        <v>863</v>
      </c>
    </row>
    <row r="81" spans="1:5" ht="15" customHeight="1" x14ac:dyDescent="0.2">
      <c r="A81" s="23"/>
      <c r="B81" s="163"/>
      <c r="D81" s="176"/>
      <c r="E81" s="249"/>
    </row>
    <row r="82" spans="1:5" ht="15" customHeight="1" x14ac:dyDescent="0.2">
      <c r="A82" s="25" t="s">
        <v>931</v>
      </c>
      <c r="B82" s="175">
        <f>B83+B84+B85</f>
        <v>892632</v>
      </c>
      <c r="C82" s="175"/>
      <c r="D82" s="175">
        <f t="shared" ref="D82" si="18">D83+D84+D85</f>
        <v>892632</v>
      </c>
      <c r="E82" s="249"/>
    </row>
    <row r="83" spans="1:5" ht="15" customHeight="1" x14ac:dyDescent="0.2">
      <c r="A83" s="23" t="s">
        <v>897</v>
      </c>
      <c r="B83" s="170">
        <f>VLOOKUP($A$6,'Kommunvisa uppgifter (BS 2015)'!$B$10:$GT$307,141,FALSE)</f>
        <v>220710</v>
      </c>
      <c r="C83" s="254"/>
      <c r="D83" s="192">
        <f>B83-C83</f>
        <v>220710</v>
      </c>
      <c r="E83" s="249"/>
    </row>
    <row r="84" spans="1:5" ht="25.5" x14ac:dyDescent="0.2">
      <c r="A84" s="23" t="s">
        <v>932</v>
      </c>
      <c r="B84" s="170">
        <f>VLOOKUP($A$6,'Kommunvisa uppgifter (BS 2015)'!$B$10:$GT$307,142,FALSE)</f>
        <v>178340</v>
      </c>
      <c r="C84" s="255"/>
      <c r="D84" s="192">
        <f>B84-C84</f>
        <v>178340</v>
      </c>
      <c r="E84" s="249" t="s">
        <v>864</v>
      </c>
    </row>
    <row r="85" spans="1:5" ht="15" customHeight="1" x14ac:dyDescent="0.2">
      <c r="A85" s="23" t="s">
        <v>933</v>
      </c>
      <c r="B85" s="170">
        <f>VLOOKUP($A$6,'Kommunvisa uppgifter (BS 2015)'!$B$10:$GT$307,143,FALSE)</f>
        <v>493582</v>
      </c>
      <c r="C85" s="256"/>
      <c r="D85" s="192">
        <f>B85-C85</f>
        <v>493582</v>
      </c>
      <c r="E85" s="249"/>
    </row>
    <row r="86" spans="1:5" ht="15" customHeight="1" x14ac:dyDescent="0.2">
      <c r="A86" s="23"/>
      <c r="B86" s="163"/>
      <c r="D86" s="176"/>
      <c r="E86" s="249"/>
    </row>
    <row r="87" spans="1:5" ht="15" customHeight="1" x14ac:dyDescent="0.2">
      <c r="A87" s="18" t="s">
        <v>934</v>
      </c>
      <c r="B87" s="175">
        <f>B88+B98</f>
        <v>20773908</v>
      </c>
      <c r="C87" s="175"/>
      <c r="D87" s="175">
        <f t="shared" ref="D87" si="19">D88+D98</f>
        <v>20773908</v>
      </c>
      <c r="E87" s="249"/>
    </row>
    <row r="88" spans="1:5" ht="15" customHeight="1" x14ac:dyDescent="0.2">
      <c r="A88" s="18" t="s">
        <v>935</v>
      </c>
      <c r="B88" s="175">
        <f>SUM(B89:B96)</f>
        <v>11577150</v>
      </c>
      <c r="C88" s="175"/>
      <c r="D88" s="175">
        <f t="shared" ref="D88" si="20">SUM(D89:D96)</f>
        <v>11577150</v>
      </c>
      <c r="E88" s="249" t="s">
        <v>865</v>
      </c>
    </row>
    <row r="89" spans="1:5" ht="15" customHeight="1" x14ac:dyDescent="0.2">
      <c r="A89" s="166" t="s">
        <v>936</v>
      </c>
      <c r="B89" s="170">
        <f>VLOOKUP($A$6,'Kommunvisa uppgifter (BS 2015)'!$B$10:$GT$307,146,FALSE)</f>
        <v>649687</v>
      </c>
      <c r="C89" s="254"/>
      <c r="D89" s="192">
        <f>B89-C89</f>
        <v>649687</v>
      </c>
      <c r="E89" s="249"/>
    </row>
    <row r="90" spans="1:5" ht="15" customHeight="1" x14ac:dyDescent="0.2">
      <c r="A90" s="166" t="s">
        <v>937</v>
      </c>
      <c r="B90" s="170">
        <f>VLOOKUP($A$6,'Kommunvisa uppgifter (BS 2015)'!$B$10:$GT$307,147,FALSE)</f>
        <v>10161058</v>
      </c>
      <c r="C90" s="255"/>
      <c r="D90" s="192">
        <f t="shared" ref="D90:D96" si="21">B90-C90</f>
        <v>10161058</v>
      </c>
      <c r="E90" s="249"/>
    </row>
    <row r="91" spans="1:5" ht="15" customHeight="1" x14ac:dyDescent="0.2">
      <c r="A91" s="166" t="s">
        <v>938</v>
      </c>
      <c r="B91" s="170">
        <f>VLOOKUP($A$6,'Kommunvisa uppgifter (BS 2015)'!$B$10:$GT$307,152,FALSE)</f>
        <v>159140</v>
      </c>
      <c r="C91" s="255"/>
      <c r="D91" s="192">
        <f t="shared" si="21"/>
        <v>159140</v>
      </c>
      <c r="E91" s="249"/>
    </row>
    <row r="92" spans="1:5" ht="15" customHeight="1" x14ac:dyDescent="0.2">
      <c r="A92" s="166" t="s">
        <v>939</v>
      </c>
      <c r="B92" s="170">
        <f>VLOOKUP($A$6,'Kommunvisa uppgifter (BS 2015)'!$B$10:$GT$307,153,FALSE)</f>
        <v>32439</v>
      </c>
      <c r="C92" s="255"/>
      <c r="D92" s="192">
        <f t="shared" si="21"/>
        <v>32439</v>
      </c>
      <c r="E92" s="249"/>
    </row>
    <row r="93" spans="1:5" ht="15" customHeight="1" x14ac:dyDescent="0.2">
      <c r="A93" s="166" t="s">
        <v>940</v>
      </c>
      <c r="B93" s="170">
        <f>VLOOKUP($A$6,'Kommunvisa uppgifter (BS 2015)'!$B$10:$GT$307,154,FALSE)</f>
        <v>52428</v>
      </c>
      <c r="C93" s="255"/>
      <c r="D93" s="192">
        <f t="shared" si="21"/>
        <v>52428</v>
      </c>
      <c r="E93" s="249"/>
    </row>
    <row r="94" spans="1:5" ht="15" customHeight="1" x14ac:dyDescent="0.2">
      <c r="A94" s="166" t="s">
        <v>941</v>
      </c>
      <c r="B94" s="170">
        <f>VLOOKUP($A$6,'Kommunvisa uppgifter (BS 2015)'!$B$10:$GT$307,155,FALSE)</f>
        <v>4795</v>
      </c>
      <c r="C94" s="255"/>
      <c r="D94" s="192">
        <f t="shared" si="21"/>
        <v>4795</v>
      </c>
      <c r="E94" s="249"/>
    </row>
    <row r="95" spans="1:5" ht="15" customHeight="1" x14ac:dyDescent="0.2">
      <c r="A95" s="166" t="s">
        <v>942</v>
      </c>
      <c r="B95" s="170">
        <f>VLOOKUP($A$6,'Kommunvisa uppgifter (BS 2015)'!$B$10:$GT$307,156,FALSE)</f>
        <v>463491</v>
      </c>
      <c r="C95" s="255"/>
      <c r="D95" s="192">
        <f t="shared" si="21"/>
        <v>463491</v>
      </c>
      <c r="E95" s="249"/>
    </row>
    <row r="96" spans="1:5" ht="15" customHeight="1" x14ac:dyDescent="0.2">
      <c r="A96" s="166" t="s">
        <v>943</v>
      </c>
      <c r="B96" s="170">
        <f>VLOOKUP($A$6,'Kommunvisa uppgifter (BS 2015)'!$B$10:$GT$307,158,FALSE)</f>
        <v>54112</v>
      </c>
      <c r="C96" s="256"/>
      <c r="D96" s="192">
        <f t="shared" si="21"/>
        <v>54112</v>
      </c>
      <c r="E96" s="249"/>
    </row>
    <row r="97" spans="1:5" ht="15" customHeight="1" x14ac:dyDescent="0.2">
      <c r="A97" s="23"/>
      <c r="B97" s="163"/>
      <c r="D97" s="176"/>
      <c r="E97" s="249"/>
    </row>
    <row r="98" spans="1:5" ht="15" customHeight="1" x14ac:dyDescent="0.2">
      <c r="A98" s="18" t="s">
        <v>944</v>
      </c>
      <c r="B98" s="175">
        <f>SUM(B99:B106)</f>
        <v>9196758</v>
      </c>
      <c r="C98" s="175"/>
      <c r="D98" s="175">
        <f t="shared" ref="D98" si="22">SUM(D99:D106)</f>
        <v>9196758</v>
      </c>
      <c r="E98" s="249"/>
    </row>
    <row r="99" spans="1:5" ht="15" customHeight="1" x14ac:dyDescent="0.2">
      <c r="A99" s="166" t="s">
        <v>936</v>
      </c>
      <c r="B99" s="170">
        <f>VLOOKUP($A$6,'Kommunvisa uppgifter (BS 2015)'!$B$10:$GT$307,160,FALSE)</f>
        <v>170083</v>
      </c>
      <c r="C99" s="254"/>
      <c r="D99" s="192">
        <f>B99-C99</f>
        <v>170083</v>
      </c>
      <c r="E99" s="249"/>
    </row>
    <row r="100" spans="1:5" ht="15" customHeight="1" x14ac:dyDescent="0.2">
      <c r="A100" s="166" t="s">
        <v>0</v>
      </c>
      <c r="B100" s="170">
        <f>VLOOKUP($A$6,'Kommunvisa uppgifter (BS 2015)'!$B$10:$GT$307,161,FALSE)</f>
        <v>3324352</v>
      </c>
      <c r="C100" s="255"/>
      <c r="D100" s="192">
        <f t="shared" ref="D100:D106" si="23">B100-C100</f>
        <v>3324352</v>
      </c>
      <c r="E100" s="249"/>
    </row>
    <row r="101" spans="1:5" ht="15" customHeight="1" x14ac:dyDescent="0.2">
      <c r="A101" s="166" t="s">
        <v>938</v>
      </c>
      <c r="B101" s="170">
        <f>VLOOKUP($A$6,'Kommunvisa uppgifter (BS 2015)'!$B$10:$GT$307,166,FALSE)</f>
        <v>59956</v>
      </c>
      <c r="C101" s="255"/>
      <c r="D101" s="192">
        <f t="shared" si="23"/>
        <v>59956</v>
      </c>
      <c r="E101" s="249"/>
    </row>
    <row r="102" spans="1:5" ht="15" customHeight="1" x14ac:dyDescent="0.2">
      <c r="A102" s="166" t="s">
        <v>939</v>
      </c>
      <c r="B102" s="170">
        <f>VLOOKUP($A$6,'Kommunvisa uppgifter (BS 2015)'!$B$10:$GT$307,167,FALSE)</f>
        <v>947668</v>
      </c>
      <c r="C102" s="255"/>
      <c r="D102" s="192">
        <f t="shared" si="23"/>
        <v>947668</v>
      </c>
      <c r="E102" s="249"/>
    </row>
    <row r="103" spans="1:5" ht="15" customHeight="1" x14ac:dyDescent="0.2">
      <c r="A103" s="166" t="s">
        <v>940</v>
      </c>
      <c r="B103" s="170">
        <f>VLOOKUP($A$6,'Kommunvisa uppgifter (BS 2015)'!$B$10:$GT$307,168,FALSE)</f>
        <v>202868</v>
      </c>
      <c r="C103" s="255"/>
      <c r="D103" s="192">
        <f t="shared" si="23"/>
        <v>202868</v>
      </c>
      <c r="E103" s="249"/>
    </row>
    <row r="104" spans="1:5" ht="15" customHeight="1" x14ac:dyDescent="0.2">
      <c r="A104" s="166" t="s">
        <v>941</v>
      </c>
      <c r="B104" s="170">
        <f>VLOOKUP($A$6,'Kommunvisa uppgifter (BS 2015)'!$B$10:$GT$307,169,FALSE)</f>
        <v>1555454</v>
      </c>
      <c r="C104" s="255"/>
      <c r="D104" s="192">
        <f t="shared" si="23"/>
        <v>1555454</v>
      </c>
      <c r="E104" s="249" t="s">
        <v>866</v>
      </c>
    </row>
    <row r="105" spans="1:5" ht="15" customHeight="1" x14ac:dyDescent="0.2">
      <c r="A105" s="166" t="s">
        <v>942</v>
      </c>
      <c r="B105" s="170">
        <f>VLOOKUP($A$6,'Kommunvisa uppgifter (BS 2015)'!$B$10:$GT$307,170,FALSE)</f>
        <v>543764</v>
      </c>
      <c r="C105" s="255"/>
      <c r="D105" s="192">
        <f t="shared" si="23"/>
        <v>543764</v>
      </c>
      <c r="E105" s="249"/>
    </row>
    <row r="106" spans="1:5" ht="15" customHeight="1" x14ac:dyDescent="0.2">
      <c r="A106" s="166" t="s">
        <v>943</v>
      </c>
      <c r="B106" s="170">
        <f>VLOOKUP($A$6,'Kommunvisa uppgifter (BS 2015)'!$B$10:$GT$307,171,FALSE)</f>
        <v>2392613</v>
      </c>
      <c r="C106" s="256"/>
      <c r="D106" s="192">
        <f t="shared" si="23"/>
        <v>2392613</v>
      </c>
      <c r="E106" s="249" t="s">
        <v>867</v>
      </c>
    </row>
    <row r="107" spans="1:5" ht="15" customHeight="1" x14ac:dyDescent="0.2">
      <c r="A107" s="23"/>
      <c r="B107" s="163"/>
      <c r="D107" s="176"/>
    </row>
    <row r="108" spans="1:5" ht="15" customHeight="1" x14ac:dyDescent="0.2">
      <c r="A108" s="18" t="s">
        <v>945</v>
      </c>
      <c r="B108" s="175">
        <f>B98+B88+B82+B78+B74+B67</f>
        <v>54786577</v>
      </c>
      <c r="C108" s="175"/>
      <c r="D108" s="175">
        <f t="shared" ref="D108" si="24">D98+D88+D82+D78+D74+D67</f>
        <v>54786577</v>
      </c>
    </row>
    <row r="109" spans="1:5" ht="15" customHeight="1" x14ac:dyDescent="0.2">
      <c r="A109" s="23"/>
      <c r="B109" s="163"/>
      <c r="C109" s="7"/>
      <c r="D109" s="176"/>
    </row>
    <row r="110" spans="1:5" x14ac:dyDescent="0.2">
      <c r="A110" s="18" t="s">
        <v>946</v>
      </c>
      <c r="B110" s="181">
        <f>100*(B67+B74)/(B108-B103-B93)</f>
        <v>60.172721781467047</v>
      </c>
      <c r="C110" s="176"/>
      <c r="D110" s="181">
        <f>IF((D108+D103+D93)=0,0,100*(D67+D74)/(D108-D103-D93))</f>
        <v>60.172721781467047</v>
      </c>
      <c r="E110" s="36" t="s">
        <v>868</v>
      </c>
    </row>
    <row r="111" spans="1:5" ht="15" customHeight="1" x14ac:dyDescent="0.2">
      <c r="A111" s="26" t="s">
        <v>947</v>
      </c>
      <c r="B111" s="163"/>
      <c r="D111" s="176"/>
    </row>
    <row r="112" spans="1:5" ht="15" customHeight="1" x14ac:dyDescent="0.2">
      <c r="A112" s="23" t="s">
        <v>948</v>
      </c>
      <c r="B112" s="175">
        <f>B61</f>
        <v>2075797</v>
      </c>
      <c r="C112" s="176"/>
      <c r="D112" s="175">
        <f>D61</f>
        <v>2075797</v>
      </c>
    </row>
    <row r="113" spans="1:5" ht="15" customHeight="1" x14ac:dyDescent="0.2">
      <c r="A113" s="23" t="s">
        <v>949</v>
      </c>
      <c r="B113" s="182">
        <f>B112/Resultaträkning!A10*1000</f>
        <v>380.29926763246971</v>
      </c>
      <c r="C113" s="176"/>
      <c r="D113" s="182">
        <f>D112/Resultaträkning!A10*1000</f>
        <v>380.29926763246971</v>
      </c>
    </row>
    <row r="114" spans="1:5" ht="15" customHeight="1" x14ac:dyDescent="0.2">
      <c r="A114" s="26" t="s">
        <v>950</v>
      </c>
      <c r="B114" s="163"/>
      <c r="D114" s="176"/>
    </row>
    <row r="115" spans="1:5" ht="15" customHeight="1" x14ac:dyDescent="0.2">
      <c r="A115" s="23" t="s">
        <v>948</v>
      </c>
      <c r="B115" s="175">
        <f>B87-(B93+B103+B94+B104+B96+B106+B95+B105)</f>
        <v>15504383</v>
      </c>
      <c r="C115" s="176"/>
      <c r="D115" s="175">
        <f>D87-(D93+D103+D94+D104+D96+D106+D95+D105)</f>
        <v>15504383</v>
      </c>
      <c r="E115" s="36" t="s">
        <v>869</v>
      </c>
    </row>
    <row r="116" spans="1:5" ht="15" customHeight="1" x14ac:dyDescent="0.2">
      <c r="A116" s="23" t="s">
        <v>949</v>
      </c>
      <c r="B116" s="182">
        <f>B115/Resultaträkning!$A$10*1000</f>
        <v>2840.5019854992142</v>
      </c>
      <c r="C116" s="176"/>
      <c r="D116" s="182">
        <f>D115/Resultaträkning!$A$10*1000</f>
        <v>2840.5019854992142</v>
      </c>
    </row>
    <row r="117" spans="1:5" ht="15" customHeight="1" x14ac:dyDescent="0.2">
      <c r="A117" s="23"/>
      <c r="B117" s="21"/>
      <c r="D117" s="176"/>
    </row>
    <row r="118" spans="1:5" x14ac:dyDescent="0.2">
      <c r="A118" s="32"/>
      <c r="B118" s="21"/>
      <c r="C118" s="116"/>
      <c r="D118" s="21"/>
    </row>
    <row r="119" spans="1:5" s="9" customFormat="1" ht="18.75" customHeight="1" x14ac:dyDescent="0.2">
      <c r="A119" s="33" t="s">
        <v>951</v>
      </c>
      <c r="B119" s="117">
        <f>100*(B87-B93-B103)/(Resultaträkning!B12+Resultaträkning!B32+Resultaträkning!B37)</f>
        <v>48.013791092652056</v>
      </c>
      <c r="C119" s="180"/>
      <c r="D119" s="179">
        <f>100*(D87-D93-D103)/(Resultaträkning!D12+Resultaträkning!D32+Resultaträkning!D37)</f>
        <v>93.639311479295699</v>
      </c>
      <c r="E119" s="36" t="s">
        <v>870</v>
      </c>
    </row>
    <row r="121" spans="1:5" x14ac:dyDescent="0.2">
      <c r="B121" s="122"/>
    </row>
    <row r="123" spans="1:5" x14ac:dyDescent="0.2">
      <c r="B123" s="98"/>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70" zoomScaleNormal="70" workbookViewId="0">
      <selection activeCell="F60" sqref="F60"/>
    </sheetView>
  </sheetViews>
  <sheetFormatPr defaultRowHeight="12.75" x14ac:dyDescent="0.2"/>
  <cols>
    <col min="1" max="1" width="11.85546875" customWidth="1"/>
    <col min="2" max="2" width="13.85546875" bestFit="1" customWidth="1"/>
    <col min="3" max="3" width="16.42578125" bestFit="1" customWidth="1"/>
    <col min="5" max="5" width="11.7109375" bestFit="1" customWidth="1"/>
    <col min="6" max="6" width="11.28515625" bestFit="1" customWidth="1"/>
    <col min="7" max="7" width="8.5703125" bestFit="1" customWidth="1"/>
    <col min="8" max="8" width="9.5703125" bestFit="1" customWidth="1"/>
    <col min="9" max="9" width="10.7109375" bestFit="1" customWidth="1"/>
    <col min="10" max="10" width="16.42578125" bestFit="1" customWidth="1"/>
  </cols>
  <sheetData>
    <row r="1" spans="1:7" ht="20.25" x14ac:dyDescent="0.3">
      <c r="A1" s="428" t="s">
        <v>959</v>
      </c>
      <c r="B1" s="392"/>
      <c r="C1" s="392"/>
      <c r="D1" s="392"/>
      <c r="E1" s="392"/>
      <c r="F1" s="392"/>
      <c r="G1" s="392"/>
    </row>
    <row r="2" spans="1:7" ht="20.25" x14ac:dyDescent="0.3">
      <c r="A2" s="428" t="s">
        <v>960</v>
      </c>
      <c r="B2" s="392"/>
      <c r="C2" s="392"/>
      <c r="D2" s="392"/>
      <c r="E2" s="392"/>
      <c r="F2" s="392"/>
      <c r="G2" s="392"/>
    </row>
    <row r="3" spans="1:7" ht="20.25" x14ac:dyDescent="0.3">
      <c r="A3" s="428"/>
      <c r="B3" s="392"/>
      <c r="C3" s="392"/>
      <c r="D3" s="392"/>
      <c r="E3" s="392"/>
      <c r="F3" s="392"/>
      <c r="G3" s="392"/>
    </row>
    <row r="4" spans="1:7" ht="13.5" thickBot="1" x14ac:dyDescent="0.25">
      <c r="A4" s="430" t="s">
        <v>466</v>
      </c>
      <c r="B4" s="392"/>
      <c r="C4" s="392"/>
      <c r="D4" s="392"/>
      <c r="E4" s="392"/>
      <c r="F4" s="392"/>
      <c r="G4" s="392"/>
    </row>
    <row r="5" spans="1:7" ht="13.5" thickBot="1" x14ac:dyDescent="0.25">
      <c r="A5" s="429" t="s">
        <v>66</v>
      </c>
      <c r="B5" s="392"/>
      <c r="C5" s="392"/>
      <c r="D5" s="392"/>
      <c r="E5" s="392"/>
      <c r="F5" s="392"/>
      <c r="G5" s="392"/>
    </row>
    <row r="6" spans="1:7" x14ac:dyDescent="0.2">
      <c r="A6" s="392"/>
      <c r="B6" s="392"/>
      <c r="C6" s="392"/>
      <c r="D6" s="392"/>
      <c r="E6" s="392"/>
      <c r="F6" s="392"/>
      <c r="G6" s="392"/>
    </row>
    <row r="23" spans="1:6" x14ac:dyDescent="0.2">
      <c r="A23" s="3" t="s">
        <v>957</v>
      </c>
    </row>
    <row r="24" spans="1:6" x14ac:dyDescent="0.2">
      <c r="A24" s="421" t="s">
        <v>498</v>
      </c>
      <c r="B24" s="421" t="s">
        <v>499</v>
      </c>
      <c r="C24" s="421" t="s">
        <v>570</v>
      </c>
      <c r="D24" s="421" t="s">
        <v>445</v>
      </c>
      <c r="E24" s="421" t="s">
        <v>956</v>
      </c>
      <c r="F24" s="421" t="s">
        <v>958</v>
      </c>
    </row>
    <row r="25" spans="1:6" x14ac:dyDescent="0.2">
      <c r="A25" s="427">
        <f>VLOOKUP($A$5,'FMs uppgifter (februari 2017)'!$B$22:$CC$317,58,FALSE)</f>
        <v>0.3683123802567892</v>
      </c>
      <c r="B25" s="427">
        <f>VLOOKUP($A$5,'FMs uppgifter (februari 2017)'!$B$22:$CC$317,59,FALSE)</f>
        <v>2.8697830286501719E-2</v>
      </c>
      <c r="C25" s="427">
        <f>VLOOKUP($A$5,'FMs uppgifter (februari 2017)'!$B$22:$CC$317,60,FALSE)</f>
        <v>3.1238300701776398E-2</v>
      </c>
      <c r="D25" s="427">
        <f>VLOOKUP($A$5,'FMs uppgifter (februari 2017)'!$B$22:$CC$317,61,FALSE)</f>
        <v>0.55466138065586545</v>
      </c>
      <c r="E25" s="427">
        <f>VLOOKUP($A$5,'FMs uppgifter (februari 2017)'!$B$22:$CC$317,62,FALSE)</f>
        <v>1.7090108099067313E-2</v>
      </c>
    </row>
    <row r="26" spans="1:6" x14ac:dyDescent="0.2">
      <c r="A26" s="427">
        <f>VLOOKUP($A$5,'FMs uppgifter (februari 2017)'!$B$22:$CC$317,65,FALSE)</f>
        <v>0.44587894175227966</v>
      </c>
      <c r="B26" s="427">
        <f>VLOOKUP($A$5,'FMs uppgifter (februari 2017)'!$B$22:$CC$317,66,FALSE)</f>
        <v>5.0449800283204622E-2</v>
      </c>
      <c r="C26" s="427">
        <f>VLOOKUP($A$5,'FMs uppgifter (februari 2017)'!$B$22:$CC$317,67,FALSE)</f>
        <v>8.4791205788647572E-2</v>
      </c>
      <c r="D26" s="427">
        <f>VLOOKUP($A$5,'FMs uppgifter (februari 2017)'!$B$22:$CC$317,68,FALSE)</f>
        <v>0.36393914259797744</v>
      </c>
      <c r="E26" s="427">
        <f>VLOOKUP($A$5,'FMs uppgifter (februari 2017)'!$B$22:$CC$317,69,FALSE)</f>
        <v>4.6388274657201349E-2</v>
      </c>
      <c r="F26" s="427">
        <f>VLOOKUP($A$5,'FMs uppgifter (februari 2017)'!$B$22:$CC$317,70,FALSE)</f>
        <v>8.552634920689469E-3</v>
      </c>
    </row>
    <row r="27" spans="1:6" x14ac:dyDescent="0.2">
      <c r="A27" s="3"/>
    </row>
    <row r="28" spans="1:6" x14ac:dyDescent="0.2">
      <c r="A28" s="421"/>
      <c r="B28" s="421"/>
      <c r="C28" s="421"/>
      <c r="D28" s="421"/>
      <c r="E28" s="421"/>
    </row>
    <row r="54" spans="1:1" x14ac:dyDescent="0.2">
      <c r="A54" t="s">
        <v>961</v>
      </c>
    </row>
    <row r="55" spans="1:1" x14ac:dyDescent="0.2">
      <c r="A55" t="s">
        <v>962</v>
      </c>
    </row>
    <row r="56" spans="1:1" x14ac:dyDescent="0.2">
      <c r="A56" t="s">
        <v>964</v>
      </c>
    </row>
    <row r="57" spans="1:1" x14ac:dyDescent="0.2">
      <c r="A57" t="s">
        <v>963</v>
      </c>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'FMs uppgifter (februari 2017)'!$B$22:$B$317</xm:f>
          </x14:formula1>
          <xm:sqref>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18"/>
  <sheetViews>
    <sheetView zoomScale="85" zoomScaleNormal="85" workbookViewId="0">
      <pane xSplit="4" topLeftCell="E1" activePane="topRight" state="frozen"/>
      <selection activeCell="A4" sqref="A4"/>
      <selection pane="topRight" activeCell="E1" sqref="E1"/>
    </sheetView>
  </sheetViews>
  <sheetFormatPr defaultRowHeight="12.75" x14ac:dyDescent="0.2"/>
  <cols>
    <col min="1" max="1" width="9.140625" style="288" customWidth="1"/>
    <col min="2" max="2" width="16.42578125" style="278" bestFit="1" customWidth="1"/>
    <col min="3" max="3" width="4.7109375" style="278" bestFit="1" customWidth="1"/>
    <col min="4" max="4" width="11.28515625" style="279" customWidth="1"/>
    <col min="5" max="5" width="14.42578125" style="280" customWidth="1"/>
    <col min="6" max="6" width="12.140625" style="279" customWidth="1"/>
    <col min="7" max="7" width="11.140625" style="278" customWidth="1"/>
    <col min="8" max="8" width="11" style="279" customWidth="1"/>
    <col min="9" max="9" width="11.5703125" style="279" customWidth="1"/>
    <col min="10" max="10" width="10.42578125" style="279" customWidth="1"/>
    <col min="11" max="11" width="10.140625" style="279" customWidth="1"/>
    <col min="12" max="12" width="9.85546875" style="280" customWidth="1"/>
    <col min="13" max="13" width="10.5703125" style="281" customWidth="1"/>
    <col min="14" max="14" width="5.140625" style="281" customWidth="1"/>
    <col min="15" max="15" width="1.42578125" style="279" customWidth="1"/>
    <col min="16" max="16" width="12.42578125" style="279" customWidth="1"/>
    <col min="17" max="17" width="11.140625" style="283" customWidth="1"/>
    <col min="18" max="18" width="11" style="279" customWidth="1"/>
    <col min="19" max="19" width="11.140625" style="279" customWidth="1"/>
    <col min="20" max="20" width="11.5703125" style="280" customWidth="1"/>
    <col min="21" max="21" width="10.42578125" style="280" customWidth="1"/>
    <col min="22" max="22" width="10.85546875" style="279" customWidth="1"/>
    <col min="23" max="23" width="9.5703125" style="279" customWidth="1"/>
    <col min="24" max="24" width="9.42578125" style="279" customWidth="1"/>
    <col min="25" max="25" width="10.140625" style="284" customWidth="1"/>
    <col min="26" max="26" width="5.42578125" style="284" customWidth="1"/>
    <col min="27" max="27" width="1.42578125" style="279" customWidth="1"/>
    <col min="28" max="28" width="10.42578125" style="285" customWidth="1"/>
    <col min="29" max="29" width="4.85546875" style="285" customWidth="1"/>
    <col min="30" max="30" width="6.42578125" customWidth="1"/>
    <col min="31" max="31" width="7.5703125" style="286" customWidth="1"/>
    <col min="32" max="32" width="7.42578125" style="287" customWidth="1"/>
    <col min="33" max="34" width="8.85546875" style="287"/>
    <col min="35" max="35" width="10.42578125" style="287" customWidth="1"/>
    <col min="36" max="36" width="11.85546875" style="402" customWidth="1"/>
    <col min="37" max="37" width="18.42578125" style="288" customWidth="1"/>
    <col min="48" max="48" width="11" bestFit="1" customWidth="1"/>
    <col min="53" max="53" width="10.42578125" customWidth="1"/>
    <col min="54" max="54" width="11" bestFit="1" customWidth="1"/>
    <col min="58" max="58" width="7" customWidth="1"/>
    <col min="59" max="59" width="12.85546875" bestFit="1" customWidth="1"/>
    <col min="60" max="60" width="11.7109375" bestFit="1" customWidth="1"/>
    <col min="61" max="61" width="9.140625" bestFit="1" customWidth="1"/>
    <col min="62" max="62" width="10.140625" bestFit="1" customWidth="1"/>
    <col min="63" max="63" width="11.5703125" bestFit="1" customWidth="1"/>
    <col min="64" max="64" width="14.140625" bestFit="1" customWidth="1"/>
    <col min="65" max="65" width="2.85546875" bestFit="1" customWidth="1"/>
    <col min="66" max="66" width="12.85546875" bestFit="1" customWidth="1"/>
    <col min="67" max="67" width="11.7109375" bestFit="1" customWidth="1"/>
    <col min="68" max="68" width="9.140625" bestFit="1" customWidth="1"/>
    <col min="69" max="69" width="10.140625" bestFit="1" customWidth="1"/>
    <col min="70" max="70" width="11.5703125" bestFit="1" customWidth="1"/>
    <col min="71" max="71" width="11.7109375" bestFit="1" customWidth="1"/>
    <col min="72" max="72" width="14.140625" bestFit="1" customWidth="1"/>
  </cols>
  <sheetData>
    <row r="1" spans="1:69" ht="18" x14ac:dyDescent="0.25">
      <c r="A1" s="277" t="s">
        <v>481</v>
      </c>
      <c r="P1" s="282"/>
    </row>
    <row r="2" spans="1:69" ht="23.25" x14ac:dyDescent="0.35">
      <c r="A2" s="289" t="s">
        <v>482</v>
      </c>
      <c r="P2" s="290"/>
    </row>
    <row r="3" spans="1:69" s="6" customFormat="1" x14ac:dyDescent="0.2">
      <c r="A3" s="291" t="s">
        <v>483</v>
      </c>
      <c r="B3" s="292"/>
      <c r="C3" s="293"/>
      <c r="D3" s="57"/>
      <c r="E3" s="294"/>
      <c r="F3" s="57"/>
      <c r="G3" s="293"/>
      <c r="H3" s="57"/>
      <c r="I3" s="57"/>
      <c r="J3" s="57"/>
      <c r="K3" s="57"/>
      <c r="L3" s="294"/>
      <c r="M3" s="295"/>
      <c r="N3" s="295"/>
      <c r="O3" s="57"/>
      <c r="P3" s="57"/>
      <c r="Q3" s="296"/>
      <c r="R3" s="57"/>
      <c r="S3" s="57"/>
      <c r="T3" s="294"/>
      <c r="U3" s="294"/>
      <c r="V3" s="57"/>
      <c r="W3" s="57"/>
      <c r="X3" s="57"/>
      <c r="Y3" s="297"/>
      <c r="Z3" s="297"/>
      <c r="AA3" s="57"/>
      <c r="AB3" s="298"/>
      <c r="AC3" s="298"/>
      <c r="AE3" s="299"/>
      <c r="AF3" s="287"/>
      <c r="AG3" s="287"/>
      <c r="AH3" s="287"/>
      <c r="AI3" s="287"/>
      <c r="AJ3" s="402"/>
      <c r="AK3" s="288"/>
    </row>
    <row r="4" spans="1:69" s="6" customFormat="1" x14ac:dyDescent="0.2">
      <c r="A4" s="300" t="s">
        <v>484</v>
      </c>
      <c r="B4" s="292"/>
      <c r="C4" s="293"/>
      <c r="D4" s="57"/>
      <c r="E4" s="294"/>
      <c r="F4" s="57"/>
      <c r="G4" s="293"/>
      <c r="H4" s="57"/>
      <c r="I4" s="57"/>
      <c r="J4" s="57"/>
      <c r="K4" s="57"/>
      <c r="L4" s="294"/>
      <c r="M4" s="295"/>
      <c r="N4" s="295"/>
      <c r="O4" s="57"/>
      <c r="P4" s="57"/>
      <c r="Q4" s="296"/>
      <c r="R4" s="57"/>
      <c r="S4" s="57"/>
      <c r="T4" s="294"/>
      <c r="U4" s="294"/>
      <c r="V4" s="57"/>
      <c r="W4" s="57"/>
      <c r="X4" s="57"/>
      <c r="Y4" s="297"/>
      <c r="Z4" s="297"/>
      <c r="AA4" s="57"/>
      <c r="AB4" s="298"/>
      <c r="AC4" s="298"/>
      <c r="AE4" s="299"/>
      <c r="AF4" s="287"/>
      <c r="AG4" s="287"/>
      <c r="AH4" s="287"/>
      <c r="AI4" s="287"/>
      <c r="AJ4" s="402"/>
      <c r="AK4" s="288"/>
    </row>
    <row r="5" spans="1:69" s="6" customFormat="1" x14ac:dyDescent="0.2">
      <c r="A5" s="301" t="s">
        <v>485</v>
      </c>
      <c r="B5" s="292"/>
      <c r="C5" s="293"/>
      <c r="D5" s="57"/>
      <c r="E5" s="294"/>
      <c r="F5" s="57"/>
      <c r="G5" s="293"/>
      <c r="H5" s="57"/>
      <c r="I5" s="57"/>
      <c r="J5" s="57"/>
      <c r="K5" s="57"/>
      <c r="L5" s="294"/>
      <c r="M5" s="295"/>
      <c r="N5" s="295"/>
      <c r="O5" s="57"/>
      <c r="P5" s="302"/>
      <c r="Q5" s="296"/>
      <c r="R5" s="303"/>
      <c r="S5" s="57"/>
      <c r="T5" s="294"/>
      <c r="U5" s="294"/>
      <c r="V5" s="304"/>
      <c r="W5" s="304"/>
      <c r="X5" s="304"/>
      <c r="Y5" s="305"/>
      <c r="Z5" s="306"/>
      <c r="AA5" s="57"/>
      <c r="AB5" s="298"/>
      <c r="AC5" s="298"/>
      <c r="AE5" s="299"/>
      <c r="AF5" s="287"/>
      <c r="AG5" s="287"/>
      <c r="AH5" s="287"/>
      <c r="AI5" s="287"/>
      <c r="AJ5" s="402"/>
      <c r="AK5" s="288"/>
    </row>
    <row r="6" spans="1:69" s="6" customFormat="1" ht="14.25" x14ac:dyDescent="0.25">
      <c r="A6" s="301" t="s">
        <v>486</v>
      </c>
      <c r="B6" s="292"/>
      <c r="C6" s="293"/>
      <c r="D6" s="57"/>
      <c r="E6" s="294"/>
      <c r="F6" s="57"/>
      <c r="G6" s="293"/>
      <c r="H6" s="57"/>
      <c r="I6" s="57"/>
      <c r="J6" s="57"/>
      <c r="K6" s="57"/>
      <c r="L6" s="294"/>
      <c r="M6" s="295"/>
      <c r="N6" s="295"/>
      <c r="O6" s="57"/>
      <c r="P6" s="302"/>
      <c r="Q6" s="296"/>
      <c r="R6" s="303"/>
      <c r="S6" s="57"/>
      <c r="T6" s="294"/>
      <c r="U6" s="294"/>
      <c r="V6" s="304"/>
      <c r="W6" s="304"/>
      <c r="X6" s="304"/>
      <c r="Y6" s="305"/>
      <c r="Z6" s="306"/>
      <c r="AA6" s="57"/>
      <c r="AB6" s="298"/>
      <c r="AC6" s="298"/>
      <c r="AE6" s="286"/>
      <c r="AF6" s="287"/>
      <c r="AG6" s="287"/>
      <c r="AH6" s="287"/>
      <c r="AI6" s="287"/>
      <c r="AJ6" s="402"/>
      <c r="AK6" s="288"/>
      <c r="AS6" s="398"/>
    </row>
    <row r="7" spans="1:69" s="6" customFormat="1" ht="12" x14ac:dyDescent="0.2">
      <c r="A7" s="300" t="s">
        <v>487</v>
      </c>
      <c r="B7" s="292"/>
      <c r="C7" s="293"/>
      <c r="D7" s="57"/>
      <c r="E7" s="294"/>
      <c r="F7" s="57"/>
      <c r="G7" s="293"/>
      <c r="H7" s="57"/>
      <c r="I7" s="57"/>
      <c r="J7" s="57"/>
      <c r="K7" s="57"/>
      <c r="L7" s="294"/>
      <c r="M7" s="295"/>
      <c r="N7" s="295"/>
      <c r="O7" s="57"/>
      <c r="P7" s="302"/>
      <c r="Q7" s="296"/>
      <c r="R7" s="303"/>
      <c r="S7" s="57"/>
      <c r="T7" s="294"/>
      <c r="U7" s="294"/>
      <c r="V7" s="304"/>
      <c r="W7" s="304"/>
      <c r="X7" s="304"/>
      <c r="Y7" s="305"/>
      <c r="Z7" s="306"/>
      <c r="AA7" s="57"/>
      <c r="AB7" s="298"/>
      <c r="AC7" s="298"/>
      <c r="AE7" s="286"/>
      <c r="AF7" s="287"/>
      <c r="AG7" s="287"/>
      <c r="AH7" s="287"/>
      <c r="AI7" s="287"/>
      <c r="AJ7" s="402"/>
      <c r="AK7" s="288"/>
    </row>
    <row r="8" spans="1:69" s="6" customFormat="1" x14ac:dyDescent="0.2">
      <c r="A8" s="301"/>
      <c r="B8" s="292"/>
      <c r="C8" s="293"/>
      <c r="D8" s="57"/>
      <c r="E8" s="294"/>
      <c r="F8" s="57"/>
      <c r="G8" s="293"/>
      <c r="H8" s="57"/>
      <c r="I8" s="57"/>
      <c r="J8" s="57"/>
      <c r="K8" s="57"/>
      <c r="L8" s="294"/>
      <c r="M8" s="295"/>
      <c r="N8" s="295"/>
      <c r="O8" s="57"/>
      <c r="P8" s="302"/>
      <c r="Q8" s="296"/>
      <c r="R8" s="303"/>
      <c r="S8" s="57"/>
      <c r="T8" s="294"/>
      <c r="U8" s="294"/>
      <c r="V8" s="304"/>
      <c r="W8" s="304"/>
      <c r="X8" s="304"/>
      <c r="Y8" s="305"/>
      <c r="Z8" s="306"/>
      <c r="AA8" s="57"/>
      <c r="AB8" s="298"/>
      <c r="AC8" s="298"/>
      <c r="AE8" s="286"/>
      <c r="AF8" s="287"/>
      <c r="AG8" s="287"/>
      <c r="AH8" s="287"/>
      <c r="AI8" s="287"/>
      <c r="AJ8" s="402"/>
      <c r="AK8" s="9" t="s">
        <v>616</v>
      </c>
    </row>
    <row r="9" spans="1:69" s="6" customFormat="1" x14ac:dyDescent="0.2">
      <c r="A9" s="300" t="s">
        <v>488</v>
      </c>
      <c r="B9" s="292"/>
      <c r="C9" s="293"/>
      <c r="D9" s="57"/>
      <c r="E9" s="294"/>
      <c r="F9" s="57"/>
      <c r="G9" s="293"/>
      <c r="H9" s="303"/>
      <c r="I9" s="57"/>
      <c r="J9" s="304"/>
      <c r="K9" s="304"/>
      <c r="L9" s="307"/>
      <c r="M9" s="295"/>
      <c r="N9" s="295"/>
      <c r="O9" s="57"/>
      <c r="P9" s="302"/>
      <c r="Q9" s="296"/>
      <c r="R9" s="57"/>
      <c r="S9" s="57"/>
      <c r="T9" s="294"/>
      <c r="V9" s="56"/>
      <c r="W9" s="56"/>
      <c r="X9" s="56"/>
      <c r="Y9" s="297"/>
      <c r="Z9" s="306"/>
      <c r="AA9" s="57"/>
      <c r="AB9" s="298"/>
      <c r="AC9" s="306"/>
      <c r="AE9" s="308"/>
      <c r="AF9" s="308"/>
      <c r="AG9" s="308"/>
      <c r="AH9" s="308"/>
      <c r="AI9" s="308"/>
      <c r="AJ9" s="402"/>
      <c r="AK9" s="5" t="s">
        <v>615</v>
      </c>
    </row>
    <row r="10" spans="1:69" s="6" customFormat="1" ht="12" x14ac:dyDescent="0.2">
      <c r="A10" s="309" t="s">
        <v>489</v>
      </c>
      <c r="B10" s="292"/>
      <c r="C10" s="293"/>
      <c r="D10" s="57"/>
      <c r="E10" s="294"/>
      <c r="F10" s="57"/>
      <c r="G10" s="293"/>
      <c r="H10" s="303"/>
      <c r="I10" s="57"/>
      <c r="J10" s="304"/>
      <c r="K10" s="304"/>
      <c r="L10" s="307"/>
      <c r="M10" s="295"/>
      <c r="N10" s="295"/>
      <c r="O10" s="57"/>
      <c r="P10" s="302"/>
      <c r="Q10" s="296"/>
      <c r="R10" s="57"/>
      <c r="S10" s="57"/>
      <c r="T10" s="294"/>
      <c r="V10" s="56"/>
      <c r="W10" s="56"/>
      <c r="X10" s="56"/>
      <c r="Y10" s="297"/>
      <c r="Z10" s="306"/>
      <c r="AA10" s="57"/>
      <c r="AB10" s="298"/>
      <c r="AC10" s="306"/>
      <c r="AE10" s="286"/>
      <c r="AF10" s="287"/>
      <c r="AG10" s="287"/>
      <c r="AH10" s="287"/>
      <c r="AI10" s="287"/>
      <c r="AJ10" s="402"/>
      <c r="AK10" s="288"/>
    </row>
    <row r="11" spans="1:69" s="6" customFormat="1" x14ac:dyDescent="0.2">
      <c r="B11" s="293"/>
      <c r="C11" s="293"/>
      <c r="D11" s="57"/>
      <c r="E11" s="294"/>
      <c r="F11" s="57"/>
      <c r="G11" s="293"/>
      <c r="H11" s="303"/>
      <c r="I11" s="57"/>
      <c r="J11" s="304"/>
      <c r="K11" s="304"/>
      <c r="L11" s="307"/>
      <c r="M11" s="295"/>
      <c r="N11" s="295"/>
      <c r="O11" s="57"/>
      <c r="P11" s="310" t="s">
        <v>550</v>
      </c>
      <c r="Q11" s="311"/>
      <c r="R11" s="311"/>
      <c r="S11" s="311"/>
      <c r="T11" s="311"/>
      <c r="U11" s="312"/>
      <c r="V11" s="311"/>
      <c r="W11" s="311"/>
      <c r="X11" s="313"/>
      <c r="Y11" s="297"/>
      <c r="Z11" s="306"/>
      <c r="AA11" s="57"/>
      <c r="AB11" s="298"/>
      <c r="AC11" s="306"/>
      <c r="AE11" s="314" t="s">
        <v>552</v>
      </c>
      <c r="AF11" s="315"/>
      <c r="AG11" s="315"/>
      <c r="AH11" s="315"/>
      <c r="AI11" s="315"/>
      <c r="AJ11" s="403"/>
      <c r="AK11" s="288"/>
    </row>
    <row r="12" spans="1:69" s="6" customFormat="1" x14ac:dyDescent="0.2">
      <c r="B12" s="293"/>
      <c r="C12" s="293"/>
      <c r="D12" s="57"/>
      <c r="E12" s="294"/>
      <c r="F12" s="57"/>
      <c r="G12" s="293"/>
      <c r="H12" s="303"/>
      <c r="I12" s="57"/>
      <c r="J12" s="304"/>
      <c r="K12" s="304"/>
      <c r="L12" s="307"/>
      <c r="M12" s="295"/>
      <c r="N12" s="295"/>
      <c r="O12" s="57"/>
      <c r="P12" s="316" t="s">
        <v>551</v>
      </c>
      <c r="Q12" s="317"/>
      <c r="R12" s="317"/>
      <c r="S12" s="317"/>
      <c r="T12" s="317"/>
      <c r="U12" s="318"/>
      <c r="V12" s="317"/>
      <c r="W12" s="317"/>
      <c r="X12" s="319"/>
      <c r="Y12" s="320"/>
      <c r="Z12" s="321"/>
      <c r="AA12" s="322"/>
      <c r="AB12" s="321"/>
      <c r="AC12" s="306"/>
      <c r="AE12" s="323" t="s">
        <v>553</v>
      </c>
      <c r="AF12" s="324"/>
      <c r="AG12" s="324"/>
      <c r="AH12" s="324"/>
      <c r="AI12" s="324"/>
      <c r="AJ12" s="404"/>
      <c r="AK12" s="288"/>
    </row>
    <row r="13" spans="1:69" s="6" customFormat="1" x14ac:dyDescent="0.2">
      <c r="B13" s="293"/>
      <c r="C13" s="293"/>
      <c r="D13" s="57"/>
      <c r="E13" s="294"/>
      <c r="F13" s="57"/>
      <c r="G13" s="293"/>
      <c r="H13" s="303"/>
      <c r="I13" s="57"/>
      <c r="J13" s="304"/>
      <c r="K13" s="304"/>
      <c r="L13" s="307"/>
      <c r="M13" s="295"/>
      <c r="N13" s="295"/>
      <c r="O13" s="57"/>
      <c r="P13" s="302"/>
      <c r="Q13" s="296"/>
      <c r="R13" s="57"/>
      <c r="S13" s="57"/>
      <c r="T13" s="294"/>
      <c r="V13" s="56"/>
      <c r="W13" s="56"/>
      <c r="X13" s="56"/>
      <c r="Y13" s="297"/>
      <c r="Z13" s="306"/>
      <c r="AA13" s="57"/>
      <c r="AB13" s="298"/>
      <c r="AC13" s="306"/>
      <c r="AE13" s="325"/>
      <c r="AF13" s="326"/>
      <c r="AG13" s="326"/>
      <c r="AH13" s="326"/>
      <c r="AI13" s="326"/>
      <c r="AJ13" s="404"/>
      <c r="AK13" s="288"/>
    </row>
    <row r="14" spans="1:69" x14ac:dyDescent="0.2">
      <c r="E14" s="327">
        <v>2017</v>
      </c>
      <c r="H14" s="328"/>
      <c r="J14" s="329"/>
      <c r="K14" s="329"/>
      <c r="L14" s="330"/>
      <c r="P14" s="331"/>
      <c r="V14" s="332"/>
      <c r="W14" s="332"/>
      <c r="X14" s="332"/>
      <c r="Y14" s="333"/>
      <c r="Z14" s="333"/>
      <c r="AB14" s="334"/>
      <c r="AC14" s="334"/>
      <c r="AE14" s="335"/>
      <c r="AF14" s="336"/>
      <c r="AG14" s="336"/>
      <c r="AH14" s="336"/>
      <c r="AI14" s="336"/>
      <c r="AJ14" s="404"/>
      <c r="BH14" s="424"/>
    </row>
    <row r="15" spans="1:69" x14ac:dyDescent="0.2">
      <c r="E15" s="337" t="s">
        <v>491</v>
      </c>
      <c r="J15" s="338"/>
      <c r="K15" s="339"/>
      <c r="L15" s="340" t="s">
        <v>492</v>
      </c>
      <c r="M15" s="341"/>
      <c r="N15" s="342"/>
      <c r="P15" s="343" t="s">
        <v>493</v>
      </c>
      <c r="S15" s="344"/>
      <c r="T15" s="345"/>
      <c r="V15" s="338"/>
      <c r="W15" s="339"/>
      <c r="X15" s="339"/>
      <c r="Y15" s="346"/>
      <c r="Z15" s="347"/>
      <c r="AB15" s="348" t="s">
        <v>494</v>
      </c>
      <c r="AC15" s="349"/>
      <c r="AE15" s="335" t="s">
        <v>495</v>
      </c>
      <c r="AF15" s="350"/>
      <c r="AG15" s="350"/>
      <c r="AH15" s="350"/>
      <c r="AI15" s="384" t="s">
        <v>496</v>
      </c>
    </row>
    <row r="16" spans="1:69" x14ac:dyDescent="0.2">
      <c r="E16" s="351" t="s">
        <v>497</v>
      </c>
      <c r="F16" s="352" t="s">
        <v>498</v>
      </c>
      <c r="G16" s="352" t="s">
        <v>499</v>
      </c>
      <c r="H16" s="352" t="s">
        <v>500</v>
      </c>
      <c r="I16" s="352" t="s">
        <v>445</v>
      </c>
      <c r="J16" s="352" t="s">
        <v>445</v>
      </c>
      <c r="K16" s="352" t="s">
        <v>501</v>
      </c>
      <c r="L16" s="353" t="s">
        <v>502</v>
      </c>
      <c r="M16" s="354" t="s">
        <v>503</v>
      </c>
      <c r="N16" s="355"/>
      <c r="P16" s="351" t="s">
        <v>497</v>
      </c>
      <c r="Q16" s="356" t="s">
        <v>504</v>
      </c>
      <c r="R16" s="352" t="s">
        <v>500</v>
      </c>
      <c r="S16" s="352" t="s">
        <v>505</v>
      </c>
      <c r="T16" s="357" t="s">
        <v>445</v>
      </c>
      <c r="U16" s="357" t="s">
        <v>506</v>
      </c>
      <c r="V16" s="352" t="s">
        <v>507</v>
      </c>
      <c r="W16" s="352" t="s">
        <v>501</v>
      </c>
      <c r="X16" s="352" t="s">
        <v>508</v>
      </c>
      <c r="Y16" s="358" t="s">
        <v>509</v>
      </c>
      <c r="Z16" s="359"/>
      <c r="AB16" s="360" t="s">
        <v>510</v>
      </c>
      <c r="AC16" s="349"/>
      <c r="AE16" s="361" t="s">
        <v>511</v>
      </c>
      <c r="AF16" s="362" t="s">
        <v>512</v>
      </c>
      <c r="AG16" s="362" t="s">
        <v>513</v>
      </c>
      <c r="AH16" s="362" t="s">
        <v>514</v>
      </c>
      <c r="AI16" s="362" t="s">
        <v>515</v>
      </c>
      <c r="BQ16" s="424"/>
    </row>
    <row r="17" spans="1:80" x14ac:dyDescent="0.2">
      <c r="C17" s="278" t="s">
        <v>516</v>
      </c>
      <c r="D17" s="285" t="s">
        <v>517</v>
      </c>
      <c r="E17" s="351" t="s">
        <v>518</v>
      </c>
      <c r="F17" s="352" t="s">
        <v>519</v>
      </c>
      <c r="H17" s="352" t="s">
        <v>520</v>
      </c>
      <c r="I17" s="352" t="s">
        <v>521</v>
      </c>
      <c r="J17" s="352" t="s">
        <v>522</v>
      </c>
      <c r="K17" s="352" t="s">
        <v>523</v>
      </c>
      <c r="L17" s="353" t="s">
        <v>524</v>
      </c>
      <c r="M17" s="354" t="s">
        <v>525</v>
      </c>
      <c r="N17" s="355"/>
      <c r="O17" s="285"/>
      <c r="P17" s="351" t="s">
        <v>518</v>
      </c>
      <c r="Q17" s="356" t="s">
        <v>520</v>
      </c>
      <c r="R17" s="352" t="s">
        <v>520</v>
      </c>
      <c r="S17" s="352" t="s">
        <v>520</v>
      </c>
      <c r="T17" s="357" t="s">
        <v>521</v>
      </c>
      <c r="U17" s="357" t="s">
        <v>526</v>
      </c>
      <c r="V17" s="352" t="s">
        <v>527</v>
      </c>
      <c r="W17" s="352" t="s">
        <v>528</v>
      </c>
      <c r="X17" s="352" t="s">
        <v>529</v>
      </c>
      <c r="Y17" s="358" t="s">
        <v>530</v>
      </c>
      <c r="Z17" s="359"/>
      <c r="AB17" s="360" t="s">
        <v>531</v>
      </c>
      <c r="AC17" s="349"/>
      <c r="AE17" s="361" t="s">
        <v>532</v>
      </c>
      <c r="AF17" s="362" t="s">
        <v>532</v>
      </c>
      <c r="AG17" s="362" t="s">
        <v>532</v>
      </c>
      <c r="AH17" s="362" t="s">
        <v>532</v>
      </c>
      <c r="AI17" s="362" t="s">
        <v>533</v>
      </c>
    </row>
    <row r="18" spans="1:80" x14ac:dyDescent="0.2">
      <c r="C18" s="278" t="s">
        <v>534</v>
      </c>
      <c r="D18" s="279" t="s">
        <v>413</v>
      </c>
      <c r="E18" s="363" t="s">
        <v>535</v>
      </c>
      <c r="G18" s="279"/>
      <c r="H18" s="280"/>
      <c r="J18" s="285" t="s">
        <v>536</v>
      </c>
      <c r="K18" s="329"/>
      <c r="L18" s="340" t="s">
        <v>532</v>
      </c>
      <c r="M18" s="354"/>
      <c r="N18" s="355"/>
      <c r="P18" s="363" t="s">
        <v>535</v>
      </c>
      <c r="R18" s="280"/>
      <c r="S18" s="280"/>
      <c r="U18" s="280" t="s">
        <v>537</v>
      </c>
      <c r="V18" s="285" t="s">
        <v>414</v>
      </c>
      <c r="W18" s="329"/>
      <c r="X18" s="352" t="s">
        <v>538</v>
      </c>
      <c r="Y18" s="358"/>
      <c r="Z18" s="359"/>
      <c r="AB18" s="360" t="s">
        <v>539</v>
      </c>
      <c r="AC18" s="349"/>
      <c r="AE18" s="361" t="s">
        <v>540</v>
      </c>
      <c r="AF18" s="362" t="s">
        <v>540</v>
      </c>
      <c r="AG18" s="362" t="s">
        <v>540</v>
      </c>
      <c r="AH18" s="362" t="s">
        <v>540</v>
      </c>
      <c r="AI18" s="362" t="s">
        <v>541</v>
      </c>
      <c r="AV18" s="353"/>
      <c r="BG18" s="2" t="s">
        <v>955</v>
      </c>
      <c r="BN18" s="2" t="s">
        <v>954</v>
      </c>
    </row>
    <row r="19" spans="1:80" x14ac:dyDescent="0.2">
      <c r="A19" s="288" t="s">
        <v>542</v>
      </c>
      <c r="B19" s="278" t="s">
        <v>543</v>
      </c>
      <c r="C19" s="278" t="s">
        <v>542</v>
      </c>
      <c r="E19" s="364"/>
      <c r="K19" s="285"/>
      <c r="L19" s="340" t="s">
        <v>544</v>
      </c>
      <c r="M19" s="354" t="s">
        <v>410</v>
      </c>
      <c r="N19" s="355" t="s">
        <v>415</v>
      </c>
      <c r="P19" s="365"/>
      <c r="U19" s="280" t="s">
        <v>545</v>
      </c>
      <c r="W19" s="285"/>
      <c r="X19" s="285" t="s">
        <v>546</v>
      </c>
      <c r="Y19" s="358" t="s">
        <v>416</v>
      </c>
      <c r="Z19" s="359" t="s">
        <v>4</v>
      </c>
      <c r="AB19" s="366" t="s">
        <v>547</v>
      </c>
      <c r="AC19" s="349" t="s">
        <v>548</v>
      </c>
      <c r="AE19" s="335"/>
      <c r="AF19" s="350" t="s">
        <v>417</v>
      </c>
      <c r="AG19" s="362" t="s">
        <v>418</v>
      </c>
      <c r="AH19" s="362" t="s">
        <v>419</v>
      </c>
      <c r="AI19" s="362" t="s">
        <v>420</v>
      </c>
      <c r="AJ19" s="405" t="s">
        <v>554</v>
      </c>
      <c r="AK19" s="301" t="s">
        <v>554</v>
      </c>
      <c r="AL19" s="301" t="s">
        <v>555</v>
      </c>
      <c r="AM19" s="301" t="s">
        <v>556</v>
      </c>
      <c r="AN19" s="301" t="s">
        <v>556</v>
      </c>
      <c r="AO19" s="301" t="s">
        <v>471</v>
      </c>
      <c r="AP19" s="301" t="s">
        <v>468</v>
      </c>
      <c r="AQ19" s="301" t="s">
        <v>471</v>
      </c>
      <c r="AR19" s="301" t="s">
        <v>557</v>
      </c>
      <c r="AS19" s="301" t="s">
        <v>468</v>
      </c>
      <c r="AT19" s="301" t="s">
        <v>558</v>
      </c>
      <c r="AU19" s="301" t="s">
        <v>469</v>
      </c>
      <c r="AV19" s="301" t="s">
        <v>468</v>
      </c>
      <c r="AW19" s="301" t="s">
        <v>471</v>
      </c>
      <c r="AX19" s="301" t="s">
        <v>469</v>
      </c>
      <c r="BG19" s="421" t="s">
        <v>498</v>
      </c>
      <c r="BH19" s="421" t="s">
        <v>499</v>
      </c>
      <c r="BI19" s="421" t="s">
        <v>500</v>
      </c>
      <c r="BJ19" s="421" t="s">
        <v>445</v>
      </c>
      <c r="BK19" s="421" t="s">
        <v>501</v>
      </c>
      <c r="BL19" s="421" t="s">
        <v>953</v>
      </c>
      <c r="BN19" s="421" t="s">
        <v>498</v>
      </c>
      <c r="BO19" s="421" t="s">
        <v>499</v>
      </c>
      <c r="BP19" s="421" t="s">
        <v>500</v>
      </c>
      <c r="BQ19" s="421" t="s">
        <v>445</v>
      </c>
      <c r="BR19" s="421" t="s">
        <v>501</v>
      </c>
      <c r="BS19" s="421" t="s">
        <v>601</v>
      </c>
      <c r="BT19" s="421" t="s">
        <v>953</v>
      </c>
    </row>
    <row r="20" spans="1:80" x14ac:dyDescent="0.2">
      <c r="B20" s="292" t="s">
        <v>549</v>
      </c>
      <c r="D20" s="332">
        <v>5458325</v>
      </c>
      <c r="E20" s="367">
        <v>30728729000</v>
      </c>
      <c r="F20" s="368">
        <v>18598793844</v>
      </c>
      <c r="G20" s="368">
        <v>1549999999.9999995</v>
      </c>
      <c r="H20" s="368">
        <v>1775473221.8071005</v>
      </c>
      <c r="I20" s="368">
        <v>8568853461.9393473</v>
      </c>
      <c r="J20" s="368">
        <v>-66947695</v>
      </c>
      <c r="K20" s="368">
        <v>340731000</v>
      </c>
      <c r="L20" s="368">
        <v>-1128.1646513556043</v>
      </c>
      <c r="M20" s="369">
        <v>38175960.911097825</v>
      </c>
      <c r="N20" s="370">
        <v>6.9940798525367809</v>
      </c>
      <c r="O20" s="332"/>
      <c r="P20" s="371">
        <v>13311132025.640005</v>
      </c>
      <c r="Q20" s="372">
        <v>7453899548</v>
      </c>
      <c r="R20" s="372">
        <v>1775473221.8071005</v>
      </c>
      <c r="S20" s="372">
        <v>1003872775.2142395</v>
      </c>
      <c r="T20" s="372">
        <v>2796537363.2448316</v>
      </c>
      <c r="U20" s="372">
        <v>2.5611370801925659E-8</v>
      </c>
      <c r="V20" s="372">
        <v>-66947695</v>
      </c>
      <c r="W20" s="372">
        <v>340731000</v>
      </c>
      <c r="X20" s="373">
        <v>70000000.000000149</v>
      </c>
      <c r="Y20" s="369">
        <v>62434187.626173645</v>
      </c>
      <c r="Z20" s="355">
        <v>11.438341913714124</v>
      </c>
      <c r="AB20" s="366">
        <v>24258226.715075679</v>
      </c>
      <c r="AC20" s="349">
        <v>4.4442620611773167</v>
      </c>
      <c r="AE20" s="374">
        <v>-5.972106009721756E-8</v>
      </c>
      <c r="AF20" s="350">
        <v>-4.6285341943844029</v>
      </c>
      <c r="AG20" s="350">
        <v>-3.0481087689407311</v>
      </c>
      <c r="AH20" s="350">
        <v>-1.8632103861443541</v>
      </c>
      <c r="AI20" s="350">
        <v>-1.4512350620536922</v>
      </c>
      <c r="AJ20" s="405" t="s">
        <v>559</v>
      </c>
      <c r="AK20" s="386" t="s">
        <v>560</v>
      </c>
      <c r="AL20" s="286" t="s">
        <v>559</v>
      </c>
      <c r="AM20" s="286" t="s">
        <v>559</v>
      </c>
      <c r="AN20" s="386" t="s">
        <v>561</v>
      </c>
      <c r="AO20" s="301" t="s">
        <v>561</v>
      </c>
      <c r="AP20" s="301" t="s">
        <v>562</v>
      </c>
      <c r="AQ20" s="301" t="s">
        <v>563</v>
      </c>
      <c r="AR20" s="301" t="s">
        <v>563</v>
      </c>
      <c r="AS20" s="301" t="s">
        <v>564</v>
      </c>
      <c r="AT20" s="301" t="s">
        <v>499</v>
      </c>
      <c r="AU20" s="301" t="s">
        <v>499</v>
      </c>
      <c r="AV20" s="301" t="s">
        <v>565</v>
      </c>
      <c r="AW20" s="301" t="s">
        <v>566</v>
      </c>
      <c r="AX20" s="301" t="s">
        <v>567</v>
      </c>
      <c r="AY20" s="301" t="s">
        <v>568</v>
      </c>
      <c r="AZ20" s="301" t="s">
        <v>569</v>
      </c>
      <c r="BA20" s="301" t="s">
        <v>570</v>
      </c>
      <c r="BB20" s="301" t="s">
        <v>571</v>
      </c>
      <c r="BC20" s="301" t="s">
        <v>572</v>
      </c>
      <c r="BD20" s="301" t="s">
        <v>573</v>
      </c>
      <c r="BE20" s="301" t="s">
        <v>639</v>
      </c>
      <c r="BG20" s="352" t="s">
        <v>519</v>
      </c>
      <c r="BH20" s="422"/>
      <c r="BI20" s="421" t="s">
        <v>520</v>
      </c>
      <c r="BJ20" s="421"/>
      <c r="BK20" s="421" t="s">
        <v>523</v>
      </c>
      <c r="BN20" s="352" t="s">
        <v>519</v>
      </c>
      <c r="BO20" s="422"/>
      <c r="BP20" s="421" t="s">
        <v>520</v>
      </c>
      <c r="BQ20" s="421"/>
      <c r="BR20" s="421" t="s">
        <v>523</v>
      </c>
      <c r="BS20" s="421" t="s">
        <v>540</v>
      </c>
    </row>
    <row r="21" spans="1:80" x14ac:dyDescent="0.2">
      <c r="B21" s="137" t="s">
        <v>409</v>
      </c>
      <c r="C21" s="375">
        <v>2</v>
      </c>
      <c r="D21" s="376">
        <v>3</v>
      </c>
      <c r="E21" s="375">
        <v>4</v>
      </c>
      <c r="F21" s="375">
        <v>5</v>
      </c>
      <c r="G21" s="376">
        <v>6</v>
      </c>
      <c r="H21" s="375">
        <v>7</v>
      </c>
      <c r="I21" s="375">
        <v>8</v>
      </c>
      <c r="J21" s="376">
        <v>9</v>
      </c>
      <c r="K21" s="375">
        <v>10</v>
      </c>
      <c r="L21" s="375">
        <v>11</v>
      </c>
      <c r="M21" s="376">
        <v>12</v>
      </c>
      <c r="N21" s="375">
        <v>13</v>
      </c>
      <c r="O21" s="375">
        <v>14</v>
      </c>
      <c r="P21" s="376">
        <v>15</v>
      </c>
      <c r="Q21" s="375">
        <v>16</v>
      </c>
      <c r="R21" s="375">
        <v>17</v>
      </c>
      <c r="S21" s="376">
        <v>18</v>
      </c>
      <c r="T21" s="375">
        <v>19</v>
      </c>
      <c r="U21" s="375">
        <v>20</v>
      </c>
      <c r="V21" s="376">
        <v>21</v>
      </c>
      <c r="W21" s="375">
        <v>22</v>
      </c>
      <c r="X21" s="375">
        <v>23</v>
      </c>
      <c r="Y21" s="376">
        <v>24</v>
      </c>
      <c r="Z21" s="375">
        <v>25</v>
      </c>
      <c r="AA21" s="375">
        <v>26</v>
      </c>
      <c r="AB21" s="376">
        <v>27</v>
      </c>
      <c r="AC21" s="375">
        <v>28</v>
      </c>
      <c r="AD21" s="375">
        <v>29</v>
      </c>
      <c r="AE21" s="376">
        <v>30</v>
      </c>
      <c r="AF21" s="375">
        <v>31</v>
      </c>
      <c r="AG21" s="375">
        <v>32</v>
      </c>
      <c r="AH21" s="376">
        <v>33</v>
      </c>
      <c r="AI21" s="375">
        <v>34</v>
      </c>
      <c r="AJ21" s="406">
        <v>35</v>
      </c>
      <c r="AK21" s="385">
        <v>36</v>
      </c>
      <c r="AL21" s="385">
        <v>37</v>
      </c>
      <c r="AM21" s="385">
        <v>38</v>
      </c>
      <c r="AN21" s="385">
        <v>39</v>
      </c>
      <c r="AO21" s="385">
        <v>40</v>
      </c>
      <c r="AP21" s="385">
        <v>41</v>
      </c>
      <c r="AQ21" s="385">
        <v>42</v>
      </c>
      <c r="AR21" s="385">
        <v>43</v>
      </c>
      <c r="AS21" s="385">
        <v>44</v>
      </c>
      <c r="AT21" s="385">
        <v>45</v>
      </c>
      <c r="AU21" s="385">
        <v>46</v>
      </c>
      <c r="AV21" s="385">
        <v>47</v>
      </c>
      <c r="AW21" s="385">
        <v>48</v>
      </c>
      <c r="AX21" s="385">
        <v>49</v>
      </c>
      <c r="AY21" s="385">
        <v>50</v>
      </c>
      <c r="AZ21" s="385">
        <v>51</v>
      </c>
      <c r="BA21" s="385">
        <v>52</v>
      </c>
      <c r="BB21" s="385">
        <v>53</v>
      </c>
      <c r="BC21" s="385">
        <v>54</v>
      </c>
      <c r="BD21" s="385">
        <v>55</v>
      </c>
      <c r="BE21" s="385">
        <v>56</v>
      </c>
      <c r="BF21" s="385">
        <v>57</v>
      </c>
      <c r="BG21" s="385">
        <v>58</v>
      </c>
      <c r="BH21" s="385">
        <v>59</v>
      </c>
      <c r="BI21" s="385">
        <v>60</v>
      </c>
      <c r="BJ21" s="385">
        <v>61</v>
      </c>
      <c r="BK21" s="385">
        <v>63</v>
      </c>
      <c r="BL21" s="385">
        <v>64</v>
      </c>
      <c r="BM21" s="385">
        <v>65</v>
      </c>
      <c r="BN21" s="385">
        <v>66</v>
      </c>
      <c r="BO21" s="385">
        <v>67</v>
      </c>
      <c r="BP21" s="385">
        <v>68</v>
      </c>
      <c r="BQ21" s="385">
        <v>70</v>
      </c>
      <c r="BR21" s="385">
        <v>71</v>
      </c>
      <c r="BS21" s="385">
        <v>72</v>
      </c>
      <c r="BT21" s="385">
        <v>73</v>
      </c>
      <c r="BU21" s="385">
        <v>74</v>
      </c>
      <c r="BV21" s="385">
        <v>75</v>
      </c>
      <c r="BW21" s="385">
        <v>76</v>
      </c>
      <c r="BX21" s="385">
        <v>77</v>
      </c>
      <c r="BY21" s="385">
        <v>78</v>
      </c>
      <c r="BZ21" s="385">
        <v>79</v>
      </c>
      <c r="CA21" s="385">
        <v>80</v>
      </c>
      <c r="CB21" s="385">
        <v>81</v>
      </c>
    </row>
    <row r="22" spans="1:80" s="392" customFormat="1" x14ac:dyDescent="0.2">
      <c r="A22" s="388"/>
      <c r="B22" s="278" t="s">
        <v>490</v>
      </c>
      <c r="C22" s="389"/>
      <c r="D22" s="393">
        <v>5458325</v>
      </c>
      <c r="E22" s="394">
        <v>30728729000</v>
      </c>
      <c r="F22" s="394">
        <v>18598793844</v>
      </c>
      <c r="G22" s="393">
        <v>1549999999.9999995</v>
      </c>
      <c r="H22" s="394">
        <v>1775473221.8071005</v>
      </c>
      <c r="I22" s="394">
        <v>8568853461.9393473</v>
      </c>
      <c r="J22" s="393">
        <v>-66947695</v>
      </c>
      <c r="K22" s="394">
        <v>340731000</v>
      </c>
      <c r="L22" s="394">
        <v>-1128.1646513556043</v>
      </c>
      <c r="M22" s="395">
        <v>38175960.911097825</v>
      </c>
      <c r="N22" s="394">
        <v>6.9940798525367809</v>
      </c>
      <c r="O22" s="394"/>
      <c r="P22" s="395">
        <v>13311132025.640005</v>
      </c>
      <c r="Q22" s="394">
        <v>7453899548</v>
      </c>
      <c r="R22" s="394">
        <v>1775473221.8071005</v>
      </c>
      <c r="S22" s="393">
        <v>1003872775.2142395</v>
      </c>
      <c r="T22" s="394">
        <v>2796537363.2448316</v>
      </c>
      <c r="U22" s="394">
        <v>2.5611370801925659E-8</v>
      </c>
      <c r="V22" s="393">
        <v>-66947695</v>
      </c>
      <c r="W22" s="394">
        <v>340731000</v>
      </c>
      <c r="X22" s="394">
        <v>70000000.000000149</v>
      </c>
      <c r="Y22" s="395">
        <v>62434187.626173645</v>
      </c>
      <c r="Z22" s="394">
        <v>11.438341913714124</v>
      </c>
      <c r="AA22" s="394"/>
      <c r="AB22" s="395">
        <v>24258226.715075679</v>
      </c>
      <c r="AC22" s="394">
        <v>4.4442620611773167</v>
      </c>
      <c r="AD22" s="389"/>
      <c r="AE22" s="391">
        <v>-5.972106009721756E-8</v>
      </c>
      <c r="AF22" s="389">
        <v>-4.6285341943844029</v>
      </c>
      <c r="AG22" s="389">
        <v>-3.0481087689407311</v>
      </c>
      <c r="AH22" s="396">
        <v>-1.8632103861443541</v>
      </c>
      <c r="AI22" s="397">
        <v>-1.4512350620536922</v>
      </c>
      <c r="AJ22" s="407">
        <v>-2109915</v>
      </c>
      <c r="AK22" s="353">
        <v>-28618814</v>
      </c>
      <c r="AL22" s="353">
        <v>-77715</v>
      </c>
      <c r="AM22" s="353">
        <v>-2032200</v>
      </c>
      <c r="AN22" s="353">
        <v>-11278940</v>
      </c>
      <c r="AO22" s="353">
        <v>-17339874</v>
      </c>
      <c r="AP22" s="353">
        <v>18598785</v>
      </c>
      <c r="AQ22" s="353">
        <v>11144881</v>
      </c>
      <c r="AR22" s="353">
        <v>7453904</v>
      </c>
      <c r="AS22" s="353">
        <v>1549997</v>
      </c>
      <c r="AT22" s="353">
        <v>546132</v>
      </c>
      <c r="AU22" s="353">
        <v>1003865</v>
      </c>
      <c r="AV22" s="353">
        <f t="shared" ref="AV22:AV85" si="0">(I22+J22+L22)*0.001</f>
        <v>8501904.6387746967</v>
      </c>
      <c r="AW22" s="353">
        <f t="shared" ref="AW22:AW85" si="1">AV22-AX22</f>
        <v>5772314.9708558414</v>
      </c>
      <c r="AX22" s="353">
        <f t="shared" ref="AX22:AX85" si="2">(T22+U22+V22+AE22*D22)*0.001</f>
        <v>2729589.6679188549</v>
      </c>
      <c r="AY22" s="390">
        <v>0.30000000000000004</v>
      </c>
      <c r="AZ22" s="390">
        <v>-0.30000000000000004</v>
      </c>
      <c r="BA22" s="401">
        <f t="shared" ref="BA22:BA85" si="3">R22*0.001</f>
        <v>1775473.2218071006</v>
      </c>
      <c r="BB22" s="390">
        <v>-3860429</v>
      </c>
      <c r="BC22" s="390">
        <v>182711</v>
      </c>
      <c r="BD22" s="390">
        <v>674408</v>
      </c>
      <c r="BE22" s="390">
        <v>-1381311</v>
      </c>
      <c r="BF22" s="390"/>
      <c r="BG22" s="426">
        <f>F22/BL22</f>
        <v>0.60450651599868033</v>
      </c>
      <c r="BH22" s="426">
        <f>G22/BL22</f>
        <v>5.0378809919452226E-2</v>
      </c>
      <c r="BI22" s="426">
        <f>H22/BL22</f>
        <v>5.7707243844191861E-2</v>
      </c>
      <c r="BJ22" s="426">
        <f>(I22+J22)/BL22</f>
        <v>0.2763328352166014</v>
      </c>
      <c r="BK22" s="426">
        <f>K22/BL22</f>
        <v>1.1074595021074118E-2</v>
      </c>
      <c r="BL22" s="425">
        <f>F22+G22+H22+I22+J22+K22</f>
        <v>30766903832.746449</v>
      </c>
      <c r="BN22" s="423">
        <f>Q22/BT22</f>
        <v>0.56029334004815157</v>
      </c>
      <c r="BO22" s="423">
        <f>S22/BT22</f>
        <v>7.545892275394446E-2</v>
      </c>
      <c r="BP22" s="423">
        <f>R22/BT22</f>
        <v>0.13345844214915265</v>
      </c>
      <c r="BQ22" s="423">
        <f>(T22+U22+V22)/BT22</f>
        <v>0.20517729040126081</v>
      </c>
      <c r="BR22" s="423">
        <f>W22/BT22</f>
        <v>2.5612004671993569E-2</v>
      </c>
      <c r="BS22" s="423">
        <f>(AE22*D22)/BT22</f>
        <v>-2.4502975377990887E-11</v>
      </c>
      <c r="BT22" s="425">
        <f>Q22+R22+S22+T22+U22+V22+W22+(AE22*D22)</f>
        <v>13303566212.940193</v>
      </c>
    </row>
    <row r="23" spans="1:80" x14ac:dyDescent="0.2">
      <c r="A23" s="309">
        <v>20</v>
      </c>
      <c r="B23" s="278" t="s">
        <v>12</v>
      </c>
      <c r="C23" s="278">
        <v>6</v>
      </c>
      <c r="D23" s="279">
        <v>17043</v>
      </c>
      <c r="E23" s="364">
        <v>87061000</v>
      </c>
      <c r="F23" s="279">
        <v>54261047</v>
      </c>
      <c r="G23" s="278">
        <v>1569799.5450000002</v>
      </c>
      <c r="H23" s="279">
        <v>3497879.1455000006</v>
      </c>
      <c r="I23" s="279">
        <v>32735893.963830583</v>
      </c>
      <c r="J23" s="279">
        <v>-2162997</v>
      </c>
      <c r="K23" s="279">
        <v>-208000</v>
      </c>
      <c r="L23" s="280">
        <v>-34256.429999999993</v>
      </c>
      <c r="M23" s="369">
        <v>2666879.0843305816</v>
      </c>
      <c r="N23" s="370">
        <v>156.47943931998952</v>
      </c>
      <c r="P23" s="365">
        <v>33694580.464703739</v>
      </c>
      <c r="Q23" s="283">
        <v>24315955</v>
      </c>
      <c r="R23" s="279">
        <v>3497879.1455000006</v>
      </c>
      <c r="S23" s="279">
        <v>1016696.1456575479</v>
      </c>
      <c r="T23" s="280">
        <v>12818923.783177089</v>
      </c>
      <c r="U23" s="280">
        <v>-1539488.1253095188</v>
      </c>
      <c r="V23" s="279">
        <v>-2162997</v>
      </c>
      <c r="W23" s="279">
        <v>-208000</v>
      </c>
      <c r="X23" s="279">
        <v>208919.15565869346</v>
      </c>
      <c r="Y23" s="354">
        <v>4253307.6399800703</v>
      </c>
      <c r="Z23" s="355">
        <v>249.56331866338499</v>
      </c>
      <c r="AB23" s="366">
        <v>1586428.5556494887</v>
      </c>
      <c r="AC23" s="349">
        <v>93.083879343395452</v>
      </c>
      <c r="AE23" s="374">
        <v>-88.639617282218126</v>
      </c>
      <c r="AF23" s="350">
        <v>-68.083879343395466</v>
      </c>
      <c r="AG23" s="350">
        <v>-43.083879343395466</v>
      </c>
      <c r="AH23" s="350">
        <v>-18.083879343395466</v>
      </c>
      <c r="AI23" s="350">
        <v>0</v>
      </c>
      <c r="AJ23" s="408">
        <v>-4730</v>
      </c>
      <c r="AK23" s="387">
        <v>-82331</v>
      </c>
      <c r="AL23" s="287">
        <v>-110</v>
      </c>
      <c r="AM23" s="287">
        <v>-4620</v>
      </c>
      <c r="AN23" s="287">
        <v>-29075</v>
      </c>
      <c r="AO23" s="287">
        <v>-53256</v>
      </c>
      <c r="AP23" s="287">
        <v>54261</v>
      </c>
      <c r="AQ23" s="287">
        <v>29945</v>
      </c>
      <c r="AR23" s="287">
        <v>24316</v>
      </c>
      <c r="AS23" s="287">
        <v>1570</v>
      </c>
      <c r="AT23" s="287">
        <v>553</v>
      </c>
      <c r="AU23" s="287">
        <v>1017</v>
      </c>
      <c r="AV23" s="353">
        <f t="shared" si="0"/>
        <v>30538.640533830585</v>
      </c>
      <c r="AW23" s="353">
        <f t="shared" si="1"/>
        <v>22932.886873303858</v>
      </c>
      <c r="AX23" s="353">
        <f t="shared" si="2"/>
        <v>7605.7536605267269</v>
      </c>
      <c r="AY23" s="390">
        <v>1510685</v>
      </c>
      <c r="AZ23" s="390">
        <v>-1510685</v>
      </c>
      <c r="BA23" s="401">
        <f t="shared" si="3"/>
        <v>3497.8791455000005</v>
      </c>
      <c r="BB23" s="401">
        <v>-2422</v>
      </c>
      <c r="BC23" s="401">
        <v>0</v>
      </c>
      <c r="BD23" s="401">
        <v>650</v>
      </c>
      <c r="BE23" s="401">
        <v>3182</v>
      </c>
      <c r="BG23" s="426">
        <f t="shared" ref="BG23:BG86" si="4">F23/BL23</f>
        <v>0.6049599223917641</v>
      </c>
      <c r="BH23" s="426">
        <f t="shared" ref="BH23:BH86" si="5">G23/BL23</f>
        <v>1.7501796655597646E-2</v>
      </c>
      <c r="BI23" s="426">
        <f t="shared" ref="BI23:BI86" si="6">H23/BL23</f>
        <v>3.8998080822094168E-2</v>
      </c>
      <c r="BJ23" s="426">
        <f t="shared" ref="BJ23:BJ86" si="7">(I23+J23)/BL23</f>
        <v>0.34085920558315708</v>
      </c>
      <c r="BK23" s="426">
        <f t="shared" ref="BK23:BK86" si="8">K23/BL23</f>
        <v>-2.3190054526129383E-3</v>
      </c>
      <c r="BL23" s="425">
        <f t="shared" ref="BL23:BL86" si="9">F23+G23+H23+I23+J23+K23</f>
        <v>89693622.654330581</v>
      </c>
      <c r="BN23" s="423">
        <f t="shared" ref="BN23:BN86" si="10">Q23/BT23</f>
        <v>0.67118704911413662</v>
      </c>
      <c r="BO23" s="423">
        <f t="shared" ref="BO23:BO86" si="11">S23/BT23</f>
        <v>2.8063602101978145E-2</v>
      </c>
      <c r="BP23" s="423">
        <f t="shared" ref="BP23:BP86" si="12">R23/BT23</f>
        <v>9.6551058012157992E-2</v>
      </c>
      <c r="BQ23" s="423">
        <f t="shared" ref="BQ23:BQ86" si="13">(T23+U23+V23)/BT23</f>
        <v>0.25163871051760761</v>
      </c>
      <c r="BR23" s="423">
        <f t="shared" ref="BR23:BR86" si="14">W23/BT23</f>
        <v>-5.7413704794132252E-3</v>
      </c>
      <c r="BS23" s="423">
        <f t="shared" ref="BS23:BS86" si="15">(AE23*D23)/BT23</f>
        <v>-4.1699049266467142E-2</v>
      </c>
      <c r="BT23" s="425">
        <f t="shared" ref="BT23:BT86" si="16">Q23+R23+S23+T23+U23+V23+W23+(AE23*D23)</f>
        <v>36228283.951684274</v>
      </c>
    </row>
    <row r="24" spans="1:80" x14ac:dyDescent="0.2">
      <c r="A24" s="309">
        <v>5</v>
      </c>
      <c r="B24" s="278" t="s">
        <v>6</v>
      </c>
      <c r="C24" s="278">
        <v>14</v>
      </c>
      <c r="D24" s="279">
        <v>10006</v>
      </c>
      <c r="E24" s="364">
        <v>63125000</v>
      </c>
      <c r="F24" s="279">
        <v>24969880</v>
      </c>
      <c r="G24" s="278">
        <v>2026693.82</v>
      </c>
      <c r="H24" s="279">
        <v>2188943.0924</v>
      </c>
      <c r="I24" s="279">
        <v>34741069.931790575</v>
      </c>
      <c r="J24" s="279">
        <v>955915</v>
      </c>
      <c r="K24" s="279">
        <v>-189000</v>
      </c>
      <c r="L24" s="280">
        <v>-20112.059999999998</v>
      </c>
      <c r="M24" s="369">
        <v>1588613.9041905752</v>
      </c>
      <c r="N24" s="370">
        <v>158.76613074061316</v>
      </c>
      <c r="P24" s="365">
        <v>26319218.183910146</v>
      </c>
      <c r="Q24" s="283">
        <v>11815533</v>
      </c>
      <c r="R24" s="279">
        <v>2188943.0924</v>
      </c>
      <c r="S24" s="279">
        <v>1312608.2255438366</v>
      </c>
      <c r="T24" s="280">
        <v>10531340.56977376</v>
      </c>
      <c r="U24" s="280">
        <v>1141991.0800497895</v>
      </c>
      <c r="V24" s="279">
        <v>955915</v>
      </c>
      <c r="W24" s="279">
        <v>-189000</v>
      </c>
      <c r="X24" s="279">
        <v>117560.57219173001</v>
      </c>
      <c r="Y24" s="354">
        <v>1555673.3560489714</v>
      </c>
      <c r="Z24" s="355">
        <v>155.47405117419262</v>
      </c>
      <c r="AB24" s="366">
        <v>-32940.548141603824</v>
      </c>
      <c r="AC24" s="349">
        <v>-3.2920795664205302</v>
      </c>
      <c r="AE24" s="374">
        <v>7.7363416275978807</v>
      </c>
      <c r="AF24" s="350">
        <v>0</v>
      </c>
      <c r="AG24" s="350">
        <v>0</v>
      </c>
      <c r="AH24" s="350">
        <v>0</v>
      </c>
      <c r="AI24" s="350">
        <v>0</v>
      </c>
      <c r="AJ24" s="408">
        <v>-3076</v>
      </c>
      <c r="AK24" s="387">
        <v>-60049</v>
      </c>
      <c r="AL24" s="287">
        <v>0</v>
      </c>
      <c r="AM24" s="287">
        <v>-3076</v>
      </c>
      <c r="AN24" s="287">
        <v>-23243</v>
      </c>
      <c r="AO24" s="287">
        <v>-36806</v>
      </c>
      <c r="AP24" s="287">
        <v>24970</v>
      </c>
      <c r="AQ24" s="287">
        <v>13154</v>
      </c>
      <c r="AR24" s="287">
        <v>11816</v>
      </c>
      <c r="AS24" s="287">
        <v>2027</v>
      </c>
      <c r="AT24" s="287">
        <v>714</v>
      </c>
      <c r="AU24" s="287">
        <v>1313</v>
      </c>
      <c r="AV24" s="353">
        <f t="shared" si="0"/>
        <v>35676.872871790576</v>
      </c>
      <c r="AW24" s="353">
        <f t="shared" si="1"/>
        <v>22970.216387641281</v>
      </c>
      <c r="AX24" s="353">
        <f t="shared" si="2"/>
        <v>12706.656484149295</v>
      </c>
      <c r="AY24" s="390">
        <v>77410</v>
      </c>
      <c r="AZ24" s="390">
        <v>77410</v>
      </c>
      <c r="BA24" s="401">
        <f t="shared" si="3"/>
        <v>2188.9430923999998</v>
      </c>
      <c r="BB24" s="401">
        <v>-9755</v>
      </c>
      <c r="BC24" s="401">
        <v>1284</v>
      </c>
      <c r="BD24" s="401">
        <v>0</v>
      </c>
      <c r="BE24" s="401">
        <v>-4694</v>
      </c>
      <c r="BG24" s="426">
        <f t="shared" si="4"/>
        <v>0.38597199545849403</v>
      </c>
      <c r="BH24" s="426">
        <f t="shared" si="5"/>
        <v>3.1327625839162938E-2</v>
      </c>
      <c r="BI24" s="426">
        <f t="shared" si="6"/>
        <v>3.3835594456950321E-2</v>
      </c>
      <c r="BJ24" s="426">
        <f t="shared" si="7"/>
        <v>0.55178625231579015</v>
      </c>
      <c r="BK24" s="426">
        <f t="shared" si="8"/>
        <v>-2.9214680703974296E-3</v>
      </c>
      <c r="BL24" s="425">
        <f t="shared" si="9"/>
        <v>64693501.844190575</v>
      </c>
      <c r="BN24" s="423">
        <f t="shared" si="10"/>
        <v>0.4244887022303972</v>
      </c>
      <c r="BO24" s="423">
        <f t="shared" si="11"/>
        <v>4.7157192333011785E-2</v>
      </c>
      <c r="BP24" s="423">
        <f t="shared" si="12"/>
        <v>7.8640685320676473E-2</v>
      </c>
      <c r="BQ24" s="423">
        <f t="shared" si="13"/>
        <v>0.4537224448978468</v>
      </c>
      <c r="BR24" s="423">
        <f t="shared" si="14"/>
        <v>-6.7900758028897282E-3</v>
      </c>
      <c r="BS24" s="423">
        <f t="shared" si="15"/>
        <v>2.7810510209573527E-3</v>
      </c>
      <c r="BT24" s="425">
        <f t="shared" si="16"/>
        <v>27834740.802093133</v>
      </c>
    </row>
    <row r="25" spans="1:80" x14ac:dyDescent="0.2">
      <c r="A25" s="309">
        <v>9</v>
      </c>
      <c r="B25" s="278" t="s">
        <v>7</v>
      </c>
      <c r="C25" s="278">
        <v>17</v>
      </c>
      <c r="D25" s="279">
        <v>2687</v>
      </c>
      <c r="E25" s="364">
        <v>16412000</v>
      </c>
      <c r="F25" s="279">
        <v>6833761</v>
      </c>
      <c r="G25" s="278">
        <v>228711.8</v>
      </c>
      <c r="H25" s="279">
        <v>529548.38540000003</v>
      </c>
      <c r="I25" s="279">
        <v>9490687.1211721301</v>
      </c>
      <c r="J25" s="279">
        <v>-572285</v>
      </c>
      <c r="K25" s="279">
        <v>-52000</v>
      </c>
      <c r="L25" s="280">
        <v>-5400.869999999999</v>
      </c>
      <c r="M25" s="369">
        <v>51824.176572131808</v>
      </c>
      <c r="N25" s="370">
        <v>19.287002818061708</v>
      </c>
      <c r="P25" s="365">
        <v>5615530.7542412449</v>
      </c>
      <c r="Q25" s="283">
        <v>3155166</v>
      </c>
      <c r="R25" s="279">
        <v>529548.38540000003</v>
      </c>
      <c r="S25" s="279">
        <v>148127.45121951221</v>
      </c>
      <c r="T25" s="280">
        <v>3354992.4959017253</v>
      </c>
      <c r="U25" s="280">
        <v>-394156.99618376413</v>
      </c>
      <c r="V25" s="279">
        <v>-572285</v>
      </c>
      <c r="W25" s="279">
        <v>-52000</v>
      </c>
      <c r="X25" s="279">
        <v>31242.644425979746</v>
      </c>
      <c r="Y25" s="354">
        <v>585104.22652220819</v>
      </c>
      <c r="Z25" s="355">
        <v>217.75371288507935</v>
      </c>
      <c r="AB25" s="366">
        <v>533280.04995007638</v>
      </c>
      <c r="AC25" s="349">
        <v>198.46671006701763</v>
      </c>
      <c r="AE25" s="374">
        <v>-194.02244800584032</v>
      </c>
      <c r="AF25" s="350">
        <v>-173.46671006701763</v>
      </c>
      <c r="AG25" s="350">
        <v>-148.46671006701763</v>
      </c>
      <c r="AH25" s="350">
        <v>-123.46671006701763</v>
      </c>
      <c r="AI25" s="350">
        <v>-98.46671006701763</v>
      </c>
      <c r="AJ25" s="408">
        <v>-796</v>
      </c>
      <c r="AK25" s="387">
        <v>-15616</v>
      </c>
      <c r="AL25" s="287">
        <v>0</v>
      </c>
      <c r="AM25" s="287">
        <v>-796</v>
      </c>
      <c r="AN25" s="287">
        <v>-4820</v>
      </c>
      <c r="AO25" s="287">
        <v>-10796</v>
      </c>
      <c r="AP25" s="287">
        <v>6834</v>
      </c>
      <c r="AQ25" s="287">
        <v>3679</v>
      </c>
      <c r="AR25" s="287">
        <v>3155</v>
      </c>
      <c r="AS25" s="287">
        <v>229</v>
      </c>
      <c r="AT25" s="287">
        <v>81</v>
      </c>
      <c r="AU25" s="287">
        <v>148</v>
      </c>
      <c r="AV25" s="353">
        <f t="shared" si="0"/>
        <v>8913.0012511721307</v>
      </c>
      <c r="AW25" s="353">
        <f t="shared" si="1"/>
        <v>7045.7890692458623</v>
      </c>
      <c r="AX25" s="353">
        <f t="shared" si="2"/>
        <v>1867.2121819262682</v>
      </c>
      <c r="AY25" s="390">
        <v>521338</v>
      </c>
      <c r="AZ25" s="390">
        <v>-521338</v>
      </c>
      <c r="BA25" s="401">
        <f t="shared" si="3"/>
        <v>529.54838540000003</v>
      </c>
      <c r="BB25" s="401">
        <v>-1162</v>
      </c>
      <c r="BC25" s="401">
        <v>401</v>
      </c>
      <c r="BD25" s="401">
        <v>20</v>
      </c>
      <c r="BE25" s="401">
        <v>70</v>
      </c>
      <c r="BG25" s="426">
        <f t="shared" si="4"/>
        <v>0.41521358836791866</v>
      </c>
      <c r="BH25" s="426">
        <f t="shared" si="5"/>
        <v>1.3896337197055287E-2</v>
      </c>
      <c r="BI25" s="426">
        <f t="shared" si="6"/>
        <v>3.2174915879611764E-2</v>
      </c>
      <c r="BJ25" s="426">
        <f t="shared" si="7"/>
        <v>0.54187463495430077</v>
      </c>
      <c r="BK25" s="426">
        <f t="shared" si="8"/>
        <v>-3.1594763988866117E-3</v>
      </c>
      <c r="BL25" s="425">
        <f t="shared" si="9"/>
        <v>16458423.306572132</v>
      </c>
      <c r="BN25" s="423">
        <f t="shared" si="10"/>
        <v>0.55862886396620703</v>
      </c>
      <c r="BO25" s="423">
        <f t="shared" si="11"/>
        <v>2.6226280898363465E-2</v>
      </c>
      <c r="BP25" s="423">
        <f t="shared" si="12"/>
        <v>9.3757670103931531E-2</v>
      </c>
      <c r="BQ25" s="423">
        <f t="shared" si="13"/>
        <v>0.42289795598182817</v>
      </c>
      <c r="BR25" s="423">
        <f t="shared" si="14"/>
        <v>-9.206710812122966E-3</v>
      </c>
      <c r="BS25" s="423">
        <f t="shared" si="15"/>
        <v>-9.2304060138207258E-2</v>
      </c>
      <c r="BT25" s="425">
        <f t="shared" si="16"/>
        <v>5648054.0185457803</v>
      </c>
    </row>
    <row r="26" spans="1:80" x14ac:dyDescent="0.2">
      <c r="A26" s="309">
        <v>10</v>
      </c>
      <c r="B26" s="278" t="s">
        <v>8</v>
      </c>
      <c r="C26" s="278">
        <v>14</v>
      </c>
      <c r="D26" s="279">
        <v>12044</v>
      </c>
      <c r="E26" s="364">
        <v>72509000</v>
      </c>
      <c r="F26" s="279">
        <v>29458309</v>
      </c>
      <c r="G26" s="278">
        <v>2252091.2549999999</v>
      </c>
      <c r="H26" s="279">
        <v>2778174.5377000002</v>
      </c>
      <c r="I26" s="279">
        <v>39416351.399451792</v>
      </c>
      <c r="J26" s="279">
        <v>-748523</v>
      </c>
      <c r="K26" s="279">
        <v>726000</v>
      </c>
      <c r="L26" s="280">
        <v>-24208.44</v>
      </c>
      <c r="M26" s="369">
        <v>1397611.6321517848</v>
      </c>
      <c r="N26" s="370">
        <v>116.04214813614952</v>
      </c>
      <c r="P26" s="365">
        <v>26092415.805932201</v>
      </c>
      <c r="Q26" s="283">
        <v>13648617</v>
      </c>
      <c r="R26" s="279">
        <v>2778174.5377000002</v>
      </c>
      <c r="S26" s="279">
        <v>1458589.0956081082</v>
      </c>
      <c r="T26" s="280">
        <v>11124704.562326638</v>
      </c>
      <c r="U26" s="280">
        <v>-448120.83728091425</v>
      </c>
      <c r="V26" s="279">
        <v>-748523</v>
      </c>
      <c r="W26" s="279">
        <v>726000</v>
      </c>
      <c r="X26" s="279">
        <v>140807.82679402074</v>
      </c>
      <c r="Y26" s="354">
        <v>2587833.3792156503</v>
      </c>
      <c r="Z26" s="355">
        <v>214.86494347522836</v>
      </c>
      <c r="AB26" s="366">
        <v>1190221.7470638654</v>
      </c>
      <c r="AC26" s="349">
        <v>98.822795339078823</v>
      </c>
      <c r="AE26" s="374">
        <v>-94.378533277901511</v>
      </c>
      <c r="AF26" s="350">
        <v>-73.822795339078837</v>
      </c>
      <c r="AG26" s="350">
        <v>-48.822795339078837</v>
      </c>
      <c r="AH26" s="350">
        <v>-23.822795339078837</v>
      </c>
      <c r="AI26" s="350">
        <v>0</v>
      </c>
      <c r="AJ26" s="408">
        <v>-3188</v>
      </c>
      <c r="AK26" s="387">
        <v>-69321</v>
      </c>
      <c r="AL26" s="287">
        <v>0</v>
      </c>
      <c r="AM26" s="287">
        <v>-3188</v>
      </c>
      <c r="AN26" s="287">
        <v>-22904</v>
      </c>
      <c r="AO26" s="287">
        <v>-46417</v>
      </c>
      <c r="AP26" s="287">
        <v>29458</v>
      </c>
      <c r="AQ26" s="287">
        <v>15809</v>
      </c>
      <c r="AR26" s="287">
        <v>13649</v>
      </c>
      <c r="AS26" s="287">
        <v>2252</v>
      </c>
      <c r="AT26" s="287">
        <v>793</v>
      </c>
      <c r="AU26" s="287">
        <v>1459</v>
      </c>
      <c r="AV26" s="353">
        <f t="shared" si="0"/>
        <v>38643.619959451797</v>
      </c>
      <c r="AW26" s="353">
        <f t="shared" si="1"/>
        <v>29852.254289205121</v>
      </c>
      <c r="AX26" s="353">
        <f t="shared" si="2"/>
        <v>8791.3656702466778</v>
      </c>
      <c r="AY26" s="390">
        <v>1136695</v>
      </c>
      <c r="AZ26" s="390">
        <v>-1136695</v>
      </c>
      <c r="BA26" s="401">
        <f t="shared" si="3"/>
        <v>2778.1745377000002</v>
      </c>
      <c r="BB26" s="401">
        <v>-5781</v>
      </c>
      <c r="BC26" s="401">
        <v>45</v>
      </c>
      <c r="BD26" s="401">
        <v>1200</v>
      </c>
      <c r="BE26" s="401">
        <v>-1074</v>
      </c>
      <c r="BG26" s="426">
        <f t="shared" si="4"/>
        <v>0.39871887928963889</v>
      </c>
      <c r="BH26" s="426">
        <f t="shared" si="5"/>
        <v>3.0482106126716112E-2</v>
      </c>
      <c r="BI26" s="426">
        <f t="shared" si="6"/>
        <v>3.7602655269274102E-2</v>
      </c>
      <c r="BJ26" s="426">
        <f t="shared" si="7"/>
        <v>0.52336993287678157</v>
      </c>
      <c r="BK26" s="426">
        <f t="shared" si="8"/>
        <v>9.8264264375894032E-3</v>
      </c>
      <c r="BL26" s="425">
        <f t="shared" si="9"/>
        <v>73882403.192151785</v>
      </c>
      <c r="BN26" s="423">
        <f t="shared" si="10"/>
        <v>0.49807478596513705</v>
      </c>
      <c r="BO26" s="423">
        <f t="shared" si="11"/>
        <v>5.3227843642040168E-2</v>
      </c>
      <c r="BP26" s="423">
        <f t="shared" si="12"/>
        <v>0.10138306967209361</v>
      </c>
      <c r="BQ26" s="423">
        <f t="shared" si="13"/>
        <v>0.3623016691490451</v>
      </c>
      <c r="BR26" s="423">
        <f t="shared" si="14"/>
        <v>2.6493694900420278E-2</v>
      </c>
      <c r="BS26" s="423">
        <f t="shared" si="15"/>
        <v>-4.1481063328736127E-2</v>
      </c>
      <c r="BT26" s="425">
        <f t="shared" si="16"/>
        <v>27402746.303554785</v>
      </c>
    </row>
    <row r="27" spans="1:80" x14ac:dyDescent="0.2">
      <c r="A27" s="309">
        <v>16</v>
      </c>
      <c r="B27" s="278" t="s">
        <v>9</v>
      </c>
      <c r="C27" s="278">
        <v>7</v>
      </c>
      <c r="D27" s="279">
        <v>8287</v>
      </c>
      <c r="E27" s="364">
        <v>46904000</v>
      </c>
      <c r="F27" s="279">
        <v>25976325</v>
      </c>
      <c r="G27" s="278">
        <v>1317022.135</v>
      </c>
      <c r="H27" s="279">
        <v>2787727.5677</v>
      </c>
      <c r="I27" s="279">
        <v>17869034.686845202</v>
      </c>
      <c r="J27" s="279">
        <v>5474</v>
      </c>
      <c r="K27" s="279">
        <v>-169000</v>
      </c>
      <c r="L27" s="280">
        <v>-16656.87</v>
      </c>
      <c r="M27" s="369">
        <v>899240.25954520225</v>
      </c>
      <c r="N27" s="370">
        <v>108.5121587480635</v>
      </c>
      <c r="P27" s="365">
        <v>17476137.335531738</v>
      </c>
      <c r="Q27" s="283">
        <v>11261548</v>
      </c>
      <c r="R27" s="279">
        <v>2787727.5677</v>
      </c>
      <c r="S27" s="279">
        <v>852982.36495550431</v>
      </c>
      <c r="T27" s="280">
        <v>3869699.4170718477</v>
      </c>
      <c r="U27" s="280">
        <v>-457658.51672783494</v>
      </c>
      <c r="V27" s="279">
        <v>5474</v>
      </c>
      <c r="W27" s="279">
        <v>-169000</v>
      </c>
      <c r="X27" s="279">
        <v>102642.76491084309</v>
      </c>
      <c r="Y27" s="354">
        <v>777278.26237862185</v>
      </c>
      <c r="Z27" s="355">
        <v>93.794891079838521</v>
      </c>
      <c r="AB27" s="366">
        <v>-121961.9971665804</v>
      </c>
      <c r="AC27" s="349">
        <v>-14.717267668224979</v>
      </c>
      <c r="AE27" s="374">
        <v>19.161529729402304</v>
      </c>
      <c r="AF27" s="350">
        <v>0</v>
      </c>
      <c r="AG27" s="350">
        <v>0</v>
      </c>
      <c r="AH27" s="350">
        <v>0</v>
      </c>
      <c r="AI27" s="350">
        <v>0</v>
      </c>
      <c r="AJ27" s="408">
        <v>-2278</v>
      </c>
      <c r="AK27" s="387">
        <v>-44626</v>
      </c>
      <c r="AL27" s="287">
        <v>0</v>
      </c>
      <c r="AM27" s="287">
        <v>-2278</v>
      </c>
      <c r="AN27" s="287">
        <v>-15198</v>
      </c>
      <c r="AO27" s="287">
        <v>-29428</v>
      </c>
      <c r="AP27" s="287">
        <v>25976</v>
      </c>
      <c r="AQ27" s="287">
        <v>14714</v>
      </c>
      <c r="AR27" s="287">
        <v>11262</v>
      </c>
      <c r="AS27" s="287">
        <v>1317</v>
      </c>
      <c r="AT27" s="287">
        <v>464</v>
      </c>
      <c r="AU27" s="287">
        <v>853</v>
      </c>
      <c r="AV27" s="353">
        <f t="shared" si="0"/>
        <v>17857.851816845203</v>
      </c>
      <c r="AW27" s="353">
        <f t="shared" si="1"/>
        <v>14281.545319633633</v>
      </c>
      <c r="AX27" s="353">
        <f t="shared" si="2"/>
        <v>3576.3064972115694</v>
      </c>
      <c r="AY27" s="390">
        <v>158792</v>
      </c>
      <c r="AZ27" s="390">
        <v>158792</v>
      </c>
      <c r="BA27" s="401">
        <f t="shared" si="3"/>
        <v>2787.7275677000002</v>
      </c>
      <c r="BB27" s="401">
        <v>-2710</v>
      </c>
      <c r="BC27" s="401">
        <v>220</v>
      </c>
      <c r="BD27" s="401">
        <v>0</v>
      </c>
      <c r="BE27" s="401">
        <v>42</v>
      </c>
      <c r="BG27" s="426">
        <f t="shared" si="4"/>
        <v>0.54359033765287201</v>
      </c>
      <c r="BH27" s="426">
        <f t="shared" si="5"/>
        <v>2.7560500073084099E-2</v>
      </c>
      <c r="BI27" s="426">
        <f t="shared" si="6"/>
        <v>5.8337034580921765E-2</v>
      </c>
      <c r="BJ27" s="426">
        <f t="shared" si="7"/>
        <v>0.37404868519551465</v>
      </c>
      <c r="BK27" s="426">
        <f t="shared" si="8"/>
        <v>-3.536557502392481E-3</v>
      </c>
      <c r="BL27" s="425">
        <f t="shared" si="9"/>
        <v>47786583.389545202</v>
      </c>
      <c r="BN27" s="423">
        <f t="shared" si="10"/>
        <v>0.61506367577100018</v>
      </c>
      <c r="BO27" s="423">
        <f t="shared" si="11"/>
        <v>4.6586709816214725E-2</v>
      </c>
      <c r="BP27" s="423">
        <f t="shared" si="12"/>
        <v>0.15225526409315238</v>
      </c>
      <c r="BQ27" s="423">
        <f t="shared" si="13"/>
        <v>0.18665189515755312</v>
      </c>
      <c r="BR27" s="423">
        <f t="shared" si="14"/>
        <v>-9.230148573295521E-3</v>
      </c>
      <c r="BS27" s="423">
        <f t="shared" si="15"/>
        <v>8.672603735375135E-3</v>
      </c>
      <c r="BT27" s="425">
        <f t="shared" si="16"/>
        <v>18309564.429867074</v>
      </c>
    </row>
    <row r="28" spans="1:80" x14ac:dyDescent="0.2">
      <c r="A28" s="309">
        <v>18</v>
      </c>
      <c r="B28" s="278" t="s">
        <v>10</v>
      </c>
      <c r="C28" s="278">
        <v>1</v>
      </c>
      <c r="D28" s="279">
        <v>5104</v>
      </c>
      <c r="E28" s="364">
        <v>26824000</v>
      </c>
      <c r="F28" s="279">
        <v>17075829</v>
      </c>
      <c r="G28" s="278">
        <v>863347.98499999999</v>
      </c>
      <c r="H28" s="279">
        <v>1145123.2740000002</v>
      </c>
      <c r="I28" s="279">
        <v>7593862.8976601101</v>
      </c>
      <c r="J28" s="279">
        <v>-196077</v>
      </c>
      <c r="K28" s="279">
        <v>138000</v>
      </c>
      <c r="L28" s="280">
        <v>-10259.039999999999</v>
      </c>
      <c r="M28" s="369">
        <v>-193654.80333989023</v>
      </c>
      <c r="N28" s="370">
        <v>-37.941771814241818</v>
      </c>
      <c r="P28" s="365">
        <v>11803237.205422316</v>
      </c>
      <c r="Q28" s="283">
        <v>7329243</v>
      </c>
      <c r="R28" s="279">
        <v>1145123.2740000002</v>
      </c>
      <c r="S28" s="279">
        <v>559155.83075972321</v>
      </c>
      <c r="T28" s="280">
        <v>4526893.1017201152</v>
      </c>
      <c r="U28" s="280">
        <v>-1092373.6312779109</v>
      </c>
      <c r="V28" s="279">
        <v>-196077</v>
      </c>
      <c r="W28" s="279">
        <v>138000</v>
      </c>
      <c r="X28" s="279">
        <v>63328.846546977991</v>
      </c>
      <c r="Y28" s="354">
        <v>670056.21632658876</v>
      </c>
      <c r="Z28" s="355">
        <v>131.28060664705893</v>
      </c>
      <c r="AB28" s="366">
        <v>863711.01966647897</v>
      </c>
      <c r="AC28" s="349">
        <v>169.22237846130074</v>
      </c>
      <c r="AE28" s="374">
        <v>-164.77811640012342</v>
      </c>
      <c r="AF28" s="350">
        <v>-144.22237846130076</v>
      </c>
      <c r="AG28" s="350">
        <v>-119.22237846130076</v>
      </c>
      <c r="AH28" s="350">
        <v>-94.222378461300764</v>
      </c>
      <c r="AI28" s="350">
        <v>-69.222378461300764</v>
      </c>
      <c r="AJ28" s="408">
        <v>-1365</v>
      </c>
      <c r="AK28" s="387">
        <v>-25459</v>
      </c>
      <c r="AL28" s="287">
        <v>-242</v>
      </c>
      <c r="AM28" s="287">
        <v>-1123</v>
      </c>
      <c r="AN28" s="287">
        <v>-10680</v>
      </c>
      <c r="AO28" s="287">
        <v>-14779</v>
      </c>
      <c r="AP28" s="287">
        <v>17076</v>
      </c>
      <c r="AQ28" s="287">
        <v>9747</v>
      </c>
      <c r="AR28" s="287">
        <v>7329</v>
      </c>
      <c r="AS28" s="287">
        <v>863</v>
      </c>
      <c r="AT28" s="287">
        <v>304</v>
      </c>
      <c r="AU28" s="287">
        <v>559</v>
      </c>
      <c r="AV28" s="353">
        <f t="shared" si="0"/>
        <v>7387.5268576601102</v>
      </c>
      <c r="AW28" s="353">
        <f t="shared" si="1"/>
        <v>4990.111893324136</v>
      </c>
      <c r="AX28" s="353">
        <f t="shared" si="2"/>
        <v>2397.4149643359742</v>
      </c>
      <c r="AY28" s="390">
        <v>841028</v>
      </c>
      <c r="AZ28" s="390">
        <v>-841028</v>
      </c>
      <c r="BA28" s="401">
        <f t="shared" si="3"/>
        <v>1145.1232740000003</v>
      </c>
      <c r="BB28" s="401">
        <v>-3422</v>
      </c>
      <c r="BC28" s="401">
        <v>0</v>
      </c>
      <c r="BD28" s="401">
        <v>135</v>
      </c>
      <c r="BE28" s="401">
        <v>-2043</v>
      </c>
      <c r="BG28" s="426">
        <f t="shared" si="4"/>
        <v>0.64146407714491105</v>
      </c>
      <c r="BH28" s="426">
        <f t="shared" si="5"/>
        <v>3.2432201004879091E-2</v>
      </c>
      <c r="BI28" s="426">
        <f t="shared" si="6"/>
        <v>4.3017264003614074E-2</v>
      </c>
      <c r="BJ28" s="426">
        <f t="shared" si="7"/>
        <v>0.27790240249877063</v>
      </c>
      <c r="BK28" s="426">
        <f t="shared" si="8"/>
        <v>5.1840553478251471E-3</v>
      </c>
      <c r="BL28" s="425">
        <f t="shared" si="9"/>
        <v>26620086.15666011</v>
      </c>
      <c r="BN28" s="423">
        <f t="shared" si="10"/>
        <v>0.63352777841438301</v>
      </c>
      <c r="BO28" s="423">
        <f t="shared" si="11"/>
        <v>4.8332515547465975E-2</v>
      </c>
      <c r="BP28" s="423">
        <f t="shared" si="12"/>
        <v>9.8982583029082929E-2</v>
      </c>
      <c r="BQ28" s="423">
        <f t="shared" si="13"/>
        <v>0.27992567088061288</v>
      </c>
      <c r="BR28" s="423">
        <f t="shared" si="14"/>
        <v>1.1928494309874136E-2</v>
      </c>
      <c r="BS28" s="423">
        <f t="shared" si="15"/>
        <v>-7.2697042181418842E-2</v>
      </c>
      <c r="BT28" s="425">
        <f t="shared" si="16"/>
        <v>11568937.069095697</v>
      </c>
    </row>
    <row r="29" spans="1:80" x14ac:dyDescent="0.2">
      <c r="A29" s="309">
        <v>19</v>
      </c>
      <c r="B29" s="278" t="s">
        <v>11</v>
      </c>
      <c r="C29" s="278">
        <v>2</v>
      </c>
      <c r="D29" s="279">
        <v>3986</v>
      </c>
      <c r="E29" s="364">
        <v>19839000</v>
      </c>
      <c r="F29" s="279">
        <v>13066250</v>
      </c>
      <c r="G29" s="278">
        <v>454694.20500000002</v>
      </c>
      <c r="H29" s="279">
        <v>746633.18950000009</v>
      </c>
      <c r="I29" s="279">
        <v>6815770.4989335453</v>
      </c>
      <c r="J29" s="279">
        <v>-829636</v>
      </c>
      <c r="K29" s="279">
        <v>-45000</v>
      </c>
      <c r="L29" s="280">
        <v>-8011.8599999999988</v>
      </c>
      <c r="M29" s="369">
        <v>377723.75343354477</v>
      </c>
      <c r="N29" s="370">
        <v>94.762607484582233</v>
      </c>
      <c r="P29" s="365">
        <v>7950845.9932885915</v>
      </c>
      <c r="Q29" s="283">
        <v>6062239</v>
      </c>
      <c r="R29" s="279">
        <v>746633.18950000009</v>
      </c>
      <c r="S29" s="279">
        <v>294487.18286914966</v>
      </c>
      <c r="T29" s="280">
        <v>3908588.6835846175</v>
      </c>
      <c r="U29" s="280">
        <v>-912886.84065095568</v>
      </c>
      <c r="V29" s="279">
        <v>-829636</v>
      </c>
      <c r="W29" s="279">
        <v>-45000</v>
      </c>
      <c r="X29" s="279">
        <v>48934.617300021688</v>
      </c>
      <c r="Y29" s="354">
        <v>1322513.8393142428</v>
      </c>
      <c r="Z29" s="355">
        <v>331.78972386207801</v>
      </c>
      <c r="AB29" s="366">
        <v>944790.08588069805</v>
      </c>
      <c r="AC29" s="349">
        <v>237.02711637749576</v>
      </c>
      <c r="AE29" s="374">
        <v>-232.58285431631845</v>
      </c>
      <c r="AF29" s="350">
        <v>-212.02711637749576</v>
      </c>
      <c r="AG29" s="350">
        <v>-187.02711637749576</v>
      </c>
      <c r="AH29" s="350">
        <v>-162.02711637749576</v>
      </c>
      <c r="AI29" s="350">
        <v>-137.02711637749576</v>
      </c>
      <c r="AJ29" s="408">
        <v>-717</v>
      </c>
      <c r="AK29" s="387">
        <v>-19122</v>
      </c>
      <c r="AL29" s="287">
        <v>0</v>
      </c>
      <c r="AM29" s="287">
        <v>-717</v>
      </c>
      <c r="AN29" s="287">
        <v>-7234</v>
      </c>
      <c r="AO29" s="287">
        <v>-11888</v>
      </c>
      <c r="AP29" s="287">
        <v>13066</v>
      </c>
      <c r="AQ29" s="287">
        <v>7004</v>
      </c>
      <c r="AR29" s="287">
        <v>6062</v>
      </c>
      <c r="AS29" s="287">
        <v>455</v>
      </c>
      <c r="AT29" s="287">
        <v>161</v>
      </c>
      <c r="AU29" s="287">
        <v>294</v>
      </c>
      <c r="AV29" s="353">
        <f t="shared" si="0"/>
        <v>5978.1226389335452</v>
      </c>
      <c r="AW29" s="353">
        <f t="shared" si="1"/>
        <v>4739.1320533047292</v>
      </c>
      <c r="AX29" s="353">
        <f t="shared" si="2"/>
        <v>1238.9905856288165</v>
      </c>
      <c r="AY29" s="390">
        <v>927075</v>
      </c>
      <c r="AZ29" s="390">
        <v>-927075</v>
      </c>
      <c r="BA29" s="401">
        <f t="shared" si="3"/>
        <v>746.63318950000007</v>
      </c>
      <c r="BB29" s="401">
        <v>-616</v>
      </c>
      <c r="BC29" s="401">
        <v>0</v>
      </c>
      <c r="BD29" s="401">
        <v>0</v>
      </c>
      <c r="BE29" s="401">
        <v>1414</v>
      </c>
      <c r="BG29" s="426">
        <f t="shared" si="4"/>
        <v>0.64656520756504232</v>
      </c>
      <c r="BH29" s="426">
        <f t="shared" si="5"/>
        <v>2.2499910305898551E-2</v>
      </c>
      <c r="BI29" s="426">
        <f t="shared" si="6"/>
        <v>3.6946104899570814E-2</v>
      </c>
      <c r="BJ29" s="426">
        <f t="shared" si="7"/>
        <v>0.29621553963954683</v>
      </c>
      <c r="BK29" s="426">
        <f t="shared" si="8"/>
        <v>-2.2267624100585025E-3</v>
      </c>
      <c r="BL29" s="425">
        <f t="shared" si="9"/>
        <v>20208711.893433545</v>
      </c>
      <c r="BN29" s="423">
        <f t="shared" si="10"/>
        <v>0.73062351602471554</v>
      </c>
      <c r="BO29" s="423">
        <f t="shared" si="11"/>
        <v>3.5491715350066455E-2</v>
      </c>
      <c r="BP29" s="423">
        <f t="shared" si="12"/>
        <v>8.9984536421813421E-2</v>
      </c>
      <c r="BQ29" s="423">
        <f t="shared" si="13"/>
        <v>0.26105513855610629</v>
      </c>
      <c r="BR29" s="423">
        <f t="shared" si="14"/>
        <v>-5.4234183477609834E-3</v>
      </c>
      <c r="BS29" s="423">
        <f t="shared" si="15"/>
        <v>-0.11173148800494075</v>
      </c>
      <c r="BT29" s="425">
        <f t="shared" si="16"/>
        <v>8297349.9579979666</v>
      </c>
    </row>
    <row r="30" spans="1:80" x14ac:dyDescent="0.2">
      <c r="A30" s="309">
        <v>604</v>
      </c>
      <c r="B30" s="278" t="s">
        <v>292</v>
      </c>
      <c r="C30" s="278">
        <v>6</v>
      </c>
      <c r="D30" s="279">
        <v>18913</v>
      </c>
      <c r="E30" s="364">
        <v>94269000</v>
      </c>
      <c r="F30" s="279">
        <v>75428120</v>
      </c>
      <c r="G30" s="278">
        <v>3156050.48</v>
      </c>
      <c r="H30" s="279">
        <v>4909957.6460000006</v>
      </c>
      <c r="I30" s="279">
        <v>13380294.13032536</v>
      </c>
      <c r="J30" s="279">
        <v>-2115550</v>
      </c>
      <c r="K30" s="279">
        <v>-642000</v>
      </c>
      <c r="L30" s="280">
        <v>-38015.129999999997</v>
      </c>
      <c r="M30" s="369">
        <v>-114112.61367463588</v>
      </c>
      <c r="N30" s="370">
        <v>-6.0335543633815831</v>
      </c>
      <c r="P30" s="365">
        <v>46715044.746198721</v>
      </c>
      <c r="Q30" s="283">
        <v>29864282</v>
      </c>
      <c r="R30" s="279">
        <v>4909957.6460000006</v>
      </c>
      <c r="S30" s="279">
        <v>2044047.1961766644</v>
      </c>
      <c r="T30" s="280">
        <v>11500584.164748274</v>
      </c>
      <c r="U30" s="280">
        <v>680534.67896507483</v>
      </c>
      <c r="V30" s="279">
        <v>-2115550</v>
      </c>
      <c r="W30" s="279">
        <v>-642000</v>
      </c>
      <c r="X30" s="279">
        <v>248006.37822426026</v>
      </c>
      <c r="Y30" s="354">
        <v>-225182.68208444864</v>
      </c>
      <c r="Z30" s="355">
        <v>-11.906238147541302</v>
      </c>
      <c r="AB30" s="366">
        <v>-111070.06840981275</v>
      </c>
      <c r="AC30" s="349">
        <v>-5.8726837841597179</v>
      </c>
      <c r="AE30" s="374">
        <v>10.316945845337052</v>
      </c>
      <c r="AF30" s="350">
        <v>0</v>
      </c>
      <c r="AG30" s="350">
        <v>0</v>
      </c>
      <c r="AH30" s="350">
        <v>0</v>
      </c>
      <c r="AI30" s="350">
        <v>0</v>
      </c>
      <c r="AJ30" s="408">
        <v>-7155</v>
      </c>
      <c r="AK30" s="387">
        <v>-87114</v>
      </c>
      <c r="AL30" s="287">
        <v>-292</v>
      </c>
      <c r="AM30" s="287">
        <v>-6863</v>
      </c>
      <c r="AN30" s="287">
        <v>-39852</v>
      </c>
      <c r="AO30" s="287">
        <v>-47262</v>
      </c>
      <c r="AP30" s="287">
        <v>75428</v>
      </c>
      <c r="AQ30" s="287">
        <v>45564</v>
      </c>
      <c r="AR30" s="287">
        <v>29864</v>
      </c>
      <c r="AS30" s="287">
        <v>3156</v>
      </c>
      <c r="AT30" s="287">
        <v>1112</v>
      </c>
      <c r="AU30" s="287">
        <v>2044</v>
      </c>
      <c r="AV30" s="353">
        <f t="shared" si="0"/>
        <v>11226.72900032536</v>
      </c>
      <c r="AW30" s="353">
        <f t="shared" si="1"/>
        <v>966.03575983915107</v>
      </c>
      <c r="AX30" s="353">
        <f t="shared" si="2"/>
        <v>10260.693240486209</v>
      </c>
      <c r="AY30" s="390">
        <v>195124</v>
      </c>
      <c r="AZ30" s="390">
        <v>195124</v>
      </c>
      <c r="BA30" s="401">
        <f t="shared" si="3"/>
        <v>4909.9576460000008</v>
      </c>
      <c r="BB30" s="401">
        <v>-15280</v>
      </c>
      <c r="BC30" s="401">
        <v>0</v>
      </c>
      <c r="BD30" s="401">
        <v>4300</v>
      </c>
      <c r="BE30" s="401">
        <v>-8054</v>
      </c>
      <c r="BG30" s="426">
        <f t="shared" si="4"/>
        <v>0.80143037259645722</v>
      </c>
      <c r="BH30" s="426">
        <f t="shared" si="5"/>
        <v>3.3533312405501128E-2</v>
      </c>
      <c r="BI30" s="426">
        <f t="shared" si="6"/>
        <v>5.2168729456157789E-2</v>
      </c>
      <c r="BJ30" s="426">
        <f t="shared" si="7"/>
        <v>0.11968889169676253</v>
      </c>
      <c r="BK30" s="426">
        <f t="shared" si="8"/>
        <v>-6.8213061548786516E-3</v>
      </c>
      <c r="BL30" s="425">
        <f t="shared" si="9"/>
        <v>94116872.256325364</v>
      </c>
      <c r="BN30" s="423">
        <f t="shared" si="10"/>
        <v>0.64311421515435174</v>
      </c>
      <c r="BO30" s="423">
        <f t="shared" si="11"/>
        <v>4.4017659902475102E-2</v>
      </c>
      <c r="BP30" s="423">
        <f t="shared" si="12"/>
        <v>0.10573378452388037</v>
      </c>
      <c r="BQ30" s="423">
        <f t="shared" si="13"/>
        <v>0.21675761054649853</v>
      </c>
      <c r="BR30" s="423">
        <f t="shared" si="14"/>
        <v>-1.3825188435104311E-2</v>
      </c>
      <c r="BS30" s="423">
        <f t="shared" si="15"/>
        <v>4.201918307898512E-3</v>
      </c>
      <c r="BT30" s="425">
        <f t="shared" si="16"/>
        <v>46436980.082662873</v>
      </c>
    </row>
    <row r="31" spans="1:80" x14ac:dyDescent="0.2">
      <c r="A31" s="309">
        <v>609</v>
      </c>
      <c r="B31" s="278" t="s">
        <v>294</v>
      </c>
      <c r="C31" s="278">
        <v>4</v>
      </c>
      <c r="D31" s="279">
        <v>85363</v>
      </c>
      <c r="E31" s="364">
        <v>440673000</v>
      </c>
      <c r="F31" s="279">
        <v>269814476</v>
      </c>
      <c r="G31" s="278">
        <v>14149861.65</v>
      </c>
      <c r="H31" s="279">
        <v>23320844.526700005</v>
      </c>
      <c r="I31" s="279">
        <v>144099731.6343374</v>
      </c>
      <c r="J31" s="279">
        <v>-5099667</v>
      </c>
      <c r="K31" s="279">
        <v>10407000</v>
      </c>
      <c r="L31" s="280">
        <v>-83862.739345695838</v>
      </c>
      <c r="M31" s="369">
        <v>16103109.550383117</v>
      </c>
      <c r="N31" s="370">
        <v>188.64273221867924</v>
      </c>
      <c r="P31" s="365">
        <v>153265027.44638693</v>
      </c>
      <c r="Q31" s="283">
        <v>107474017</v>
      </c>
      <c r="R31" s="279">
        <v>23320844.526700005</v>
      </c>
      <c r="S31" s="279">
        <v>9164297.3441825975</v>
      </c>
      <c r="T31" s="280">
        <v>28977735.178993057</v>
      </c>
      <c r="U31" s="280">
        <v>-7843006.0075781569</v>
      </c>
      <c r="V31" s="279">
        <v>-5099667</v>
      </c>
      <c r="W31" s="279">
        <v>10407000</v>
      </c>
      <c r="X31" s="279">
        <v>1075492.112097312</v>
      </c>
      <c r="Y31" s="354">
        <v>14211685.708007872</v>
      </c>
      <c r="Z31" s="355">
        <v>166.48531223138681</v>
      </c>
      <c r="AB31" s="366">
        <v>-1891423.8423752449</v>
      </c>
      <c r="AC31" s="349">
        <v>-22.157419987292446</v>
      </c>
      <c r="AE31" s="374">
        <v>26.601682048469769</v>
      </c>
      <c r="AF31" s="350">
        <v>0</v>
      </c>
      <c r="AG31" s="350">
        <v>0</v>
      </c>
      <c r="AH31" s="350">
        <v>0</v>
      </c>
      <c r="AI31" s="350">
        <v>0</v>
      </c>
      <c r="AJ31" s="408">
        <v>-29000</v>
      </c>
      <c r="AK31" s="387">
        <v>-411673</v>
      </c>
      <c r="AL31" s="287">
        <v>-1904</v>
      </c>
      <c r="AM31" s="287">
        <v>-27096</v>
      </c>
      <c r="AN31" s="287">
        <v>-126169</v>
      </c>
      <c r="AO31" s="287">
        <v>-285504</v>
      </c>
      <c r="AP31" s="287">
        <v>269814</v>
      </c>
      <c r="AQ31" s="287">
        <v>162340</v>
      </c>
      <c r="AR31" s="287">
        <v>107474</v>
      </c>
      <c r="AS31" s="287">
        <v>14150</v>
      </c>
      <c r="AT31" s="287">
        <v>4986</v>
      </c>
      <c r="AU31" s="287">
        <v>9164</v>
      </c>
      <c r="AV31" s="353">
        <f t="shared" si="0"/>
        <v>138916.20189499171</v>
      </c>
      <c r="AW31" s="353">
        <f t="shared" si="1"/>
        <v>120610.34033887328</v>
      </c>
      <c r="AX31" s="353">
        <f t="shared" si="2"/>
        <v>18305.861556118427</v>
      </c>
      <c r="AY31" s="390">
        <v>2270799</v>
      </c>
      <c r="AZ31" s="390">
        <v>2270799</v>
      </c>
      <c r="BA31" s="401">
        <f t="shared" si="3"/>
        <v>23320.844526700006</v>
      </c>
      <c r="BB31" s="401">
        <v>-39215</v>
      </c>
      <c r="BC31" s="401">
        <v>610</v>
      </c>
      <c r="BD31" s="401">
        <v>17750</v>
      </c>
      <c r="BE31" s="401">
        <v>12092</v>
      </c>
      <c r="BG31" s="426">
        <f t="shared" si="4"/>
        <v>0.59080152528107044</v>
      </c>
      <c r="BH31" s="426">
        <f t="shared" si="5"/>
        <v>3.0983362973216178E-2</v>
      </c>
      <c r="BI31" s="426">
        <f t="shared" si="6"/>
        <v>5.1064682375370651E-2</v>
      </c>
      <c r="BJ31" s="426">
        <f t="shared" si="7"/>
        <v>0.30436265473070434</v>
      </c>
      <c r="BK31" s="426">
        <f t="shared" si="8"/>
        <v>2.2787774639638315E-2</v>
      </c>
      <c r="BL31" s="425">
        <f t="shared" si="9"/>
        <v>456692246.81103742</v>
      </c>
      <c r="BN31" s="423">
        <f t="shared" si="10"/>
        <v>0.63717750417600127</v>
      </c>
      <c r="BO31" s="423">
        <f t="shared" si="11"/>
        <v>5.4332054130748868E-2</v>
      </c>
      <c r="BP31" s="423">
        <f t="shared" si="12"/>
        <v>0.13826148799108595</v>
      </c>
      <c r="BQ31" s="423">
        <f t="shared" si="13"/>
        <v>9.5066520996318182E-2</v>
      </c>
      <c r="BR31" s="423">
        <f t="shared" si="14"/>
        <v>6.1699622579098772E-2</v>
      </c>
      <c r="BS31" s="423">
        <f t="shared" si="15"/>
        <v>1.3462810126747113E-2</v>
      </c>
      <c r="BT31" s="425">
        <f t="shared" si="16"/>
        <v>168672020.427001</v>
      </c>
    </row>
    <row r="32" spans="1:80" x14ac:dyDescent="0.2">
      <c r="A32" s="309">
        <v>611</v>
      </c>
      <c r="B32" s="278" t="s">
        <v>295</v>
      </c>
      <c r="C32" s="278">
        <v>1</v>
      </c>
      <c r="D32" s="279">
        <v>5125</v>
      </c>
      <c r="E32" s="364">
        <v>25137000</v>
      </c>
      <c r="F32" s="279">
        <v>17542315</v>
      </c>
      <c r="G32" s="278">
        <v>574179.98499999999</v>
      </c>
      <c r="H32" s="279">
        <v>1125123.4349999998</v>
      </c>
      <c r="I32" s="279">
        <v>7122174.3857615218</v>
      </c>
      <c r="J32" s="279">
        <v>-1119252</v>
      </c>
      <c r="K32" s="279">
        <v>-149000</v>
      </c>
      <c r="L32" s="280">
        <v>-10301.249999999998</v>
      </c>
      <c r="M32" s="369">
        <v>-31157.944238480181</v>
      </c>
      <c r="N32" s="370">
        <v>-6.0795988758010111</v>
      </c>
      <c r="P32" s="365">
        <v>12412666.61835245</v>
      </c>
      <c r="Q32" s="283">
        <v>7336353</v>
      </c>
      <c r="R32" s="279">
        <v>1125123.4349999998</v>
      </c>
      <c r="S32" s="279">
        <v>371873.32581575483</v>
      </c>
      <c r="T32" s="280">
        <v>5460663.9874515329</v>
      </c>
      <c r="U32" s="280">
        <v>-254201.14098250822</v>
      </c>
      <c r="V32" s="279">
        <v>-1119252</v>
      </c>
      <c r="W32" s="279">
        <v>-149000</v>
      </c>
      <c r="X32" s="279">
        <v>64570.071935046421</v>
      </c>
      <c r="Y32" s="354">
        <v>423464.06086737476</v>
      </c>
      <c r="Z32" s="355">
        <v>82.62713382778044</v>
      </c>
      <c r="AB32" s="366">
        <v>454622.00510585494</v>
      </c>
      <c r="AC32" s="349">
        <v>88.706732703581451</v>
      </c>
      <c r="AE32" s="374">
        <v>-84.262470642404125</v>
      </c>
      <c r="AF32" s="350">
        <v>-63.706732703581451</v>
      </c>
      <c r="AG32" s="350">
        <v>-38.706732703581451</v>
      </c>
      <c r="AH32" s="350">
        <v>-13.706732703581451</v>
      </c>
      <c r="AI32" s="350">
        <v>0</v>
      </c>
      <c r="AJ32" s="408">
        <v>-1754</v>
      </c>
      <c r="AK32" s="387">
        <v>-23383</v>
      </c>
      <c r="AL32" s="287">
        <v>-2</v>
      </c>
      <c r="AM32" s="287">
        <v>-1752</v>
      </c>
      <c r="AN32" s="287">
        <v>-10661</v>
      </c>
      <c r="AO32" s="287">
        <v>-12722</v>
      </c>
      <c r="AP32" s="287">
        <v>17542</v>
      </c>
      <c r="AQ32" s="287">
        <v>10206</v>
      </c>
      <c r="AR32" s="287">
        <v>7336</v>
      </c>
      <c r="AS32" s="287">
        <v>574</v>
      </c>
      <c r="AT32" s="287">
        <v>202</v>
      </c>
      <c r="AU32" s="287">
        <v>372</v>
      </c>
      <c r="AV32" s="353">
        <f t="shared" si="0"/>
        <v>5992.6211357615221</v>
      </c>
      <c r="AW32" s="353">
        <f t="shared" si="1"/>
        <v>2337.2554513348191</v>
      </c>
      <c r="AX32" s="353">
        <f t="shared" si="2"/>
        <v>3655.365684426703</v>
      </c>
      <c r="AY32" s="390">
        <v>431845</v>
      </c>
      <c r="AZ32" s="390">
        <v>-431845</v>
      </c>
      <c r="BA32" s="401">
        <f t="shared" si="3"/>
        <v>1125.1234349999997</v>
      </c>
      <c r="BB32" s="401">
        <v>-1840</v>
      </c>
      <c r="BC32" s="401">
        <v>20</v>
      </c>
      <c r="BD32" s="401">
        <v>610</v>
      </c>
      <c r="BE32" s="401">
        <v>177</v>
      </c>
      <c r="BG32" s="426">
        <f t="shared" si="4"/>
        <v>0.69902119805971963</v>
      </c>
      <c r="BH32" s="426">
        <f t="shared" si="5"/>
        <v>2.2879761366536393E-2</v>
      </c>
      <c r="BI32" s="426">
        <f t="shared" si="6"/>
        <v>4.4833599869730248E-2</v>
      </c>
      <c r="BJ32" s="426">
        <f t="shared" si="7"/>
        <v>0.23920275048957504</v>
      </c>
      <c r="BK32" s="426">
        <f t="shared" si="8"/>
        <v>-5.9373097855612688E-3</v>
      </c>
      <c r="BL32" s="425">
        <f t="shared" si="9"/>
        <v>25095540.80576152</v>
      </c>
      <c r="BN32" s="423">
        <f t="shared" si="10"/>
        <v>0.5945317809438232</v>
      </c>
      <c r="BO32" s="423">
        <f t="shared" si="11"/>
        <v>3.0136296697111403E-2</v>
      </c>
      <c r="BP32" s="423">
        <f t="shared" si="12"/>
        <v>9.1179042174249492E-2</v>
      </c>
      <c r="BQ32" s="423">
        <f t="shared" si="13"/>
        <v>0.3312240760012693</v>
      </c>
      <c r="BR32" s="423">
        <f t="shared" si="14"/>
        <v>-1.207483273509735E-2</v>
      </c>
      <c r="BS32" s="423">
        <f t="shared" si="15"/>
        <v>-3.4996363081355966E-2</v>
      </c>
      <c r="BT32" s="425">
        <f t="shared" si="16"/>
        <v>12339715.445242457</v>
      </c>
    </row>
    <row r="33" spans="1:72" x14ac:dyDescent="0.2">
      <c r="A33" s="309">
        <v>638</v>
      </c>
      <c r="B33" s="278" t="s">
        <v>296</v>
      </c>
      <c r="C33" s="278">
        <v>1</v>
      </c>
      <c r="D33" s="279">
        <v>49928</v>
      </c>
      <c r="E33" s="364">
        <v>268827000</v>
      </c>
      <c r="F33" s="279">
        <v>191381289</v>
      </c>
      <c r="G33" s="278">
        <v>10611663.939999999</v>
      </c>
      <c r="H33" s="279">
        <v>16792679.572000001</v>
      </c>
      <c r="I33" s="279">
        <v>51210256.354133308</v>
      </c>
      <c r="J33" s="279">
        <v>-2111953</v>
      </c>
      <c r="K33" s="279">
        <v>1206000</v>
      </c>
      <c r="L33" s="280">
        <v>-100355.27999999998</v>
      </c>
      <c r="M33" s="369">
        <v>363291.14613333222</v>
      </c>
      <c r="N33" s="370">
        <v>7.2763007958126149</v>
      </c>
      <c r="P33" s="365">
        <v>123898830.86041191</v>
      </c>
      <c r="Q33" s="283">
        <v>74705482</v>
      </c>
      <c r="R33" s="279">
        <v>16792679.572000001</v>
      </c>
      <c r="S33" s="279">
        <v>6872748.7284442978</v>
      </c>
      <c r="T33" s="280">
        <v>25075128.401813056</v>
      </c>
      <c r="U33" s="280">
        <v>1134397.5617077542</v>
      </c>
      <c r="V33" s="279">
        <v>-2111953</v>
      </c>
      <c r="W33" s="279">
        <v>1206000</v>
      </c>
      <c r="X33" s="279">
        <v>662288.84531158698</v>
      </c>
      <c r="Y33" s="354">
        <v>437941.24886476994</v>
      </c>
      <c r="Z33" s="355">
        <v>8.7714558737536041</v>
      </c>
      <c r="AB33" s="366">
        <v>74650.102731437713</v>
      </c>
      <c r="AC33" s="349">
        <v>1.4951550779409892</v>
      </c>
      <c r="AE33" s="374">
        <v>2.9491069832363426</v>
      </c>
      <c r="AF33" s="350">
        <v>0</v>
      </c>
      <c r="AG33" s="350">
        <v>0</v>
      </c>
      <c r="AH33" s="350">
        <v>0</v>
      </c>
      <c r="AI33" s="350">
        <v>0</v>
      </c>
      <c r="AJ33" s="408">
        <v>-24946</v>
      </c>
      <c r="AK33" s="387">
        <v>-243881</v>
      </c>
      <c r="AL33" s="287">
        <v>-1290</v>
      </c>
      <c r="AM33" s="287">
        <v>-23656</v>
      </c>
      <c r="AN33" s="287">
        <v>-100243</v>
      </c>
      <c r="AO33" s="287">
        <v>-143638</v>
      </c>
      <c r="AP33" s="287">
        <v>191381</v>
      </c>
      <c r="AQ33" s="287">
        <v>116676</v>
      </c>
      <c r="AR33" s="287">
        <v>74705</v>
      </c>
      <c r="AS33" s="287">
        <v>10612</v>
      </c>
      <c r="AT33" s="287">
        <v>3739</v>
      </c>
      <c r="AU33" s="287">
        <v>6873</v>
      </c>
      <c r="AV33" s="353">
        <f t="shared" si="0"/>
        <v>48997.94807413331</v>
      </c>
      <c r="AW33" s="353">
        <f t="shared" si="1"/>
        <v>24753.132097153477</v>
      </c>
      <c r="AX33" s="353">
        <f t="shared" si="2"/>
        <v>24244.815976979833</v>
      </c>
      <c r="AY33" s="390">
        <v>147243</v>
      </c>
      <c r="AZ33" s="390">
        <v>147243</v>
      </c>
      <c r="BA33" s="401">
        <f t="shared" si="3"/>
        <v>16792.679572000001</v>
      </c>
      <c r="BB33" s="401">
        <v>-58586</v>
      </c>
      <c r="BC33" s="401">
        <v>332</v>
      </c>
      <c r="BD33" s="401">
        <v>5945</v>
      </c>
      <c r="BE33" s="401">
        <v>-34262</v>
      </c>
      <c r="BG33" s="426">
        <f t="shared" si="4"/>
        <v>0.7112168219297812</v>
      </c>
      <c r="BH33" s="426">
        <f t="shared" si="5"/>
        <v>3.9435380241344596E-2</v>
      </c>
      <c r="BI33" s="426">
        <f t="shared" si="6"/>
        <v>6.240545384184866E-2</v>
      </c>
      <c r="BJ33" s="426">
        <f t="shared" si="7"/>
        <v>0.18246057102097901</v>
      </c>
      <c r="BK33" s="426">
        <f t="shared" si="8"/>
        <v>4.4817729660464149E-3</v>
      </c>
      <c r="BL33" s="425">
        <f t="shared" si="9"/>
        <v>269089935.86613333</v>
      </c>
      <c r="BN33" s="423">
        <f t="shared" si="10"/>
        <v>0.60333096820683496</v>
      </c>
      <c r="BO33" s="423">
        <f t="shared" si="11"/>
        <v>5.5505192304021171E-2</v>
      </c>
      <c r="BP33" s="423">
        <f t="shared" si="12"/>
        <v>0.13561981468725279</v>
      </c>
      <c r="BQ33" s="423">
        <f t="shared" si="13"/>
        <v>0.19461506221880559</v>
      </c>
      <c r="BR33" s="423">
        <f t="shared" si="14"/>
        <v>9.7398092908020182E-3</v>
      </c>
      <c r="BS33" s="423">
        <f t="shared" si="15"/>
        <v>1.1891532922834907E-3</v>
      </c>
      <c r="BT33" s="425">
        <f t="shared" si="16"/>
        <v>123821726.27742413</v>
      </c>
    </row>
    <row r="34" spans="1:72" x14ac:dyDescent="0.2">
      <c r="A34" s="309">
        <v>678</v>
      </c>
      <c r="B34" s="278" t="s">
        <v>298</v>
      </c>
      <c r="C34" s="278">
        <v>17</v>
      </c>
      <c r="D34" s="279">
        <v>25165</v>
      </c>
      <c r="E34" s="364">
        <v>144559000</v>
      </c>
      <c r="F34" s="279">
        <v>83589119</v>
      </c>
      <c r="G34" s="278">
        <v>2904319.4750000001</v>
      </c>
      <c r="H34" s="279">
        <v>6163081.3724999996</v>
      </c>
      <c r="I34" s="279">
        <v>56405471.158275031</v>
      </c>
      <c r="J34" s="279">
        <v>-1801321</v>
      </c>
      <c r="K34" s="279">
        <v>1088000</v>
      </c>
      <c r="L34" s="280">
        <v>-2112969.7764996383</v>
      </c>
      <c r="M34" s="369">
        <v>5902639.7822746728</v>
      </c>
      <c r="N34" s="370">
        <v>234.55751171367663</v>
      </c>
      <c r="P34" s="365">
        <v>58026054.270155638</v>
      </c>
      <c r="Q34" s="283">
        <v>36294500</v>
      </c>
      <c r="R34" s="279">
        <v>6163081.3724999996</v>
      </c>
      <c r="S34" s="279">
        <v>1881011.1299851681</v>
      </c>
      <c r="T34" s="280">
        <v>19676887.34984104</v>
      </c>
      <c r="U34" s="280">
        <v>60887.636894015275</v>
      </c>
      <c r="V34" s="279">
        <v>-1801321</v>
      </c>
      <c r="W34" s="279">
        <v>1088000</v>
      </c>
      <c r="X34" s="279">
        <v>315166.54335981497</v>
      </c>
      <c r="Y34" s="354">
        <v>5652158.7624244094</v>
      </c>
      <c r="Z34" s="355">
        <v>224.60396433238265</v>
      </c>
      <c r="AB34" s="366">
        <v>-250481.01985026337</v>
      </c>
      <c r="AC34" s="349">
        <v>-9.9535473812939941</v>
      </c>
      <c r="AE34" s="374">
        <v>14.397809442471328</v>
      </c>
      <c r="AF34" s="350">
        <v>0</v>
      </c>
      <c r="AG34" s="350">
        <v>0</v>
      </c>
      <c r="AH34" s="350">
        <v>0</v>
      </c>
      <c r="AI34" s="350">
        <v>0</v>
      </c>
      <c r="AJ34" s="408">
        <v>-6939</v>
      </c>
      <c r="AK34" s="387">
        <v>-137620</v>
      </c>
      <c r="AL34" s="287">
        <v>0</v>
      </c>
      <c r="AM34" s="287">
        <v>-6939</v>
      </c>
      <c r="AN34" s="287">
        <v>-51087</v>
      </c>
      <c r="AO34" s="287">
        <v>-86533</v>
      </c>
      <c r="AP34" s="287">
        <v>83589</v>
      </c>
      <c r="AQ34" s="287">
        <v>47294</v>
      </c>
      <c r="AR34" s="287">
        <v>36295</v>
      </c>
      <c r="AS34" s="287">
        <v>2904</v>
      </c>
      <c r="AT34" s="287">
        <v>1023</v>
      </c>
      <c r="AU34" s="287">
        <v>1881</v>
      </c>
      <c r="AV34" s="353">
        <f t="shared" si="0"/>
        <v>52491.180381775397</v>
      </c>
      <c r="AW34" s="353">
        <f t="shared" si="1"/>
        <v>34192.405520420551</v>
      </c>
      <c r="AX34" s="353">
        <f t="shared" si="2"/>
        <v>18298.774861354843</v>
      </c>
      <c r="AY34" s="390">
        <v>362321</v>
      </c>
      <c r="AZ34" s="390">
        <v>362321</v>
      </c>
      <c r="BA34" s="401">
        <f t="shared" si="3"/>
        <v>6163.0813724999998</v>
      </c>
      <c r="BB34" s="401">
        <v>-15098</v>
      </c>
      <c r="BC34" s="401">
        <v>488</v>
      </c>
      <c r="BD34" s="401">
        <v>516</v>
      </c>
      <c r="BE34" s="401">
        <v>-5799</v>
      </c>
      <c r="BG34" s="426">
        <f t="shared" si="4"/>
        <v>0.56346389217204296</v>
      </c>
      <c r="BH34" s="426">
        <f t="shared" si="5"/>
        <v>1.9577657655353017E-2</v>
      </c>
      <c r="BI34" s="426">
        <f t="shared" si="6"/>
        <v>4.1544567755545624E-2</v>
      </c>
      <c r="BJ34" s="426">
        <f t="shared" si="7"/>
        <v>0.36807980925039202</v>
      </c>
      <c r="BK34" s="426">
        <f t="shared" si="8"/>
        <v>7.3340731666663777E-3</v>
      </c>
      <c r="BL34" s="425">
        <f t="shared" si="9"/>
        <v>148348670.00577503</v>
      </c>
      <c r="BN34" s="423">
        <f t="shared" si="10"/>
        <v>0.5695455593496469</v>
      </c>
      <c r="BO34" s="423">
        <f t="shared" si="11"/>
        <v>2.951746231991938E-2</v>
      </c>
      <c r="BP34" s="423">
        <f t="shared" si="12"/>
        <v>9.6713155646665522E-2</v>
      </c>
      <c r="BQ34" s="423">
        <f t="shared" si="13"/>
        <v>0.28146489739834468</v>
      </c>
      <c r="BR34" s="423">
        <f t="shared" si="14"/>
        <v>1.7073263678309823E-2</v>
      </c>
      <c r="BS34" s="423">
        <f t="shared" si="15"/>
        <v>5.6856616071135329E-3</v>
      </c>
      <c r="BT34" s="425">
        <f t="shared" si="16"/>
        <v>63725367.363840021</v>
      </c>
    </row>
    <row r="35" spans="1:72" x14ac:dyDescent="0.2">
      <c r="A35" s="309">
        <v>218</v>
      </c>
      <c r="B35" s="278" t="s">
        <v>255</v>
      </c>
      <c r="C35" s="278">
        <v>14</v>
      </c>
      <c r="D35" s="279">
        <v>1369</v>
      </c>
      <c r="E35" s="364">
        <v>8550000</v>
      </c>
      <c r="F35" s="279">
        <v>3585152</v>
      </c>
      <c r="G35" s="278">
        <v>254231</v>
      </c>
      <c r="H35" s="279">
        <v>241811.01710000003</v>
      </c>
      <c r="I35" s="279">
        <v>5065998.8055626471</v>
      </c>
      <c r="J35" s="279">
        <v>-312195</v>
      </c>
      <c r="K35" s="279">
        <v>-15000</v>
      </c>
      <c r="L35" s="280">
        <v>-2751.6899999999996</v>
      </c>
      <c r="M35" s="369">
        <v>272749.51266264782</v>
      </c>
      <c r="N35" s="370">
        <v>199.23266082004955</v>
      </c>
      <c r="P35" s="365">
        <v>2654834.7107973425</v>
      </c>
      <c r="Q35" s="283">
        <v>1755708</v>
      </c>
      <c r="R35" s="279">
        <v>241811.01710000003</v>
      </c>
      <c r="S35" s="279">
        <v>164655.21259063942</v>
      </c>
      <c r="T35" s="280">
        <v>811195.19749036641</v>
      </c>
      <c r="U35" s="280">
        <v>191661.75862623393</v>
      </c>
      <c r="V35" s="279">
        <v>-312195</v>
      </c>
      <c r="W35" s="279">
        <v>-15000</v>
      </c>
      <c r="X35" s="279">
        <v>16538.817142656419</v>
      </c>
      <c r="Y35" s="354">
        <v>199540.29215255333</v>
      </c>
      <c r="Z35" s="355">
        <v>145.75623970237643</v>
      </c>
      <c r="AB35" s="366">
        <v>-73209.220510094485</v>
      </c>
      <c r="AC35" s="349">
        <v>-53.476421117673105</v>
      </c>
      <c r="AE35" s="374">
        <v>57.920683178850453</v>
      </c>
      <c r="AF35" s="350">
        <v>28.476421117673112</v>
      </c>
      <c r="AG35" s="350">
        <v>3.4764211176731123</v>
      </c>
      <c r="AH35" s="350">
        <v>0</v>
      </c>
      <c r="AI35" s="350">
        <v>0</v>
      </c>
      <c r="AJ35" s="408">
        <v>-223</v>
      </c>
      <c r="AK35" s="387">
        <v>-8327</v>
      </c>
      <c r="AL35" s="287">
        <v>0</v>
      </c>
      <c r="AM35" s="287">
        <v>-223</v>
      </c>
      <c r="AN35" s="287">
        <v>-2432</v>
      </c>
      <c r="AO35" s="287">
        <v>-5895</v>
      </c>
      <c r="AP35" s="287">
        <v>3585</v>
      </c>
      <c r="AQ35" s="287">
        <v>1829</v>
      </c>
      <c r="AR35" s="287">
        <v>1756</v>
      </c>
      <c r="AS35" s="287">
        <v>254</v>
      </c>
      <c r="AT35" s="287">
        <v>89</v>
      </c>
      <c r="AU35" s="287">
        <v>165</v>
      </c>
      <c r="AV35" s="353">
        <f t="shared" si="0"/>
        <v>4751.0521155626466</v>
      </c>
      <c r="AW35" s="353">
        <f t="shared" si="1"/>
        <v>3981.0967441742</v>
      </c>
      <c r="AX35" s="353">
        <f t="shared" si="2"/>
        <v>769.95537138844657</v>
      </c>
      <c r="AY35" s="390">
        <v>79293</v>
      </c>
      <c r="AZ35" s="390">
        <v>79293</v>
      </c>
      <c r="BA35" s="401">
        <f t="shared" si="3"/>
        <v>241.81101710000004</v>
      </c>
      <c r="BB35" s="401">
        <v>-416</v>
      </c>
      <c r="BC35" s="401">
        <v>0</v>
      </c>
      <c r="BD35" s="401">
        <v>40</v>
      </c>
      <c r="BE35" s="401">
        <v>-125</v>
      </c>
      <c r="BG35" s="426">
        <f t="shared" si="4"/>
        <v>0.40647991893921886</v>
      </c>
      <c r="BH35" s="426">
        <f t="shared" si="5"/>
        <v>2.8824383532925955E-2</v>
      </c>
      <c r="BI35" s="426">
        <f t="shared" si="6"/>
        <v>2.741622185877142E-2</v>
      </c>
      <c r="BJ35" s="426">
        <f t="shared" si="7"/>
        <v>0.53898015636102881</v>
      </c>
      <c r="BK35" s="426">
        <f t="shared" si="8"/>
        <v>-1.7006806919450787E-3</v>
      </c>
      <c r="BL35" s="425">
        <f t="shared" si="9"/>
        <v>8819997.8226626478</v>
      </c>
      <c r="BN35" s="423">
        <f t="shared" si="10"/>
        <v>0.60186150089133517</v>
      </c>
      <c r="BO35" s="423">
        <f t="shared" si="11"/>
        <v>5.6444256892025382E-2</v>
      </c>
      <c r="BP35" s="423">
        <f t="shared" si="12"/>
        <v>8.2893477550860573E-2</v>
      </c>
      <c r="BQ35" s="423">
        <f t="shared" si="13"/>
        <v>0.23676080619150935</v>
      </c>
      <c r="BR35" s="423">
        <f t="shared" si="14"/>
        <v>-5.1420409962078129E-3</v>
      </c>
      <c r="BS35" s="423">
        <f t="shared" si="15"/>
        <v>2.7181999470477614E-2</v>
      </c>
      <c r="BT35" s="425">
        <f t="shared" si="16"/>
        <v>2917129.6010790854</v>
      </c>
    </row>
    <row r="36" spans="1:72" x14ac:dyDescent="0.2">
      <c r="A36" s="309">
        <v>148</v>
      </c>
      <c r="B36" s="278" t="s">
        <v>244</v>
      </c>
      <c r="C36" s="278">
        <v>19</v>
      </c>
      <c r="D36" s="279">
        <v>6804</v>
      </c>
      <c r="E36" s="364">
        <v>49832000</v>
      </c>
      <c r="F36" s="279">
        <v>19423604</v>
      </c>
      <c r="G36" s="278">
        <v>2142749.915</v>
      </c>
      <c r="H36" s="279">
        <v>4258375.2710000006</v>
      </c>
      <c r="I36" s="279">
        <v>23592234.844422407</v>
      </c>
      <c r="J36" s="279">
        <v>-179732</v>
      </c>
      <c r="K36" s="279">
        <v>681000</v>
      </c>
      <c r="L36" s="280">
        <v>-13676.039999999999</v>
      </c>
      <c r="M36" s="369">
        <v>99908.070422404402</v>
      </c>
      <c r="N36" s="370">
        <v>14.683725811640858</v>
      </c>
      <c r="P36" s="365">
        <v>20291712.854875516</v>
      </c>
      <c r="Q36" s="283">
        <v>7249894</v>
      </c>
      <c r="R36" s="279">
        <v>4258375.2710000006</v>
      </c>
      <c r="S36" s="279">
        <v>1387773.0992007251</v>
      </c>
      <c r="T36" s="280">
        <v>9709078.7724550385</v>
      </c>
      <c r="U36" s="280">
        <v>-1394270.540698485</v>
      </c>
      <c r="V36" s="279">
        <v>-179732</v>
      </c>
      <c r="W36" s="279">
        <v>681000</v>
      </c>
      <c r="X36" s="279">
        <v>84511.265133810186</v>
      </c>
      <c r="Y36" s="354">
        <v>1504917.0122155771</v>
      </c>
      <c r="Z36" s="355">
        <v>221.18121872656923</v>
      </c>
      <c r="AB36" s="366">
        <v>1405008.9417931726</v>
      </c>
      <c r="AC36" s="349">
        <v>206.49749291492836</v>
      </c>
      <c r="AE36" s="374">
        <v>-202.05323085375105</v>
      </c>
      <c r="AF36" s="350">
        <v>-181.49749291492836</v>
      </c>
      <c r="AG36" s="350">
        <v>-156.49749291492836</v>
      </c>
      <c r="AH36" s="350">
        <v>-131.49749291492836</v>
      </c>
      <c r="AI36" s="350">
        <v>-106.49749291492836</v>
      </c>
      <c r="AJ36" s="408">
        <v>-1641</v>
      </c>
      <c r="AK36" s="387">
        <v>-48191</v>
      </c>
      <c r="AL36" s="287">
        <v>-191</v>
      </c>
      <c r="AM36" s="287">
        <v>-1450</v>
      </c>
      <c r="AN36" s="287">
        <v>-18842</v>
      </c>
      <c r="AO36" s="287">
        <v>-29349</v>
      </c>
      <c r="AP36" s="287">
        <v>19424</v>
      </c>
      <c r="AQ36" s="287">
        <v>12174</v>
      </c>
      <c r="AR36" s="287">
        <v>7250</v>
      </c>
      <c r="AS36" s="287">
        <v>2143</v>
      </c>
      <c r="AT36" s="287">
        <v>755</v>
      </c>
      <c r="AU36" s="287">
        <v>1388</v>
      </c>
      <c r="AV36" s="353">
        <f t="shared" si="0"/>
        <v>23398.82680442241</v>
      </c>
      <c r="AW36" s="353">
        <f t="shared" si="1"/>
        <v>16638.520755394777</v>
      </c>
      <c r="AX36" s="353">
        <f t="shared" si="2"/>
        <v>6760.3060490276312</v>
      </c>
      <c r="AY36" s="390">
        <v>1374770</v>
      </c>
      <c r="AZ36" s="390">
        <v>-1374770</v>
      </c>
      <c r="BA36" s="401">
        <f t="shared" si="3"/>
        <v>4258.3752710000008</v>
      </c>
      <c r="BB36" s="401">
        <v>-5249</v>
      </c>
      <c r="BC36" s="401">
        <v>1119</v>
      </c>
      <c r="BD36" s="401">
        <v>326</v>
      </c>
      <c r="BE36" s="401">
        <v>-2857</v>
      </c>
      <c r="BG36" s="426">
        <f t="shared" si="4"/>
        <v>0.38910841209605312</v>
      </c>
      <c r="BH36" s="426">
        <f t="shared" si="5"/>
        <v>4.2925196423104738E-2</v>
      </c>
      <c r="BI36" s="426">
        <f t="shared" si="6"/>
        <v>8.530701304494831E-2</v>
      </c>
      <c r="BJ36" s="426">
        <f t="shared" si="7"/>
        <v>0.46901706835598223</v>
      </c>
      <c r="BK36" s="426">
        <f t="shared" si="8"/>
        <v>1.3642310079911646E-2</v>
      </c>
      <c r="BL36" s="425">
        <f t="shared" si="9"/>
        <v>49918232.030422404</v>
      </c>
      <c r="BN36" s="423">
        <f t="shared" si="10"/>
        <v>0.35648177188848473</v>
      </c>
      <c r="BO36" s="423">
        <f t="shared" si="11"/>
        <v>6.8237661596465882E-2</v>
      </c>
      <c r="BP36" s="423">
        <f t="shared" si="12"/>
        <v>0.20938694579150904</v>
      </c>
      <c r="BQ36" s="423">
        <f t="shared" si="13"/>
        <v>0.40000672969073392</v>
      </c>
      <c r="BR36" s="423">
        <f t="shared" si="14"/>
        <v>3.3485191184320501E-2</v>
      </c>
      <c r="BS36" s="423">
        <f t="shared" si="15"/>
        <v>-6.7598300151514232E-2</v>
      </c>
      <c r="BT36" s="425">
        <f t="shared" si="16"/>
        <v>20337348.41922836</v>
      </c>
    </row>
    <row r="37" spans="1:72" x14ac:dyDescent="0.2">
      <c r="A37" s="309">
        <v>46</v>
      </c>
      <c r="B37" s="278" t="s">
        <v>13</v>
      </c>
      <c r="C37" s="278">
        <v>10</v>
      </c>
      <c r="D37" s="279">
        <v>1473</v>
      </c>
      <c r="E37" s="364">
        <v>9703000</v>
      </c>
      <c r="F37" s="279">
        <v>3732175</v>
      </c>
      <c r="G37" s="278">
        <v>480556.42</v>
      </c>
      <c r="H37" s="279">
        <v>543894.37899999996</v>
      </c>
      <c r="I37" s="279">
        <v>5631886.0687586144</v>
      </c>
      <c r="J37" s="279">
        <v>-359393</v>
      </c>
      <c r="K37" s="279">
        <v>81000</v>
      </c>
      <c r="L37" s="280">
        <v>-2960.7299999999996</v>
      </c>
      <c r="M37" s="369">
        <v>410079.59775861306</v>
      </c>
      <c r="N37" s="370">
        <v>278.39755448649902</v>
      </c>
      <c r="P37" s="365">
        <v>3522419.3086036965</v>
      </c>
      <c r="Q37" s="283">
        <v>1681531</v>
      </c>
      <c r="R37" s="279">
        <v>543894.37899999996</v>
      </c>
      <c r="S37" s="279">
        <v>311237.10128543177</v>
      </c>
      <c r="T37" s="280">
        <v>1382691.6524876151</v>
      </c>
      <c r="U37" s="280">
        <v>111752.86703987773</v>
      </c>
      <c r="V37" s="279">
        <v>-359393</v>
      </c>
      <c r="W37" s="279">
        <v>81000</v>
      </c>
      <c r="X37" s="279">
        <v>17810.646749418684</v>
      </c>
      <c r="Y37" s="354">
        <v>248105.33795864647</v>
      </c>
      <c r="Z37" s="355">
        <v>168.43539576282856</v>
      </c>
      <c r="AB37" s="366">
        <v>-161974.25979996659</v>
      </c>
      <c r="AC37" s="349">
        <v>-109.96215872367046</v>
      </c>
      <c r="AE37" s="374">
        <v>114.40642078484902</v>
      </c>
      <c r="AF37" s="350">
        <v>84.962158723671706</v>
      </c>
      <c r="AG37" s="350">
        <v>59.962158723671706</v>
      </c>
      <c r="AH37" s="350">
        <v>34.962158723671706</v>
      </c>
      <c r="AI37" s="350">
        <v>9.9621587236717062</v>
      </c>
      <c r="AJ37" s="408">
        <v>-486</v>
      </c>
      <c r="AK37" s="387">
        <v>-9217</v>
      </c>
      <c r="AL37" s="287">
        <v>0</v>
      </c>
      <c r="AM37" s="287">
        <v>-486</v>
      </c>
      <c r="AN37" s="287">
        <v>-3036</v>
      </c>
      <c r="AO37" s="287">
        <v>-6181</v>
      </c>
      <c r="AP37" s="287">
        <v>3732</v>
      </c>
      <c r="AQ37" s="287">
        <v>2050</v>
      </c>
      <c r="AR37" s="287">
        <v>1682</v>
      </c>
      <c r="AS37" s="287">
        <v>481</v>
      </c>
      <c r="AT37" s="287">
        <v>170</v>
      </c>
      <c r="AU37" s="287">
        <v>311</v>
      </c>
      <c r="AV37" s="353">
        <f t="shared" si="0"/>
        <v>5269.5323387586141</v>
      </c>
      <c r="AW37" s="353">
        <f t="shared" si="1"/>
        <v>3965.9601614150388</v>
      </c>
      <c r="AX37" s="353">
        <f t="shared" si="2"/>
        <v>1303.5721773435755</v>
      </c>
      <c r="AY37" s="390">
        <v>168521</v>
      </c>
      <c r="AZ37" s="390">
        <v>168521</v>
      </c>
      <c r="BA37" s="401">
        <f t="shared" si="3"/>
        <v>543.89437899999996</v>
      </c>
      <c r="BB37" s="401">
        <v>-510</v>
      </c>
      <c r="BC37" s="401">
        <v>25</v>
      </c>
      <c r="BD37" s="401">
        <v>70</v>
      </c>
      <c r="BE37" s="401">
        <v>173</v>
      </c>
      <c r="BG37" s="426">
        <f t="shared" si="4"/>
        <v>0.36915243518075602</v>
      </c>
      <c r="BH37" s="426">
        <f t="shared" si="5"/>
        <v>4.753222254710622E-2</v>
      </c>
      <c r="BI37" s="426">
        <f t="shared" si="6"/>
        <v>5.3797031084816503E-2</v>
      </c>
      <c r="BJ37" s="426">
        <f t="shared" si="7"/>
        <v>0.52150653594911811</v>
      </c>
      <c r="BK37" s="426">
        <f t="shared" si="8"/>
        <v>8.0117752382032562E-3</v>
      </c>
      <c r="BL37" s="425">
        <f t="shared" si="9"/>
        <v>10110118.867758613</v>
      </c>
      <c r="BN37" s="423">
        <f t="shared" si="10"/>
        <v>0.42882692488919949</v>
      </c>
      <c r="BO37" s="423">
        <f t="shared" si="11"/>
        <v>7.9372220348991496E-2</v>
      </c>
      <c r="BP37" s="423">
        <f t="shared" si="12"/>
        <v>0.13870487907216147</v>
      </c>
      <c r="BQ37" s="423">
        <f t="shared" si="13"/>
        <v>0.28946278879770154</v>
      </c>
      <c r="BR37" s="423">
        <f t="shared" si="14"/>
        <v>2.0656759177217165E-2</v>
      </c>
      <c r="BS37" s="423">
        <f t="shared" si="15"/>
        <v>4.2976427714728864E-2</v>
      </c>
      <c r="BT37" s="425">
        <f t="shared" si="16"/>
        <v>3921234.657629007</v>
      </c>
    </row>
    <row r="38" spans="1:72" x14ac:dyDescent="0.2">
      <c r="A38" s="309">
        <v>47</v>
      </c>
      <c r="B38" s="278" t="s">
        <v>221</v>
      </c>
      <c r="C38" s="278">
        <v>19</v>
      </c>
      <c r="D38" s="279">
        <v>1861</v>
      </c>
      <c r="E38" s="364">
        <v>14684000</v>
      </c>
      <c r="F38" s="279">
        <v>5002024</v>
      </c>
      <c r="G38" s="278">
        <v>344872.83</v>
      </c>
      <c r="H38" s="279">
        <v>840509.80250000011</v>
      </c>
      <c r="I38" s="279">
        <v>8757998.8030030858</v>
      </c>
      <c r="J38" s="279">
        <v>89679</v>
      </c>
      <c r="K38" s="279">
        <v>243000</v>
      </c>
      <c r="L38" s="280">
        <v>-3740.6099999999997</v>
      </c>
      <c r="M38" s="369">
        <v>597825.04550308606</v>
      </c>
      <c r="N38" s="370">
        <v>321.23860585872438</v>
      </c>
      <c r="P38" s="365">
        <v>6543631.0361707928</v>
      </c>
      <c r="Q38" s="283">
        <v>2292657</v>
      </c>
      <c r="R38" s="279">
        <v>840509.80250000011</v>
      </c>
      <c r="S38" s="279">
        <v>223360.2870632828</v>
      </c>
      <c r="T38" s="280">
        <v>3395670.4370668074</v>
      </c>
      <c r="U38" s="280">
        <v>-4706.6824652613559</v>
      </c>
      <c r="V38" s="279">
        <v>89679</v>
      </c>
      <c r="W38" s="279">
        <v>243000</v>
      </c>
      <c r="X38" s="279">
        <v>22237.762465877906</v>
      </c>
      <c r="Y38" s="354">
        <v>558776.57045991346</v>
      </c>
      <c r="Z38" s="355">
        <v>300.25608299834147</v>
      </c>
      <c r="AB38" s="366">
        <v>-39048.475043172599</v>
      </c>
      <c r="AC38" s="349">
        <v>-20.982522860382911</v>
      </c>
      <c r="AE38" s="374">
        <v>25.426784921560227</v>
      </c>
      <c r="AF38" s="350">
        <v>0</v>
      </c>
      <c r="AG38" s="350">
        <v>0</v>
      </c>
      <c r="AH38" s="350">
        <v>0</v>
      </c>
      <c r="AI38" s="350">
        <v>0</v>
      </c>
      <c r="AJ38" s="408">
        <v>-383</v>
      </c>
      <c r="AK38" s="387">
        <v>-14301</v>
      </c>
      <c r="AL38" s="287">
        <v>-61</v>
      </c>
      <c r="AM38" s="287">
        <v>-322</v>
      </c>
      <c r="AN38" s="287">
        <v>-6222</v>
      </c>
      <c r="AO38" s="287">
        <v>-8079</v>
      </c>
      <c r="AP38" s="287">
        <v>5002</v>
      </c>
      <c r="AQ38" s="287">
        <v>2709</v>
      </c>
      <c r="AR38" s="287">
        <v>2293</v>
      </c>
      <c r="AS38" s="287">
        <v>345</v>
      </c>
      <c r="AT38" s="287">
        <v>122</v>
      </c>
      <c r="AU38" s="287">
        <v>223</v>
      </c>
      <c r="AV38" s="353">
        <f t="shared" si="0"/>
        <v>8843.9371930030866</v>
      </c>
      <c r="AW38" s="353">
        <f t="shared" si="1"/>
        <v>5315.9751916625173</v>
      </c>
      <c r="AX38" s="353">
        <f t="shared" si="2"/>
        <v>3527.9620013405697</v>
      </c>
      <c r="AY38" s="390">
        <v>47319</v>
      </c>
      <c r="AZ38" s="390">
        <v>47319</v>
      </c>
      <c r="BA38" s="401">
        <f t="shared" si="3"/>
        <v>840.50980250000009</v>
      </c>
      <c r="BB38" s="401">
        <v>-3459</v>
      </c>
      <c r="BC38" s="401">
        <v>2800</v>
      </c>
      <c r="BD38" s="401">
        <v>0</v>
      </c>
      <c r="BE38" s="401">
        <v>277</v>
      </c>
      <c r="BG38" s="426">
        <f t="shared" si="4"/>
        <v>0.32739863568081468</v>
      </c>
      <c r="BH38" s="426">
        <f t="shared" si="5"/>
        <v>2.2573041237983173E-2</v>
      </c>
      <c r="BI38" s="426">
        <f t="shared" si="6"/>
        <v>5.5014082822243765E-2</v>
      </c>
      <c r="BJ38" s="426">
        <f t="shared" si="7"/>
        <v>0.57910910496363832</v>
      </c>
      <c r="BK38" s="426">
        <f t="shared" si="8"/>
        <v>1.5905135295320047E-2</v>
      </c>
      <c r="BL38" s="425">
        <f t="shared" si="9"/>
        <v>15278084.435503086</v>
      </c>
      <c r="BN38" s="423">
        <f t="shared" si="10"/>
        <v>0.32166404897425993</v>
      </c>
      <c r="BO38" s="423">
        <f t="shared" si="11"/>
        <v>3.1337864458935008E-2</v>
      </c>
      <c r="BP38" s="423">
        <f t="shared" si="12"/>
        <v>0.11792509140037326</v>
      </c>
      <c r="BQ38" s="423">
        <f t="shared" si="13"/>
        <v>0.48834066390134007</v>
      </c>
      <c r="BR38" s="423">
        <f t="shared" si="14"/>
        <v>3.4093352778346332E-2</v>
      </c>
      <c r="BS38" s="423">
        <f t="shared" si="15"/>
        <v>6.6389784867454532E-3</v>
      </c>
      <c r="BT38" s="425">
        <f t="shared" si="16"/>
        <v>7127489.0909038521</v>
      </c>
    </row>
    <row r="39" spans="1:72" x14ac:dyDescent="0.2">
      <c r="A39" s="309">
        <v>49</v>
      </c>
      <c r="B39" s="278" t="s">
        <v>223</v>
      </c>
      <c r="C39" s="278">
        <v>1</v>
      </c>
      <c r="D39" s="279">
        <v>269802</v>
      </c>
      <c r="E39" s="364">
        <v>1458548000</v>
      </c>
      <c r="F39" s="279">
        <v>1185533098</v>
      </c>
      <c r="G39" s="278">
        <v>112249878.73</v>
      </c>
      <c r="H39" s="279">
        <v>115437984.27779999</v>
      </c>
      <c r="I39" s="279">
        <v>51749460.009284347</v>
      </c>
      <c r="J39" s="279">
        <v>-16612815</v>
      </c>
      <c r="K39" s="279">
        <v>43961000</v>
      </c>
      <c r="L39" s="280">
        <v>-542302.0199999999</v>
      </c>
      <c r="M39" s="369">
        <v>34312908.037084363</v>
      </c>
      <c r="N39" s="370">
        <v>127.17810852804784</v>
      </c>
      <c r="P39" s="365">
        <v>754968850.60104787</v>
      </c>
      <c r="Q39" s="283">
        <v>377678694</v>
      </c>
      <c r="R39" s="279">
        <v>115437984.27779999</v>
      </c>
      <c r="S39" s="279">
        <v>72699740.179449588</v>
      </c>
      <c r="T39" s="280">
        <v>147308193.41558155</v>
      </c>
      <c r="U39" s="280">
        <v>45097678.850751966</v>
      </c>
      <c r="V39" s="279">
        <v>-16612815</v>
      </c>
      <c r="W39" s="279">
        <v>43961000</v>
      </c>
      <c r="X39" s="279">
        <v>3861991.8500136109</v>
      </c>
      <c r="Y39" s="354">
        <v>34463616.972548842</v>
      </c>
      <c r="Z39" s="355">
        <v>127.73669940381777</v>
      </c>
      <c r="AB39" s="366">
        <v>150708.93546447903</v>
      </c>
      <c r="AC39" s="349">
        <v>0.55859087576993138</v>
      </c>
      <c r="AE39" s="374">
        <v>3.8856711854074035</v>
      </c>
      <c r="AF39" s="350">
        <v>0</v>
      </c>
      <c r="AG39" s="350">
        <v>0</v>
      </c>
      <c r="AH39" s="350">
        <v>0</v>
      </c>
      <c r="AI39" s="350">
        <v>0</v>
      </c>
      <c r="AJ39" s="408">
        <v>-146647</v>
      </c>
      <c r="AK39" s="387">
        <v>-1311901</v>
      </c>
      <c r="AL39" s="287">
        <v>-8565</v>
      </c>
      <c r="AM39" s="287">
        <v>-138082</v>
      </c>
      <c r="AN39" s="287">
        <v>-616887</v>
      </c>
      <c r="AO39" s="287">
        <v>-695014</v>
      </c>
      <c r="AP39" s="287">
        <v>1185533</v>
      </c>
      <c r="AQ39" s="287">
        <v>807854</v>
      </c>
      <c r="AR39" s="287">
        <v>377679</v>
      </c>
      <c r="AS39" s="287">
        <v>112250</v>
      </c>
      <c r="AT39" s="287">
        <v>39550</v>
      </c>
      <c r="AU39" s="287">
        <v>72700</v>
      </c>
      <c r="AV39" s="353">
        <f t="shared" si="0"/>
        <v>34594.342989284341</v>
      </c>
      <c r="AW39" s="353">
        <f t="shared" si="1"/>
        <v>-142247.07613421447</v>
      </c>
      <c r="AX39" s="353">
        <f t="shared" si="2"/>
        <v>176841.41912349881</v>
      </c>
      <c r="AY39" s="390">
        <v>1048362</v>
      </c>
      <c r="AZ39" s="390">
        <v>1048362</v>
      </c>
      <c r="BA39" s="401">
        <f t="shared" si="3"/>
        <v>115437.9842778</v>
      </c>
      <c r="BB39" s="401">
        <v>-326658</v>
      </c>
      <c r="BC39" s="401">
        <v>63520</v>
      </c>
      <c r="BD39" s="401">
        <v>58132</v>
      </c>
      <c r="BE39" s="401">
        <v>-119755</v>
      </c>
      <c r="BG39" s="426">
        <f t="shared" si="4"/>
        <v>0.79442358570072524</v>
      </c>
      <c r="BH39" s="426">
        <f t="shared" si="5"/>
        <v>7.5218440805739667E-2</v>
      </c>
      <c r="BI39" s="426">
        <f t="shared" si="6"/>
        <v>7.7354784569695592E-2</v>
      </c>
      <c r="BJ39" s="426">
        <f t="shared" si="7"/>
        <v>2.3545002298846963E-2</v>
      </c>
      <c r="BK39" s="426">
        <f t="shared" si="8"/>
        <v>2.9458186624992548E-2</v>
      </c>
      <c r="BL39" s="425">
        <f t="shared" si="9"/>
        <v>1492318606.0170844</v>
      </c>
      <c r="BN39" s="423">
        <f t="shared" si="10"/>
        <v>0.48012922645172518</v>
      </c>
      <c r="BO39" s="423">
        <f t="shared" si="11"/>
        <v>9.2420543096880484E-2</v>
      </c>
      <c r="BP39" s="423">
        <f t="shared" si="12"/>
        <v>0.14675212283604891</v>
      </c>
      <c r="BQ39" s="423">
        <f t="shared" si="13"/>
        <v>0.22347933823576646</v>
      </c>
      <c r="BR39" s="423">
        <f t="shared" si="14"/>
        <v>5.5886024971385576E-2</v>
      </c>
      <c r="BS39" s="423">
        <f t="shared" si="15"/>
        <v>1.332744408193341E-3</v>
      </c>
      <c r="BT39" s="425">
        <f t="shared" si="16"/>
        <v>786618837.58074844</v>
      </c>
    </row>
    <row r="40" spans="1:72" x14ac:dyDescent="0.2">
      <c r="A40" s="309">
        <v>989</v>
      </c>
      <c r="B40" s="278" t="s">
        <v>322</v>
      </c>
      <c r="C40" s="278">
        <v>14</v>
      </c>
      <c r="D40" s="279">
        <v>6068</v>
      </c>
      <c r="E40" s="364">
        <v>43476000</v>
      </c>
      <c r="F40" s="279">
        <v>18071558</v>
      </c>
      <c r="G40" s="278">
        <v>1250194.04</v>
      </c>
      <c r="H40" s="279">
        <v>2032883.5550000002</v>
      </c>
      <c r="I40" s="279">
        <v>18628874.697553709</v>
      </c>
      <c r="J40" s="279">
        <v>-404126</v>
      </c>
      <c r="K40" s="279">
        <v>15000</v>
      </c>
      <c r="L40" s="280">
        <v>-12196.679999999998</v>
      </c>
      <c r="M40" s="369">
        <v>-3869419.0274462919</v>
      </c>
      <c r="N40" s="370">
        <v>-637.67617459563144</v>
      </c>
      <c r="P40" s="365">
        <v>18328481.954067796</v>
      </c>
      <c r="Q40" s="283">
        <v>8594749</v>
      </c>
      <c r="R40" s="279">
        <v>2032883.5550000002</v>
      </c>
      <c r="S40" s="279">
        <v>809700.49063941999</v>
      </c>
      <c r="T40" s="280">
        <v>3861444.3216836434</v>
      </c>
      <c r="U40" s="280">
        <v>-292910.11688886909</v>
      </c>
      <c r="V40" s="279">
        <v>-404126</v>
      </c>
      <c r="W40" s="279">
        <v>15000</v>
      </c>
      <c r="X40" s="279">
        <v>74266.259891018402</v>
      </c>
      <c r="Y40" s="354">
        <v>-3637474.4437425844</v>
      </c>
      <c r="Z40" s="355">
        <v>-599.45195183628618</v>
      </c>
      <c r="AB40" s="366">
        <v>231944.58370370744</v>
      </c>
      <c r="AC40" s="349">
        <v>38.224222759345324</v>
      </c>
      <c r="AE40" s="374">
        <v>-33.779960698167883</v>
      </c>
      <c r="AF40" s="350">
        <v>-13.224222759345253</v>
      </c>
      <c r="AG40" s="350">
        <v>0</v>
      </c>
      <c r="AH40" s="350">
        <v>0</v>
      </c>
      <c r="AI40" s="350">
        <v>0</v>
      </c>
      <c r="AJ40" s="408">
        <v>-1324</v>
      </c>
      <c r="AK40" s="387">
        <v>-42152</v>
      </c>
      <c r="AL40" s="287">
        <v>-30</v>
      </c>
      <c r="AM40" s="287">
        <v>-1294</v>
      </c>
      <c r="AN40" s="287">
        <v>-17034</v>
      </c>
      <c r="AO40" s="287">
        <v>-25118</v>
      </c>
      <c r="AP40" s="287">
        <v>18072</v>
      </c>
      <c r="AQ40" s="287">
        <v>9477</v>
      </c>
      <c r="AR40" s="287">
        <v>8595</v>
      </c>
      <c r="AS40" s="287">
        <v>1250</v>
      </c>
      <c r="AT40" s="287">
        <v>440</v>
      </c>
      <c r="AU40" s="287">
        <v>810</v>
      </c>
      <c r="AV40" s="353">
        <f t="shared" si="0"/>
        <v>18212.552017553709</v>
      </c>
      <c r="AW40" s="353">
        <f t="shared" si="1"/>
        <v>15253.120614275418</v>
      </c>
      <c r="AX40" s="353">
        <f t="shared" si="2"/>
        <v>2959.4314032782918</v>
      </c>
      <c r="AY40" s="390">
        <v>204977</v>
      </c>
      <c r="AZ40" s="390">
        <v>-204977</v>
      </c>
      <c r="BA40" s="401">
        <f t="shared" si="3"/>
        <v>2032.8835550000001</v>
      </c>
      <c r="BB40" s="401">
        <v>-3556</v>
      </c>
      <c r="BC40" s="401">
        <v>380</v>
      </c>
      <c r="BD40" s="401">
        <v>270</v>
      </c>
      <c r="BE40" s="401">
        <v>-702</v>
      </c>
      <c r="BG40" s="426">
        <f t="shared" si="4"/>
        <v>0.45641719963299482</v>
      </c>
      <c r="BH40" s="426">
        <f t="shared" si="5"/>
        <v>3.1575034246336717E-2</v>
      </c>
      <c r="BI40" s="426">
        <f t="shared" si="6"/>
        <v>5.1342724260579377E-2</v>
      </c>
      <c r="BJ40" s="426">
        <f t="shared" si="7"/>
        <v>0.46028620025747274</v>
      </c>
      <c r="BK40" s="426">
        <f t="shared" si="8"/>
        <v>3.7884160261638327E-4</v>
      </c>
      <c r="BL40" s="425">
        <f t="shared" si="9"/>
        <v>39594384.292553708</v>
      </c>
      <c r="BN40" s="423">
        <f t="shared" si="10"/>
        <v>0.59637034940891254</v>
      </c>
      <c r="BO40" s="423">
        <f t="shared" si="11"/>
        <v>5.6183300352249825E-2</v>
      </c>
      <c r="BP40" s="423">
        <f t="shared" si="12"/>
        <v>0.14105722878038468</v>
      </c>
      <c r="BQ40" s="423">
        <f t="shared" si="13"/>
        <v>0.21957118547218649</v>
      </c>
      <c r="BR40" s="423">
        <f t="shared" si="14"/>
        <v>1.0408163450885755E-3</v>
      </c>
      <c r="BS40" s="423">
        <f t="shared" si="15"/>
        <v>-1.4222880358822129E-2</v>
      </c>
      <c r="BT40" s="425">
        <f t="shared" si="16"/>
        <v>14411764.448917711</v>
      </c>
    </row>
    <row r="41" spans="1:72" x14ac:dyDescent="0.2">
      <c r="A41" s="309">
        <v>50</v>
      </c>
      <c r="B41" s="278" t="s">
        <v>14</v>
      </c>
      <c r="C41" s="278">
        <v>4</v>
      </c>
      <c r="D41" s="279">
        <v>12128</v>
      </c>
      <c r="E41" s="364">
        <v>66785000</v>
      </c>
      <c r="F41" s="279">
        <v>39280484</v>
      </c>
      <c r="G41" s="278">
        <v>1845491.5350000001</v>
      </c>
      <c r="H41" s="279">
        <v>3135189.5570000005</v>
      </c>
      <c r="I41" s="279">
        <v>24759759.289951675</v>
      </c>
      <c r="J41" s="279">
        <v>-825725</v>
      </c>
      <c r="K41" s="279">
        <v>-172000</v>
      </c>
      <c r="L41" s="280">
        <v>-24377.279999999999</v>
      </c>
      <c r="M41" s="369">
        <v>1262576.6619516748</v>
      </c>
      <c r="N41" s="370">
        <v>104.10427621633202</v>
      </c>
      <c r="P41" s="365">
        <v>26670013.977674417</v>
      </c>
      <c r="Q41" s="283">
        <v>16684398</v>
      </c>
      <c r="R41" s="279">
        <v>3135189.5570000005</v>
      </c>
      <c r="S41" s="279">
        <v>1195250.7799192485</v>
      </c>
      <c r="T41" s="280">
        <v>4871752.1381654795</v>
      </c>
      <c r="U41" s="280">
        <v>673548.60764323571</v>
      </c>
      <c r="V41" s="279">
        <v>-825725</v>
      </c>
      <c r="W41" s="279">
        <v>-172000</v>
      </c>
      <c r="X41" s="279">
        <v>154177.16042231693</v>
      </c>
      <c r="Y41" s="354">
        <v>-953422.73452413455</v>
      </c>
      <c r="Z41" s="355">
        <v>-78.61335212105331</v>
      </c>
      <c r="AB41" s="366">
        <v>-2215999.3964758096</v>
      </c>
      <c r="AC41" s="349">
        <v>-182.71762833738535</v>
      </c>
      <c r="AE41" s="374">
        <v>187.16189039856266</v>
      </c>
      <c r="AF41" s="350">
        <v>157.71762833738535</v>
      </c>
      <c r="AG41" s="350">
        <v>132.71762833738535</v>
      </c>
      <c r="AH41" s="350">
        <v>107.71762833738535</v>
      </c>
      <c r="AI41" s="350">
        <v>82.717628337385349</v>
      </c>
      <c r="AJ41" s="408">
        <v>-3401</v>
      </c>
      <c r="AK41" s="387">
        <v>-63384</v>
      </c>
      <c r="AL41" s="287">
        <v>-153</v>
      </c>
      <c r="AM41" s="287">
        <v>-3248</v>
      </c>
      <c r="AN41" s="287">
        <v>-23422</v>
      </c>
      <c r="AO41" s="287">
        <v>-39962</v>
      </c>
      <c r="AP41" s="287">
        <v>39280</v>
      </c>
      <c r="AQ41" s="287">
        <v>22596</v>
      </c>
      <c r="AR41" s="287">
        <v>16684</v>
      </c>
      <c r="AS41" s="287">
        <v>1845</v>
      </c>
      <c r="AT41" s="287">
        <v>650</v>
      </c>
      <c r="AU41" s="287">
        <v>1195</v>
      </c>
      <c r="AV41" s="353">
        <f t="shared" si="0"/>
        <v>23909.657009951676</v>
      </c>
      <c r="AW41" s="353">
        <f t="shared" si="1"/>
        <v>16920.181857389194</v>
      </c>
      <c r="AX41" s="353">
        <f t="shared" si="2"/>
        <v>6989.4751525624824</v>
      </c>
      <c r="AY41" s="390">
        <v>2269899</v>
      </c>
      <c r="AZ41" s="390">
        <v>2269899</v>
      </c>
      <c r="BA41" s="401">
        <f t="shared" si="3"/>
        <v>3135.1895570000006</v>
      </c>
      <c r="BB41" s="401">
        <v>-5187</v>
      </c>
      <c r="BC41" s="401">
        <v>5</v>
      </c>
      <c r="BD41" s="401">
        <v>100</v>
      </c>
      <c r="BE41" s="401">
        <v>-1683</v>
      </c>
      <c r="BG41" s="426">
        <f t="shared" si="4"/>
        <v>0.57745716692093929</v>
      </c>
      <c r="BH41" s="426">
        <f t="shared" si="5"/>
        <v>2.7130325414973896E-2</v>
      </c>
      <c r="BI41" s="426">
        <f t="shared" si="6"/>
        <v>4.6090004373299853E-2</v>
      </c>
      <c r="BJ41" s="426">
        <f t="shared" si="7"/>
        <v>0.35185105239701497</v>
      </c>
      <c r="BK41" s="426">
        <f t="shared" si="8"/>
        <v>-2.5285491062279567E-3</v>
      </c>
      <c r="BL41" s="425">
        <f t="shared" si="9"/>
        <v>68023199.381951675</v>
      </c>
      <c r="BN41" s="423">
        <f t="shared" si="10"/>
        <v>0.59946141402529463</v>
      </c>
      <c r="BO41" s="423">
        <f t="shared" si="11"/>
        <v>4.2944715334963177E-2</v>
      </c>
      <c r="BP41" s="423">
        <f t="shared" si="12"/>
        <v>0.11264566843086321</v>
      </c>
      <c r="BQ41" s="423">
        <f t="shared" si="13"/>
        <v>0.16957180895480775</v>
      </c>
      <c r="BR41" s="423">
        <f t="shared" si="14"/>
        <v>-6.1798671556714639E-3</v>
      </c>
      <c r="BS41" s="423">
        <f t="shared" si="15"/>
        <v>8.1556260409742731E-2</v>
      </c>
      <c r="BT41" s="425">
        <f t="shared" si="16"/>
        <v>27832313.489481732</v>
      </c>
    </row>
    <row r="42" spans="1:72" x14ac:dyDescent="0.2">
      <c r="A42" s="309">
        <v>51</v>
      </c>
      <c r="B42" s="278" t="s">
        <v>225</v>
      </c>
      <c r="C42" s="278">
        <v>4</v>
      </c>
      <c r="D42" s="279">
        <v>9287</v>
      </c>
      <c r="E42" s="364">
        <v>63340000</v>
      </c>
      <c r="F42" s="279">
        <v>27419259</v>
      </c>
      <c r="G42" s="278">
        <v>1636006.4000000001</v>
      </c>
      <c r="H42" s="279">
        <v>19283451.702099998</v>
      </c>
      <c r="I42" s="279">
        <v>14258072.841220543</v>
      </c>
      <c r="J42" s="279">
        <v>-1051523</v>
      </c>
      <c r="K42" s="279">
        <v>1208000</v>
      </c>
      <c r="L42" s="280">
        <v>2293730.3084558258</v>
      </c>
      <c r="M42" s="369">
        <v>-2880463.3651352832</v>
      </c>
      <c r="N42" s="370">
        <v>-310.16080167279887</v>
      </c>
      <c r="P42" s="365">
        <v>32209204.206511628</v>
      </c>
      <c r="Q42" s="283">
        <v>9199861</v>
      </c>
      <c r="R42" s="279">
        <v>19283451.702099998</v>
      </c>
      <c r="S42" s="279">
        <v>1059575.6677653263</v>
      </c>
      <c r="T42" s="280">
        <v>5677747.9172185753</v>
      </c>
      <c r="U42" s="280">
        <v>-2278331.3483863575</v>
      </c>
      <c r="V42" s="279">
        <v>-1051523</v>
      </c>
      <c r="W42" s="279">
        <v>1208000</v>
      </c>
      <c r="X42" s="279">
        <v>120380.59472612815</v>
      </c>
      <c r="Y42" s="354">
        <v>1009958.3269120418</v>
      </c>
      <c r="Z42" s="355">
        <v>108.74968524949303</v>
      </c>
      <c r="AB42" s="366">
        <v>3890421.692047325</v>
      </c>
      <c r="AC42" s="349">
        <v>418.91048692229191</v>
      </c>
      <c r="AE42" s="374">
        <v>-414.4662248611146</v>
      </c>
      <c r="AF42" s="350">
        <v>-393.91048692229191</v>
      </c>
      <c r="AG42" s="350">
        <v>-368.91048692229191</v>
      </c>
      <c r="AH42" s="350">
        <v>-343.91048692229191</v>
      </c>
      <c r="AI42" s="350">
        <v>-318.91048692229191</v>
      </c>
      <c r="AJ42" s="408">
        <v>-4510</v>
      </c>
      <c r="AK42" s="387">
        <v>-58830</v>
      </c>
      <c r="AL42" s="287">
        <v>-60</v>
      </c>
      <c r="AM42" s="287">
        <v>-4450</v>
      </c>
      <c r="AN42" s="287">
        <v>-27759</v>
      </c>
      <c r="AO42" s="287">
        <v>-31071</v>
      </c>
      <c r="AP42" s="287">
        <v>27419</v>
      </c>
      <c r="AQ42" s="287">
        <v>18219</v>
      </c>
      <c r="AR42" s="287">
        <v>9200</v>
      </c>
      <c r="AS42" s="287">
        <v>1636</v>
      </c>
      <c r="AT42" s="287">
        <v>576</v>
      </c>
      <c r="AU42" s="287">
        <v>1060</v>
      </c>
      <c r="AV42" s="353">
        <f t="shared" si="0"/>
        <v>15500.280149676368</v>
      </c>
      <c r="AW42" s="353">
        <f t="shared" si="1"/>
        <v>17001.53441112932</v>
      </c>
      <c r="AX42" s="353">
        <f t="shared" si="2"/>
        <v>-1501.2542614529534</v>
      </c>
      <c r="AY42" s="390">
        <v>3849148</v>
      </c>
      <c r="AZ42" s="390">
        <v>-3849148</v>
      </c>
      <c r="BA42" s="401">
        <f t="shared" si="3"/>
        <v>19283.451702099999</v>
      </c>
      <c r="BB42" s="401">
        <v>-7118</v>
      </c>
      <c r="BC42" s="401">
        <v>20</v>
      </c>
      <c r="BD42" s="401">
        <v>0</v>
      </c>
      <c r="BE42" s="401">
        <v>-1664</v>
      </c>
      <c r="BG42" s="426">
        <f t="shared" si="4"/>
        <v>0.43693755457808092</v>
      </c>
      <c r="BH42" s="426">
        <f t="shared" si="5"/>
        <v>2.6070457837321197E-2</v>
      </c>
      <c r="BI42" s="426">
        <f t="shared" si="6"/>
        <v>0.30729000482982072</v>
      </c>
      <c r="BJ42" s="426">
        <f t="shared" si="7"/>
        <v>0.21045198894822237</v>
      </c>
      <c r="BK42" s="426">
        <f t="shared" si="8"/>
        <v>1.9249993806554792E-2</v>
      </c>
      <c r="BL42" s="425">
        <f t="shared" si="9"/>
        <v>62753266.943320543</v>
      </c>
      <c r="BN42" s="423">
        <f t="shared" si="10"/>
        <v>0.31452909687352515</v>
      </c>
      <c r="BO42" s="423">
        <f t="shared" si="11"/>
        <v>3.6225262300309799E-2</v>
      </c>
      <c r="BP42" s="423">
        <f t="shared" si="12"/>
        <v>0.65927155295778417</v>
      </c>
      <c r="BQ42" s="423">
        <f t="shared" si="13"/>
        <v>8.027086971857024E-2</v>
      </c>
      <c r="BR42" s="423">
        <f t="shared" si="14"/>
        <v>4.1299661921328855E-2</v>
      </c>
      <c r="BS42" s="423">
        <f t="shared" si="15"/>
        <v>-0.13159644377151825</v>
      </c>
      <c r="BT42" s="425">
        <f t="shared" si="16"/>
        <v>29249634.10841237</v>
      </c>
    </row>
    <row r="43" spans="1:72" x14ac:dyDescent="0.2">
      <c r="A43" s="309">
        <v>52</v>
      </c>
      <c r="B43" s="278" t="s">
        <v>15</v>
      </c>
      <c r="C43" s="278">
        <v>14</v>
      </c>
      <c r="D43" s="279">
        <v>2576</v>
      </c>
      <c r="E43" s="364">
        <v>17304000</v>
      </c>
      <c r="F43" s="279">
        <v>7127269</v>
      </c>
      <c r="G43" s="278">
        <v>620138.26</v>
      </c>
      <c r="H43" s="279">
        <v>723942.23</v>
      </c>
      <c r="I43" s="279">
        <v>7971042.9261589404</v>
      </c>
      <c r="J43" s="279">
        <v>132247</v>
      </c>
      <c r="K43" s="279">
        <v>49000</v>
      </c>
      <c r="L43" s="280">
        <v>-435490.74888713402</v>
      </c>
      <c r="M43" s="369">
        <v>-244869.83495392534</v>
      </c>
      <c r="N43" s="370">
        <v>-95.058165742983434</v>
      </c>
      <c r="P43" s="365">
        <v>6407834.3572961371</v>
      </c>
      <c r="Q43" s="283">
        <v>3314278</v>
      </c>
      <c r="R43" s="279">
        <v>723942.23</v>
      </c>
      <c r="S43" s="279">
        <v>401638.65553724457</v>
      </c>
      <c r="T43" s="280">
        <v>1956536.716916952</v>
      </c>
      <c r="U43" s="280">
        <v>-229938.73106030558</v>
      </c>
      <c r="V43" s="279">
        <v>132247</v>
      </c>
      <c r="W43" s="279">
        <v>49000</v>
      </c>
      <c r="X43" s="279">
        <v>31744.227139833325</v>
      </c>
      <c r="Y43" s="354">
        <v>-28386.258762412705</v>
      </c>
      <c r="Z43" s="355">
        <v>-11.019510389135366</v>
      </c>
      <c r="AB43" s="366">
        <v>216483.57619151263</v>
      </c>
      <c r="AC43" s="349">
        <v>84.038655353848071</v>
      </c>
      <c r="AE43" s="374">
        <v>-79.594393292670745</v>
      </c>
      <c r="AF43" s="350">
        <v>-59.038655353848071</v>
      </c>
      <c r="AG43" s="350">
        <v>-34.038655353848071</v>
      </c>
      <c r="AH43" s="350">
        <v>-9.0386553538480712</v>
      </c>
      <c r="AI43" s="350">
        <v>0</v>
      </c>
      <c r="AJ43" s="408">
        <v>-473</v>
      </c>
      <c r="AK43" s="387">
        <v>-16831</v>
      </c>
      <c r="AL43" s="287">
        <v>-92</v>
      </c>
      <c r="AM43" s="287">
        <v>-381</v>
      </c>
      <c r="AN43" s="287">
        <v>-6027</v>
      </c>
      <c r="AO43" s="287">
        <v>-10804</v>
      </c>
      <c r="AP43" s="287">
        <v>7127</v>
      </c>
      <c r="AQ43" s="287">
        <v>3813</v>
      </c>
      <c r="AR43" s="287">
        <v>3314</v>
      </c>
      <c r="AS43" s="287">
        <v>620</v>
      </c>
      <c r="AT43" s="287">
        <v>218</v>
      </c>
      <c r="AU43" s="287">
        <v>402</v>
      </c>
      <c r="AV43" s="353">
        <f t="shared" si="0"/>
        <v>7667.7991772718069</v>
      </c>
      <c r="AW43" s="353">
        <f t="shared" si="1"/>
        <v>6013.9893485370803</v>
      </c>
      <c r="AX43" s="353">
        <f t="shared" si="2"/>
        <v>1653.8098287347266</v>
      </c>
      <c r="AY43" s="390">
        <v>205035</v>
      </c>
      <c r="AZ43" s="390">
        <v>-205035</v>
      </c>
      <c r="BA43" s="401">
        <f t="shared" si="3"/>
        <v>723.94223</v>
      </c>
      <c r="BB43" s="401">
        <v>-1740</v>
      </c>
      <c r="BC43" s="401">
        <v>0</v>
      </c>
      <c r="BD43" s="401">
        <v>15</v>
      </c>
      <c r="BE43" s="401">
        <v>-1596</v>
      </c>
      <c r="BG43" s="426">
        <f t="shared" si="4"/>
        <v>0.42874299794255444</v>
      </c>
      <c r="BH43" s="426">
        <f t="shared" si="5"/>
        <v>3.7304602468530276E-2</v>
      </c>
      <c r="BI43" s="426">
        <f t="shared" si="6"/>
        <v>4.3548961324094582E-2</v>
      </c>
      <c r="BJ43" s="426">
        <f t="shared" si="7"/>
        <v>0.48745582861248604</v>
      </c>
      <c r="BK43" s="426">
        <f t="shared" si="8"/>
        <v>2.9476096523345994E-3</v>
      </c>
      <c r="BL43" s="425">
        <f t="shared" si="9"/>
        <v>16623639.416158941</v>
      </c>
      <c r="BN43" s="423">
        <f t="shared" si="10"/>
        <v>0.5395501782962111</v>
      </c>
      <c r="BO43" s="423">
        <f t="shared" si="11"/>
        <v>6.5385042596236898E-2</v>
      </c>
      <c r="BP43" s="423">
        <f t="shared" si="12"/>
        <v>0.11785467582159875</v>
      </c>
      <c r="BQ43" s="423">
        <f t="shared" si="13"/>
        <v>0.30261195456264434</v>
      </c>
      <c r="BR43" s="423">
        <f t="shared" si="14"/>
        <v>7.9769888755603317E-3</v>
      </c>
      <c r="BS43" s="423">
        <f t="shared" si="15"/>
        <v>-3.337884015225142E-2</v>
      </c>
      <c r="BT43" s="425">
        <f t="shared" si="16"/>
        <v>6142668.714271971</v>
      </c>
    </row>
    <row r="44" spans="1:72" x14ac:dyDescent="0.2">
      <c r="A44" s="309">
        <v>61</v>
      </c>
      <c r="B44" s="278" t="s">
        <v>16</v>
      </c>
      <c r="C44" s="278">
        <v>5</v>
      </c>
      <c r="D44" s="279">
        <v>17422</v>
      </c>
      <c r="E44" s="364">
        <v>99783000</v>
      </c>
      <c r="F44" s="279">
        <v>53070294</v>
      </c>
      <c r="G44" s="278">
        <v>3224468.72</v>
      </c>
      <c r="H44" s="279">
        <v>5390917.8892999999</v>
      </c>
      <c r="I44" s="279">
        <v>39183441.675010487</v>
      </c>
      <c r="J44" s="279">
        <v>992953</v>
      </c>
      <c r="K44" s="279">
        <v>-357000</v>
      </c>
      <c r="L44" s="280">
        <v>-35018.219999999994</v>
      </c>
      <c r="M44" s="369">
        <v>1757093.5043104899</v>
      </c>
      <c r="N44" s="370">
        <v>100.85486765643955</v>
      </c>
      <c r="P44" s="365">
        <v>36620203.246753246</v>
      </c>
      <c r="Q44" s="283">
        <v>22715382</v>
      </c>
      <c r="R44" s="279">
        <v>5390917.8892999999</v>
      </c>
      <c r="S44" s="279">
        <v>2088358.9435728414</v>
      </c>
      <c r="T44" s="280">
        <v>6117567.3949999548</v>
      </c>
      <c r="U44" s="280">
        <v>-13406.425871986219</v>
      </c>
      <c r="V44" s="279">
        <v>992953</v>
      </c>
      <c r="W44" s="279">
        <v>-357000</v>
      </c>
      <c r="X44" s="279">
        <v>215585.04249322007</v>
      </c>
      <c r="Y44" s="354">
        <v>530154.59774078429</v>
      </c>
      <c r="Z44" s="355">
        <v>30.430180102214688</v>
      </c>
      <c r="AB44" s="366">
        <v>-1226938.9065697056</v>
      </c>
      <c r="AC44" s="349">
        <v>-70.42468755422486</v>
      </c>
      <c r="AE44" s="374">
        <v>74.868949615402187</v>
      </c>
      <c r="AF44" s="350">
        <v>45.42468755422486</v>
      </c>
      <c r="AG44" s="350">
        <v>20.42468755422486</v>
      </c>
      <c r="AH44" s="350">
        <v>0</v>
      </c>
      <c r="AI44" s="350">
        <v>0</v>
      </c>
      <c r="AJ44" s="408">
        <v>-6380</v>
      </c>
      <c r="AK44" s="387">
        <v>-93403</v>
      </c>
      <c r="AL44" s="287">
        <v>0</v>
      </c>
      <c r="AM44" s="287">
        <v>-6380</v>
      </c>
      <c r="AN44" s="287">
        <v>-30240</v>
      </c>
      <c r="AO44" s="287">
        <v>-63163</v>
      </c>
      <c r="AP44" s="287">
        <v>53070</v>
      </c>
      <c r="AQ44" s="287">
        <v>30355</v>
      </c>
      <c r="AR44" s="287">
        <v>22715</v>
      </c>
      <c r="AS44" s="287">
        <v>3224</v>
      </c>
      <c r="AT44" s="287">
        <v>1136</v>
      </c>
      <c r="AU44" s="287">
        <v>2088</v>
      </c>
      <c r="AV44" s="353">
        <f t="shared" si="0"/>
        <v>40141.37645501049</v>
      </c>
      <c r="AW44" s="353">
        <f t="shared" si="1"/>
        <v>31739.895645682984</v>
      </c>
      <c r="AX44" s="353">
        <f t="shared" si="2"/>
        <v>8401.480809327506</v>
      </c>
      <c r="AY44" s="390">
        <v>1304367</v>
      </c>
      <c r="AZ44" s="390">
        <v>1304367</v>
      </c>
      <c r="BA44" s="401">
        <f t="shared" si="3"/>
        <v>5390.9178892999998</v>
      </c>
      <c r="BB44" s="401">
        <v>-5100</v>
      </c>
      <c r="BC44" s="401">
        <v>175</v>
      </c>
      <c r="BD44" s="401">
        <v>210</v>
      </c>
      <c r="BE44" s="401">
        <v>-4</v>
      </c>
      <c r="BG44" s="426">
        <f t="shared" si="4"/>
        <v>0.52283389624955046</v>
      </c>
      <c r="BH44" s="426">
        <f t="shared" si="5"/>
        <v>3.1766576311267482E-2</v>
      </c>
      <c r="BI44" s="426">
        <f t="shared" si="6"/>
        <v>5.3109835879637704E-2</v>
      </c>
      <c r="BJ44" s="426">
        <f t="shared" si="7"/>
        <v>0.39580675707572727</v>
      </c>
      <c r="BK44" s="426">
        <f t="shared" si="8"/>
        <v>-3.5170655161829239E-3</v>
      </c>
      <c r="BL44" s="425">
        <f t="shared" si="9"/>
        <v>101505075.28431049</v>
      </c>
      <c r="BN44" s="423">
        <f t="shared" si="10"/>
        <v>0.59403486094471436</v>
      </c>
      <c r="BO44" s="423">
        <f t="shared" si="11"/>
        <v>5.4613125795020458E-2</v>
      </c>
      <c r="BP44" s="423">
        <f t="shared" si="12"/>
        <v>0.14097905809969202</v>
      </c>
      <c r="BQ44" s="423">
        <f t="shared" si="13"/>
        <v>0.1855981603021126</v>
      </c>
      <c r="BR44" s="423">
        <f t="shared" si="14"/>
        <v>-9.3359841079169621E-3</v>
      </c>
      <c r="BS44" s="423">
        <f t="shared" si="15"/>
        <v>3.4110778966377424E-2</v>
      </c>
      <c r="BT44" s="425">
        <f t="shared" si="16"/>
        <v>38239139.642200351</v>
      </c>
    </row>
    <row r="45" spans="1:72" x14ac:dyDescent="0.2">
      <c r="A45" s="309">
        <v>75</v>
      </c>
      <c r="B45" s="278" t="s">
        <v>229</v>
      </c>
      <c r="C45" s="278">
        <v>8</v>
      </c>
      <c r="D45" s="279">
        <v>20851</v>
      </c>
      <c r="E45" s="364">
        <v>117951000</v>
      </c>
      <c r="F45" s="279">
        <v>71846298</v>
      </c>
      <c r="G45" s="278">
        <v>4344076.6550000003</v>
      </c>
      <c r="H45" s="279">
        <v>6932801.9470000006</v>
      </c>
      <c r="I45" s="279">
        <v>39336404.006258972</v>
      </c>
      <c r="J45" s="279">
        <v>-1906815</v>
      </c>
      <c r="K45" s="279">
        <v>1456000</v>
      </c>
      <c r="L45" s="280">
        <v>-41910.509999999995</v>
      </c>
      <c r="M45" s="369">
        <v>4099676.1182589624</v>
      </c>
      <c r="N45" s="370">
        <v>196.61772184830284</v>
      </c>
      <c r="P45" s="365">
        <v>42888744.501587301</v>
      </c>
      <c r="Q45" s="283">
        <v>31375108</v>
      </c>
      <c r="R45" s="279">
        <v>6932801.9470000006</v>
      </c>
      <c r="S45" s="279">
        <v>2813484.0563859595</v>
      </c>
      <c r="T45" s="280">
        <v>8024169.8839524835</v>
      </c>
      <c r="U45" s="280">
        <v>-1638215.458916046</v>
      </c>
      <c r="V45" s="279">
        <v>-1906815</v>
      </c>
      <c r="W45" s="279">
        <v>1456000</v>
      </c>
      <c r="X45" s="279">
        <v>266712.7507228154</v>
      </c>
      <c r="Y45" s="354">
        <v>4434501.677557908</v>
      </c>
      <c r="Z45" s="355">
        <v>212.67573150246548</v>
      </c>
      <c r="AB45" s="366">
        <v>334825.55929894559</v>
      </c>
      <c r="AC45" s="349">
        <v>16.058009654162657</v>
      </c>
      <c r="AE45" s="374">
        <v>-11.613747592985305</v>
      </c>
      <c r="AF45" s="350">
        <v>0</v>
      </c>
      <c r="AG45" s="350">
        <v>0</v>
      </c>
      <c r="AH45" s="350">
        <v>0</v>
      </c>
      <c r="AI45" s="350">
        <v>0</v>
      </c>
      <c r="AJ45" s="408">
        <v>-9862</v>
      </c>
      <c r="AK45" s="387">
        <v>-108089</v>
      </c>
      <c r="AL45" s="287">
        <v>-210</v>
      </c>
      <c r="AM45" s="287">
        <v>-9652</v>
      </c>
      <c r="AN45" s="287">
        <v>-33237</v>
      </c>
      <c r="AO45" s="287">
        <v>-74852</v>
      </c>
      <c r="AP45" s="287">
        <v>71846</v>
      </c>
      <c r="AQ45" s="287">
        <v>40471</v>
      </c>
      <c r="AR45" s="287">
        <v>31375</v>
      </c>
      <c r="AS45" s="287">
        <v>4344</v>
      </c>
      <c r="AT45" s="287">
        <v>1531</v>
      </c>
      <c r="AU45" s="287">
        <v>2813</v>
      </c>
      <c r="AV45" s="353">
        <f t="shared" si="0"/>
        <v>37387.678496258974</v>
      </c>
      <c r="AW45" s="353">
        <f t="shared" si="1"/>
        <v>33150.697322283871</v>
      </c>
      <c r="AX45" s="353">
        <f t="shared" si="2"/>
        <v>4236.9811739751012</v>
      </c>
      <c r="AY45" s="390">
        <v>242158</v>
      </c>
      <c r="AZ45" s="390">
        <v>-242158</v>
      </c>
      <c r="BA45" s="401">
        <f t="shared" si="3"/>
        <v>6932.8019470000008</v>
      </c>
      <c r="BB45" s="401">
        <v>-13336</v>
      </c>
      <c r="BC45" s="401">
        <v>54</v>
      </c>
      <c r="BD45" s="401">
        <v>1095</v>
      </c>
      <c r="BE45" s="401">
        <v>-2687</v>
      </c>
      <c r="BG45" s="426">
        <f t="shared" si="4"/>
        <v>0.58886177269165496</v>
      </c>
      <c r="BH45" s="426">
        <f t="shared" si="5"/>
        <v>3.5604627531007023E-2</v>
      </c>
      <c r="BI45" s="426">
        <f t="shared" si="6"/>
        <v>5.6822162837542128E-2</v>
      </c>
      <c r="BJ45" s="426">
        <f t="shared" si="7"/>
        <v>0.3067778681282331</v>
      </c>
      <c r="BK45" s="426">
        <f t="shared" si="8"/>
        <v>1.193356881156284E-2</v>
      </c>
      <c r="BL45" s="425">
        <f t="shared" si="9"/>
        <v>122008765.60825896</v>
      </c>
      <c r="BN45" s="423">
        <f t="shared" si="10"/>
        <v>0.6702024299402094</v>
      </c>
      <c r="BO45" s="423">
        <f t="shared" si="11"/>
        <v>6.0098720654217577E-2</v>
      </c>
      <c r="BP45" s="423">
        <f t="shared" si="12"/>
        <v>0.14809130573107876</v>
      </c>
      <c r="BQ45" s="423">
        <f t="shared" si="13"/>
        <v>9.5678718514703207E-2</v>
      </c>
      <c r="BR45" s="423">
        <f t="shared" si="14"/>
        <v>3.1101557897201336E-2</v>
      </c>
      <c r="BS45" s="423">
        <f t="shared" si="15"/>
        <v>-5.1727327374101496E-3</v>
      </c>
      <c r="BT45" s="425">
        <f t="shared" si="16"/>
        <v>46814375.177361056</v>
      </c>
    </row>
    <row r="46" spans="1:72" x14ac:dyDescent="0.2">
      <c r="A46" s="309">
        <v>235</v>
      </c>
      <c r="B46" s="278" t="s">
        <v>258</v>
      </c>
      <c r="C46" s="278">
        <v>1</v>
      </c>
      <c r="D46" s="279">
        <v>9486</v>
      </c>
      <c r="E46" s="364">
        <v>62759000</v>
      </c>
      <c r="F46" s="279">
        <v>58504311</v>
      </c>
      <c r="G46" s="278">
        <v>1819580.03</v>
      </c>
      <c r="H46" s="279">
        <v>4713167.5117999986</v>
      </c>
      <c r="I46" s="279">
        <v>-2993032.283751443</v>
      </c>
      <c r="J46" s="279">
        <v>2088294</v>
      </c>
      <c r="K46" s="279">
        <v>379000</v>
      </c>
      <c r="L46" s="280">
        <v>-19066.859999999997</v>
      </c>
      <c r="M46" s="369">
        <v>1771387.1180485568</v>
      </c>
      <c r="N46" s="370">
        <v>186.73699325833405</v>
      </c>
      <c r="P46" s="365">
        <v>33432427</v>
      </c>
      <c r="Q46" s="283">
        <v>15874331</v>
      </c>
      <c r="R46" s="279">
        <v>4713167.5117999986</v>
      </c>
      <c r="S46" s="279">
        <v>1178468.9383487147</v>
      </c>
      <c r="T46" s="280">
        <v>3225724.9239122644</v>
      </c>
      <c r="U46" s="280">
        <v>6294477.9579295684</v>
      </c>
      <c r="V46" s="279">
        <v>2088294</v>
      </c>
      <c r="W46" s="279">
        <v>379000</v>
      </c>
      <c r="X46" s="279">
        <v>153608.20371928855</v>
      </c>
      <c r="Y46" s="354">
        <v>474645.53570983559</v>
      </c>
      <c r="Z46" s="355">
        <v>50.036425860197724</v>
      </c>
      <c r="AB46" s="366">
        <v>-1296741.5823387213</v>
      </c>
      <c r="AC46" s="349">
        <v>-136.70056739813634</v>
      </c>
      <c r="AE46" s="374">
        <v>141.14482945931366</v>
      </c>
      <c r="AF46" s="350">
        <v>111.70056739813634</v>
      </c>
      <c r="AG46" s="350">
        <v>86.700567398136343</v>
      </c>
      <c r="AH46" s="350">
        <v>61.700567398136343</v>
      </c>
      <c r="AI46" s="350">
        <v>36.700567398136343</v>
      </c>
      <c r="AJ46" s="408">
        <v>-7650</v>
      </c>
      <c r="AK46" s="387">
        <v>-55109</v>
      </c>
      <c r="AL46" s="287">
        <v>-5</v>
      </c>
      <c r="AM46" s="287">
        <v>-7645</v>
      </c>
      <c r="AN46" s="287">
        <v>-25787</v>
      </c>
      <c r="AO46" s="287">
        <v>-29322</v>
      </c>
      <c r="AP46" s="287">
        <v>58504</v>
      </c>
      <c r="AQ46" s="287">
        <v>42630</v>
      </c>
      <c r="AR46" s="287">
        <v>15874</v>
      </c>
      <c r="AS46" s="287">
        <v>1820</v>
      </c>
      <c r="AT46" s="287">
        <v>642</v>
      </c>
      <c r="AU46" s="287">
        <v>1178</v>
      </c>
      <c r="AV46" s="353">
        <f t="shared" si="0"/>
        <v>-923.80514375144298</v>
      </c>
      <c r="AW46" s="353">
        <f t="shared" si="1"/>
        <v>-13871.201877844325</v>
      </c>
      <c r="AX46" s="353">
        <f t="shared" si="2"/>
        <v>12947.396734092883</v>
      </c>
      <c r="AY46" s="390">
        <v>1338900</v>
      </c>
      <c r="AZ46" s="390">
        <v>1338900</v>
      </c>
      <c r="BA46" s="401">
        <f t="shared" si="3"/>
        <v>4713.1675117999985</v>
      </c>
      <c r="BB46" s="401">
        <v>-16857</v>
      </c>
      <c r="BC46" s="401">
        <v>0</v>
      </c>
      <c r="BD46" s="401">
        <v>5294</v>
      </c>
      <c r="BE46" s="401">
        <v>-10066</v>
      </c>
      <c r="BG46" s="426">
        <f t="shared" si="4"/>
        <v>0.90688441603705805</v>
      </c>
      <c r="BH46" s="426">
        <f t="shared" si="5"/>
        <v>2.8205592797071702E-2</v>
      </c>
      <c r="BI46" s="426">
        <f t="shared" si="6"/>
        <v>7.3059541998940478E-2</v>
      </c>
      <c r="BJ46" s="426">
        <f t="shared" si="7"/>
        <v>-1.4024488727442625E-2</v>
      </c>
      <c r="BK46" s="426">
        <f t="shared" si="8"/>
        <v>5.8749378943723481E-3</v>
      </c>
      <c r="BL46" s="425">
        <f t="shared" si="9"/>
        <v>64511320.258048557</v>
      </c>
      <c r="BN46" s="423">
        <f t="shared" si="10"/>
        <v>0.45235855061393804</v>
      </c>
      <c r="BO46" s="423">
        <f t="shared" si="11"/>
        <v>3.3581919193632216E-2</v>
      </c>
      <c r="BP46" s="423">
        <f t="shared" si="12"/>
        <v>0.13430749456078167</v>
      </c>
      <c r="BQ46" s="423">
        <f t="shared" si="13"/>
        <v>0.33079837029203879</v>
      </c>
      <c r="BR46" s="423">
        <f t="shared" si="14"/>
        <v>1.0800070294784865E-2</v>
      </c>
      <c r="BS46" s="423">
        <f t="shared" si="15"/>
        <v>3.8153595044824282E-2</v>
      </c>
      <c r="BT46" s="425">
        <f t="shared" si="16"/>
        <v>35092364.1842416</v>
      </c>
    </row>
    <row r="47" spans="1:72" x14ac:dyDescent="0.2">
      <c r="A47" s="309">
        <v>304</v>
      </c>
      <c r="B47" s="278" t="s">
        <v>267</v>
      </c>
      <c r="C47" s="278">
        <v>2</v>
      </c>
      <c r="D47" s="279">
        <v>895</v>
      </c>
      <c r="E47" s="364">
        <v>6232000</v>
      </c>
      <c r="F47" s="279">
        <v>2566726</v>
      </c>
      <c r="G47" s="278">
        <v>173226.13999999998</v>
      </c>
      <c r="H47" s="279">
        <v>1429121.4876999999</v>
      </c>
      <c r="I47" s="279">
        <v>2468134.9743334581</v>
      </c>
      <c r="J47" s="279">
        <v>-101233</v>
      </c>
      <c r="K47" s="279">
        <v>-22000</v>
      </c>
      <c r="L47" s="280">
        <v>-1798.9499999999998</v>
      </c>
      <c r="M47" s="369">
        <v>283774.55203345866</v>
      </c>
      <c r="N47" s="370">
        <v>317.06653858486999</v>
      </c>
      <c r="P47" s="365">
        <v>2092793.5277044857</v>
      </c>
      <c r="Q47" s="283">
        <v>970689</v>
      </c>
      <c r="R47" s="279">
        <v>1429121.4876999999</v>
      </c>
      <c r="S47" s="279">
        <v>112191.61671061305</v>
      </c>
      <c r="T47" s="280">
        <v>214056.11101668666</v>
      </c>
      <c r="U47" s="280">
        <v>-301578.38813323225</v>
      </c>
      <c r="V47" s="279">
        <v>-101233</v>
      </c>
      <c r="W47" s="279">
        <v>-22000</v>
      </c>
      <c r="X47" s="279">
        <v>10843.464059135536</v>
      </c>
      <c r="Y47" s="354">
        <v>219296.7636487172</v>
      </c>
      <c r="Z47" s="355">
        <v>245.02431692594101</v>
      </c>
      <c r="AB47" s="366">
        <v>-64477.788384741463</v>
      </c>
      <c r="AC47" s="349">
        <v>-72.042221658929009</v>
      </c>
      <c r="AE47" s="374">
        <v>76.486483720106293</v>
      </c>
      <c r="AF47" s="350">
        <v>47.04222165892898</v>
      </c>
      <c r="AG47" s="350">
        <v>22.04222165892898</v>
      </c>
      <c r="AH47" s="350">
        <v>0</v>
      </c>
      <c r="AI47" s="350">
        <v>0</v>
      </c>
      <c r="AJ47" s="408">
        <v>-274</v>
      </c>
      <c r="AK47" s="387">
        <v>-5958</v>
      </c>
      <c r="AL47" s="287">
        <v>-5</v>
      </c>
      <c r="AM47" s="287">
        <v>-269</v>
      </c>
      <c r="AN47" s="287">
        <v>-1824</v>
      </c>
      <c r="AO47" s="287">
        <v>-4134</v>
      </c>
      <c r="AP47" s="287">
        <v>2567</v>
      </c>
      <c r="AQ47" s="287">
        <v>1596</v>
      </c>
      <c r="AR47" s="287">
        <v>971</v>
      </c>
      <c r="AS47" s="287">
        <v>173</v>
      </c>
      <c r="AT47" s="287">
        <v>61</v>
      </c>
      <c r="AU47" s="287">
        <v>112</v>
      </c>
      <c r="AV47" s="353">
        <f t="shared" si="0"/>
        <v>2365.1030243334581</v>
      </c>
      <c r="AW47" s="353">
        <f t="shared" si="1"/>
        <v>2485.4028985205086</v>
      </c>
      <c r="AX47" s="353">
        <f t="shared" si="2"/>
        <v>-120.29987418705046</v>
      </c>
      <c r="AY47" s="390">
        <v>68455</v>
      </c>
      <c r="AZ47" s="390">
        <v>68455</v>
      </c>
      <c r="BA47" s="401">
        <f t="shared" si="3"/>
        <v>1429.1214877</v>
      </c>
      <c r="BB47" s="401">
        <v>-2008</v>
      </c>
      <c r="BC47" s="401">
        <v>840</v>
      </c>
      <c r="BD47" s="401">
        <v>0</v>
      </c>
      <c r="BE47" s="401">
        <v>-892</v>
      </c>
      <c r="BG47" s="426">
        <f t="shared" si="4"/>
        <v>0.39403371409600441</v>
      </c>
      <c r="BH47" s="426">
        <f t="shared" si="5"/>
        <v>2.6592997975909555E-2</v>
      </c>
      <c r="BI47" s="426">
        <f t="shared" si="6"/>
        <v>0.21939312871449396</v>
      </c>
      <c r="BJ47" s="426">
        <f t="shared" si="7"/>
        <v>0.36335751297480845</v>
      </c>
      <c r="BK47" s="426">
        <f t="shared" si="8"/>
        <v>-3.3773537612164666E-3</v>
      </c>
      <c r="BL47" s="425">
        <f t="shared" si="9"/>
        <v>6513975.6020334587</v>
      </c>
      <c r="BN47" s="423">
        <f t="shared" si="10"/>
        <v>0.40962488350632276</v>
      </c>
      <c r="BO47" s="423">
        <f t="shared" si="11"/>
        <v>4.7344183281639002E-2</v>
      </c>
      <c r="BP47" s="423">
        <f t="shared" si="12"/>
        <v>0.60308061893716225</v>
      </c>
      <c r="BQ47" s="423">
        <f t="shared" si="13"/>
        <v>-7.9653584618831222E-2</v>
      </c>
      <c r="BR47" s="423">
        <f t="shared" si="14"/>
        <v>-9.2838668586324759E-3</v>
      </c>
      <c r="BS47" s="423">
        <f t="shared" si="15"/>
        <v>2.8887765752339655E-2</v>
      </c>
      <c r="BT47" s="425">
        <f t="shared" si="16"/>
        <v>2369702.2302235626</v>
      </c>
    </row>
    <row r="48" spans="1:72" x14ac:dyDescent="0.2">
      <c r="A48" s="309">
        <v>69</v>
      </c>
      <c r="B48" s="278" t="s">
        <v>17</v>
      </c>
      <c r="C48" s="278">
        <v>17</v>
      </c>
      <c r="D48" s="279">
        <v>7438</v>
      </c>
      <c r="E48" s="364">
        <v>47533000</v>
      </c>
      <c r="F48" s="279">
        <v>19923932</v>
      </c>
      <c r="G48" s="278">
        <v>1283922.3499999999</v>
      </c>
      <c r="H48" s="279">
        <v>1918813.9335</v>
      </c>
      <c r="I48" s="279">
        <v>23323283.169336282</v>
      </c>
      <c r="J48" s="279">
        <v>341177</v>
      </c>
      <c r="K48" s="279">
        <v>1167000</v>
      </c>
      <c r="L48" s="280">
        <v>-14950.38</v>
      </c>
      <c r="M48" s="369">
        <v>440078.83283628256</v>
      </c>
      <c r="N48" s="370">
        <v>59.166285673068373</v>
      </c>
      <c r="P48" s="365">
        <v>19239871.892758619</v>
      </c>
      <c r="Q48" s="283">
        <v>9553681</v>
      </c>
      <c r="R48" s="279">
        <v>1918813.9335</v>
      </c>
      <c r="S48" s="279">
        <v>831544.96300263668</v>
      </c>
      <c r="T48" s="280">
        <v>8605161.2760723457</v>
      </c>
      <c r="U48" s="280">
        <v>-1272839.917542557</v>
      </c>
      <c r="V48" s="279">
        <v>341177</v>
      </c>
      <c r="W48" s="279">
        <v>1167000</v>
      </c>
      <c r="X48" s="279">
        <v>88019.620059000692</v>
      </c>
      <c r="Y48" s="354">
        <v>1992685.982332807</v>
      </c>
      <c r="Z48" s="355">
        <v>267.90615519397784</v>
      </c>
      <c r="AB48" s="366">
        <v>1552607.1494965246</v>
      </c>
      <c r="AC48" s="349">
        <v>208.73986952090945</v>
      </c>
      <c r="AE48" s="374">
        <v>-204.29560745973214</v>
      </c>
      <c r="AF48" s="350">
        <v>-183.73986952090945</v>
      </c>
      <c r="AG48" s="350">
        <v>-158.73986952090945</v>
      </c>
      <c r="AH48" s="350">
        <v>-133.73986952090945</v>
      </c>
      <c r="AI48" s="350">
        <v>-108.73986952090945</v>
      </c>
      <c r="AJ48" s="408">
        <v>-1700</v>
      </c>
      <c r="AK48" s="387">
        <v>-45833</v>
      </c>
      <c r="AL48" s="287">
        <v>0</v>
      </c>
      <c r="AM48" s="287">
        <v>-1700</v>
      </c>
      <c r="AN48" s="287">
        <v>-17540</v>
      </c>
      <c r="AO48" s="287">
        <v>-28293</v>
      </c>
      <c r="AP48" s="287">
        <v>19924</v>
      </c>
      <c r="AQ48" s="287">
        <v>10370</v>
      </c>
      <c r="AR48" s="287">
        <v>9554</v>
      </c>
      <c r="AS48" s="287">
        <v>1284</v>
      </c>
      <c r="AT48" s="287">
        <v>452</v>
      </c>
      <c r="AU48" s="287">
        <v>832</v>
      </c>
      <c r="AV48" s="353">
        <f t="shared" si="0"/>
        <v>23649.509789336284</v>
      </c>
      <c r="AW48" s="353">
        <f t="shared" si="1"/>
        <v>17495.562159091984</v>
      </c>
      <c r="AX48" s="353">
        <f t="shared" si="2"/>
        <v>6153.9476302443009</v>
      </c>
      <c r="AY48" s="390">
        <v>1519551</v>
      </c>
      <c r="AZ48" s="390">
        <v>-1519551</v>
      </c>
      <c r="BA48" s="401">
        <f t="shared" si="3"/>
        <v>1918.8139335000001</v>
      </c>
      <c r="BB48" s="401">
        <v>-4857</v>
      </c>
      <c r="BC48" s="401">
        <v>255</v>
      </c>
      <c r="BD48" s="401">
        <v>200</v>
      </c>
      <c r="BE48" s="401">
        <v>-1773</v>
      </c>
      <c r="BG48" s="426">
        <f t="shared" si="4"/>
        <v>0.41544431867465176</v>
      </c>
      <c r="BH48" s="426">
        <f t="shared" si="5"/>
        <v>2.6771735916731081E-2</v>
      </c>
      <c r="BI48" s="426">
        <f t="shared" si="6"/>
        <v>4.0010192128056656E-2</v>
      </c>
      <c r="BJ48" s="426">
        <f t="shared" si="7"/>
        <v>0.49344002638903534</v>
      </c>
      <c r="BK48" s="426">
        <f t="shared" si="8"/>
        <v>2.4333726891525156E-2</v>
      </c>
      <c r="BL48" s="425">
        <f t="shared" si="9"/>
        <v>47958128.452836283</v>
      </c>
      <c r="BN48" s="423">
        <f t="shared" si="10"/>
        <v>0.48681208010854876</v>
      </c>
      <c r="BO48" s="423">
        <f t="shared" si="11"/>
        <v>4.2371744790630939E-2</v>
      </c>
      <c r="BP48" s="423">
        <f t="shared" si="12"/>
        <v>9.7774020538094336E-2</v>
      </c>
      <c r="BQ48" s="423">
        <f t="shared" si="13"/>
        <v>0.39100653430080207</v>
      </c>
      <c r="BR48" s="423">
        <f t="shared" si="14"/>
        <v>5.9465005947621281E-2</v>
      </c>
      <c r="BS48" s="423">
        <f t="shared" si="15"/>
        <v>-7.7429385685697322E-2</v>
      </c>
      <c r="BT48" s="425">
        <f t="shared" si="16"/>
        <v>19624987.526746936</v>
      </c>
    </row>
    <row r="49" spans="1:72" x14ac:dyDescent="0.2">
      <c r="A49" s="309">
        <v>71</v>
      </c>
      <c r="B49" s="278" t="s">
        <v>18</v>
      </c>
      <c r="C49" s="278">
        <v>17</v>
      </c>
      <c r="D49" s="279">
        <v>7167</v>
      </c>
      <c r="E49" s="364">
        <v>44951000</v>
      </c>
      <c r="F49" s="279">
        <v>18512434</v>
      </c>
      <c r="G49" s="278">
        <v>1051517.365</v>
      </c>
      <c r="H49" s="279">
        <v>1681162.2365000001</v>
      </c>
      <c r="I49" s="279">
        <v>23841245.262004796</v>
      </c>
      <c r="J49" s="279">
        <v>192140</v>
      </c>
      <c r="K49" s="279">
        <v>432000</v>
      </c>
      <c r="L49" s="280">
        <v>-14405.669999999998</v>
      </c>
      <c r="M49" s="369">
        <v>773904.53350479726</v>
      </c>
      <c r="N49" s="370">
        <v>107.98165669105585</v>
      </c>
      <c r="P49" s="365">
        <v>19850345.70011976</v>
      </c>
      <c r="Q49" s="283">
        <v>8843675</v>
      </c>
      <c r="R49" s="279">
        <v>1681162.2365000001</v>
      </c>
      <c r="S49" s="279">
        <v>681025.58412162168</v>
      </c>
      <c r="T49" s="280">
        <v>9268272.7845508046</v>
      </c>
      <c r="U49" s="280">
        <v>137047.07058867323</v>
      </c>
      <c r="V49" s="279">
        <v>192140</v>
      </c>
      <c r="W49" s="279">
        <v>432000</v>
      </c>
      <c r="X49" s="279">
        <v>84228.024051541652</v>
      </c>
      <c r="Y49" s="354">
        <v>1469204.9996928833</v>
      </c>
      <c r="Z49" s="355">
        <v>204.99581410532767</v>
      </c>
      <c r="AB49" s="366">
        <v>695300.46618808608</v>
      </c>
      <c r="AC49" s="349">
        <v>97.014157414271807</v>
      </c>
      <c r="AE49" s="374">
        <v>-92.569895353094495</v>
      </c>
      <c r="AF49" s="350">
        <v>-72.014157414271821</v>
      </c>
      <c r="AG49" s="350">
        <v>-47.014157414271821</v>
      </c>
      <c r="AH49" s="350">
        <v>-22.014157414271821</v>
      </c>
      <c r="AI49" s="350">
        <v>0</v>
      </c>
      <c r="AJ49" s="408">
        <v>-2180</v>
      </c>
      <c r="AK49" s="387">
        <v>-42771</v>
      </c>
      <c r="AL49" s="287">
        <v>-204</v>
      </c>
      <c r="AM49" s="287">
        <v>-1976</v>
      </c>
      <c r="AN49" s="287">
        <v>-17874</v>
      </c>
      <c r="AO49" s="287">
        <v>-24897</v>
      </c>
      <c r="AP49" s="287">
        <v>18512</v>
      </c>
      <c r="AQ49" s="287">
        <v>9668</v>
      </c>
      <c r="AR49" s="287">
        <v>8844</v>
      </c>
      <c r="AS49" s="287">
        <v>1052</v>
      </c>
      <c r="AT49" s="287">
        <v>371</v>
      </c>
      <c r="AU49" s="287">
        <v>681</v>
      </c>
      <c r="AV49" s="353">
        <f t="shared" si="0"/>
        <v>24018.979592004795</v>
      </c>
      <c r="AW49" s="353">
        <f t="shared" si="1"/>
        <v>15084.968176860944</v>
      </c>
      <c r="AX49" s="353">
        <f t="shared" si="2"/>
        <v>8934.0114151438502</v>
      </c>
      <c r="AY49" s="390">
        <v>663448</v>
      </c>
      <c r="AZ49" s="390">
        <v>-663448</v>
      </c>
      <c r="BA49" s="401">
        <f t="shared" si="3"/>
        <v>1681.1622365000001</v>
      </c>
      <c r="BB49" s="401">
        <v>-3744</v>
      </c>
      <c r="BC49" s="401">
        <v>209</v>
      </c>
      <c r="BD49" s="401">
        <v>7984</v>
      </c>
      <c r="BE49" s="401">
        <v>7055</v>
      </c>
      <c r="BG49" s="426">
        <f t="shared" si="4"/>
        <v>0.40499304230478006</v>
      </c>
      <c r="BH49" s="426">
        <f t="shared" si="5"/>
        <v>2.300384793742713E-2</v>
      </c>
      <c r="BI49" s="426">
        <f t="shared" si="6"/>
        <v>3.6778470554873724E-2</v>
      </c>
      <c r="BJ49" s="426">
        <f t="shared" si="7"/>
        <v>0.52577385632500762</v>
      </c>
      <c r="BK49" s="426">
        <f t="shared" si="8"/>
        <v>9.4507828779114081E-3</v>
      </c>
      <c r="BL49" s="425">
        <f t="shared" si="9"/>
        <v>45710498.863504797</v>
      </c>
      <c r="BN49" s="423">
        <f t="shared" si="10"/>
        <v>0.42989155478234092</v>
      </c>
      <c r="BO49" s="423">
        <f t="shared" si="11"/>
        <v>3.310469315127431E-2</v>
      </c>
      <c r="BP49" s="423">
        <f t="shared" si="12"/>
        <v>8.1721393842530687E-2</v>
      </c>
      <c r="BQ49" s="423">
        <f t="shared" si="13"/>
        <v>0.46653308031864699</v>
      </c>
      <c r="BR49" s="423">
        <f t="shared" si="14"/>
        <v>2.0999545060845323E-2</v>
      </c>
      <c r="BS49" s="423">
        <f t="shared" si="15"/>
        <v>-3.2250267155638265E-2</v>
      </c>
      <c r="BT49" s="425">
        <f t="shared" si="16"/>
        <v>20571874.235765472</v>
      </c>
    </row>
    <row r="50" spans="1:72" x14ac:dyDescent="0.2">
      <c r="A50" s="309">
        <v>74</v>
      </c>
      <c r="B50" s="278" t="s">
        <v>19</v>
      </c>
      <c r="C50" s="278">
        <v>16</v>
      </c>
      <c r="D50" s="279">
        <v>1225</v>
      </c>
      <c r="E50" s="364">
        <v>8052000</v>
      </c>
      <c r="F50" s="279">
        <v>3120304</v>
      </c>
      <c r="G50" s="278">
        <v>461625.65</v>
      </c>
      <c r="H50" s="279">
        <v>366669.14600000007</v>
      </c>
      <c r="I50" s="279">
        <v>4451126.2573350733</v>
      </c>
      <c r="J50" s="279">
        <v>-295079</v>
      </c>
      <c r="K50" s="279">
        <v>-48000</v>
      </c>
      <c r="L50" s="280">
        <v>-2462.2499999999995</v>
      </c>
      <c r="M50" s="369">
        <v>7108.3033350743353</v>
      </c>
      <c r="N50" s="370">
        <v>5.8026966000606821</v>
      </c>
      <c r="P50" s="365">
        <v>2883744.8858974362</v>
      </c>
      <c r="Q50" s="283">
        <v>1506246</v>
      </c>
      <c r="R50" s="279">
        <v>366669.14600000007</v>
      </c>
      <c r="S50" s="279">
        <v>298976.4015326302</v>
      </c>
      <c r="T50" s="280">
        <v>1192807.8962940224</v>
      </c>
      <c r="U50" s="280">
        <v>-13529.949777662392</v>
      </c>
      <c r="V50" s="279">
        <v>-295079</v>
      </c>
      <c r="W50" s="279">
        <v>-48000</v>
      </c>
      <c r="X50" s="279">
        <v>14566.287651255583</v>
      </c>
      <c r="Y50" s="354">
        <v>138911.89580280986</v>
      </c>
      <c r="Z50" s="355">
        <v>113.39746596147744</v>
      </c>
      <c r="AB50" s="366">
        <v>131803.59246773552</v>
      </c>
      <c r="AC50" s="349">
        <v>107.59476936141675</v>
      </c>
      <c r="AE50" s="374">
        <v>-103.15050730024095</v>
      </c>
      <c r="AF50" s="350">
        <v>-82.594769361418273</v>
      </c>
      <c r="AG50" s="350">
        <v>-57.594769361418273</v>
      </c>
      <c r="AH50" s="350">
        <v>-32.594769361418273</v>
      </c>
      <c r="AI50" s="350">
        <v>-7.5947693614182725</v>
      </c>
      <c r="AJ50" s="408">
        <v>-135</v>
      </c>
      <c r="AK50" s="387">
        <v>-7917</v>
      </c>
      <c r="AL50" s="287">
        <v>-15</v>
      </c>
      <c r="AM50" s="287">
        <v>-120</v>
      </c>
      <c r="AN50" s="287">
        <v>-2764</v>
      </c>
      <c r="AO50" s="287">
        <v>-5153</v>
      </c>
      <c r="AP50" s="287">
        <v>3120</v>
      </c>
      <c r="AQ50" s="287">
        <v>1614</v>
      </c>
      <c r="AR50" s="287">
        <v>1506</v>
      </c>
      <c r="AS50" s="287">
        <v>462</v>
      </c>
      <c r="AT50" s="287">
        <v>163</v>
      </c>
      <c r="AU50" s="287">
        <v>299</v>
      </c>
      <c r="AV50" s="353">
        <f t="shared" si="0"/>
        <v>4153.585007335073</v>
      </c>
      <c r="AW50" s="353">
        <f t="shared" si="1"/>
        <v>3395.7454322615081</v>
      </c>
      <c r="AX50" s="353">
        <f t="shared" si="2"/>
        <v>757.83957507356502</v>
      </c>
      <c r="AY50" s="390">
        <v>126359</v>
      </c>
      <c r="AZ50" s="390">
        <v>-126359</v>
      </c>
      <c r="BA50" s="401">
        <f t="shared" si="3"/>
        <v>366.66914600000007</v>
      </c>
      <c r="BB50" s="401">
        <v>-217</v>
      </c>
      <c r="BC50" s="401">
        <v>13</v>
      </c>
      <c r="BD50" s="401">
        <v>0</v>
      </c>
      <c r="BE50" s="401">
        <v>-74</v>
      </c>
      <c r="BG50" s="426">
        <f t="shared" si="4"/>
        <v>0.38729565371788177</v>
      </c>
      <c r="BH50" s="426">
        <f t="shared" si="5"/>
        <v>5.7297496618820512E-2</v>
      </c>
      <c r="BI50" s="426">
        <f t="shared" si="6"/>
        <v>4.5511388184692088E-2</v>
      </c>
      <c r="BJ50" s="426">
        <f t="shared" si="7"/>
        <v>0.51585327564621808</v>
      </c>
      <c r="BK50" s="426">
        <f t="shared" si="8"/>
        <v>-5.9578141676126196E-3</v>
      </c>
      <c r="BL50" s="425">
        <f t="shared" si="9"/>
        <v>8056646.0533350743</v>
      </c>
      <c r="BN50" s="423">
        <f t="shared" si="10"/>
        <v>0.52268790387278508</v>
      </c>
      <c r="BO50" s="423">
        <f t="shared" si="11"/>
        <v>0.10374888871042222</v>
      </c>
      <c r="BP50" s="423">
        <f t="shared" si="12"/>
        <v>0.12723919422030947</v>
      </c>
      <c r="BQ50" s="423">
        <f t="shared" si="13"/>
        <v>0.30682909296433725</v>
      </c>
      <c r="BR50" s="423">
        <f t="shared" si="14"/>
        <v>-1.6656654614115946E-2</v>
      </c>
      <c r="BS50" s="423">
        <f t="shared" si="15"/>
        <v>-4.3848425153738012E-2</v>
      </c>
      <c r="BT50" s="425">
        <f t="shared" si="16"/>
        <v>2881731.122606195</v>
      </c>
    </row>
    <row r="51" spans="1:72" x14ac:dyDescent="0.2">
      <c r="A51" s="309">
        <v>78</v>
      </c>
      <c r="B51" s="278" t="s">
        <v>232</v>
      </c>
      <c r="C51" s="278">
        <v>1</v>
      </c>
      <c r="D51" s="279">
        <v>8864</v>
      </c>
      <c r="E51" s="364">
        <v>52690000</v>
      </c>
      <c r="F51" s="279">
        <v>34902978</v>
      </c>
      <c r="G51" s="278">
        <v>2370918.75</v>
      </c>
      <c r="H51" s="279">
        <v>2715998.0375000001</v>
      </c>
      <c r="I51" s="279">
        <v>13270842.692025727</v>
      </c>
      <c r="J51" s="279">
        <v>-611792</v>
      </c>
      <c r="K51" s="279">
        <v>1206000</v>
      </c>
      <c r="L51" s="280">
        <v>-17816.64</v>
      </c>
      <c r="M51" s="369">
        <v>1182762.1195257299</v>
      </c>
      <c r="N51" s="370">
        <v>133.43435463963559</v>
      </c>
      <c r="P51" s="365">
        <v>19347338.362275451</v>
      </c>
      <c r="Q51" s="283">
        <v>15892103</v>
      </c>
      <c r="R51" s="279">
        <v>2715998.0375000001</v>
      </c>
      <c r="S51" s="279">
        <v>1535548.89378708</v>
      </c>
      <c r="T51" s="280">
        <v>3273243.9599641874</v>
      </c>
      <c r="U51" s="280">
        <v>-2375565.064017544</v>
      </c>
      <c r="V51" s="279">
        <v>-611792</v>
      </c>
      <c r="W51" s="279">
        <v>1206000</v>
      </c>
      <c r="X51" s="279">
        <v>118147.57846963611</v>
      </c>
      <c r="Y51" s="354">
        <v>2406346.0434279069</v>
      </c>
      <c r="Z51" s="355">
        <v>271.47405724592812</v>
      </c>
      <c r="AB51" s="366">
        <v>1223583.923902177</v>
      </c>
      <c r="AC51" s="349">
        <v>138.03970260629254</v>
      </c>
      <c r="AE51" s="374">
        <v>-133.5954405451152</v>
      </c>
      <c r="AF51" s="350">
        <v>-113.03970260629254</v>
      </c>
      <c r="AG51" s="350">
        <v>-88.039702606292536</v>
      </c>
      <c r="AH51" s="350">
        <v>-63.039702606292536</v>
      </c>
      <c r="AI51" s="350">
        <v>-38.039702606292536</v>
      </c>
      <c r="AJ51" s="408">
        <v>-3650</v>
      </c>
      <c r="AK51" s="387">
        <v>-49040</v>
      </c>
      <c r="AL51" s="287">
        <v>0</v>
      </c>
      <c r="AM51" s="287">
        <v>-3650</v>
      </c>
      <c r="AN51" s="287">
        <v>-15697</v>
      </c>
      <c r="AO51" s="287">
        <v>-33343</v>
      </c>
      <c r="AP51" s="287">
        <v>34903</v>
      </c>
      <c r="AQ51" s="287">
        <v>19011</v>
      </c>
      <c r="AR51" s="287">
        <v>15892</v>
      </c>
      <c r="AS51" s="287">
        <v>2371</v>
      </c>
      <c r="AT51" s="287">
        <v>835</v>
      </c>
      <c r="AU51" s="287">
        <v>1536</v>
      </c>
      <c r="AV51" s="353">
        <f t="shared" si="0"/>
        <v>12641.234052025726</v>
      </c>
      <c r="AW51" s="353">
        <f t="shared" si="1"/>
        <v>13539.537141070983</v>
      </c>
      <c r="AX51" s="353">
        <f t="shared" si="2"/>
        <v>-898.30308904525782</v>
      </c>
      <c r="AY51" s="390">
        <v>1184190</v>
      </c>
      <c r="AZ51" s="390">
        <v>-1184190</v>
      </c>
      <c r="BA51" s="401">
        <f t="shared" si="3"/>
        <v>2715.9980375</v>
      </c>
      <c r="BB51" s="401">
        <v>-3563</v>
      </c>
      <c r="BC51" s="401">
        <v>0</v>
      </c>
      <c r="BD51" s="401">
        <v>742</v>
      </c>
      <c r="BE51" s="401">
        <v>42</v>
      </c>
      <c r="BG51" s="426">
        <f t="shared" si="4"/>
        <v>0.64809234675150151</v>
      </c>
      <c r="BH51" s="426">
        <f t="shared" si="5"/>
        <v>4.4024160249152282E-2</v>
      </c>
      <c r="BI51" s="426">
        <f t="shared" si="6"/>
        <v>5.0431729404174272E-2</v>
      </c>
      <c r="BJ51" s="426">
        <f t="shared" si="7"/>
        <v>0.23505827699404827</v>
      </c>
      <c r="BK51" s="426">
        <f t="shared" si="8"/>
        <v>2.2393486601123575E-2</v>
      </c>
      <c r="BL51" s="425">
        <f t="shared" si="9"/>
        <v>53854945.47952573</v>
      </c>
      <c r="BN51" s="423">
        <f t="shared" si="10"/>
        <v>0.77706877315166356</v>
      </c>
      <c r="BO51" s="423">
        <f t="shared" si="11"/>
        <v>7.5083020479386545E-2</v>
      </c>
      <c r="BP51" s="423">
        <f t="shared" si="12"/>
        <v>0.13280289354294086</v>
      </c>
      <c r="BQ51" s="423">
        <f t="shared" si="13"/>
        <v>1.397887866026261E-2</v>
      </c>
      <c r="BR51" s="423">
        <f t="shared" si="14"/>
        <v>5.8969221406437289E-2</v>
      </c>
      <c r="BS51" s="423">
        <f t="shared" si="15"/>
        <v>-5.790278724069077E-2</v>
      </c>
      <c r="BT51" s="425">
        <f t="shared" si="16"/>
        <v>20451346.84224182</v>
      </c>
    </row>
    <row r="52" spans="1:72" x14ac:dyDescent="0.2">
      <c r="A52" s="309">
        <v>77</v>
      </c>
      <c r="B52" s="278" t="s">
        <v>20</v>
      </c>
      <c r="C52" s="278">
        <v>13</v>
      </c>
      <c r="D52" s="279">
        <v>5240</v>
      </c>
      <c r="E52" s="364">
        <v>34292000</v>
      </c>
      <c r="F52" s="279">
        <v>13570829</v>
      </c>
      <c r="G52" s="278">
        <v>712040.39500000002</v>
      </c>
      <c r="H52" s="279">
        <v>1330771.6259999997</v>
      </c>
      <c r="I52" s="279">
        <v>19155786.057986043</v>
      </c>
      <c r="J52" s="279">
        <v>-29148</v>
      </c>
      <c r="K52" s="279">
        <v>44000</v>
      </c>
      <c r="L52" s="280">
        <v>-10532.4</v>
      </c>
      <c r="M52" s="369">
        <v>502811.47898604127</v>
      </c>
      <c r="N52" s="370">
        <v>95.956389119473528</v>
      </c>
      <c r="P52" s="365">
        <v>12540667.513124324</v>
      </c>
      <c r="Q52" s="283">
        <v>6506344</v>
      </c>
      <c r="R52" s="279">
        <v>1330771.6259999997</v>
      </c>
      <c r="S52" s="279">
        <v>461159.97896341467</v>
      </c>
      <c r="T52" s="280">
        <v>3987484.9310102765</v>
      </c>
      <c r="U52" s="280">
        <v>108276.80403943561</v>
      </c>
      <c r="V52" s="279">
        <v>-29148</v>
      </c>
      <c r="W52" s="279">
        <v>44000</v>
      </c>
      <c r="X52" s="279">
        <v>61371.637360060035</v>
      </c>
      <c r="Y52" s="354">
        <v>-70406.535751137882</v>
      </c>
      <c r="Z52" s="355">
        <v>-13.436361784568298</v>
      </c>
      <c r="AB52" s="366">
        <v>-573218.01473717915</v>
      </c>
      <c r="AC52" s="349">
        <v>-109.39275090404182</v>
      </c>
      <c r="AE52" s="374">
        <v>113.83701296521915</v>
      </c>
      <c r="AF52" s="350">
        <v>84.392750904041833</v>
      </c>
      <c r="AG52" s="350">
        <v>59.392750904041833</v>
      </c>
      <c r="AH52" s="350">
        <v>34.392750904041833</v>
      </c>
      <c r="AI52" s="350">
        <v>9.3927509040418329</v>
      </c>
      <c r="AJ52" s="408">
        <v>-1600</v>
      </c>
      <c r="AK52" s="387">
        <v>-32692</v>
      </c>
      <c r="AL52" s="287">
        <v>-70</v>
      </c>
      <c r="AM52" s="287">
        <v>-1530</v>
      </c>
      <c r="AN52" s="287">
        <v>-11011</v>
      </c>
      <c r="AO52" s="287">
        <v>-21681</v>
      </c>
      <c r="AP52" s="287">
        <v>13571</v>
      </c>
      <c r="AQ52" s="287">
        <v>7065</v>
      </c>
      <c r="AR52" s="287">
        <v>6506</v>
      </c>
      <c r="AS52" s="287">
        <v>712</v>
      </c>
      <c r="AT52" s="287">
        <v>251</v>
      </c>
      <c r="AU52" s="287">
        <v>461</v>
      </c>
      <c r="AV52" s="353">
        <f t="shared" si="0"/>
        <v>19116.105657986045</v>
      </c>
      <c r="AW52" s="353">
        <f t="shared" si="1"/>
        <v>14452.985974998584</v>
      </c>
      <c r="AX52" s="353">
        <f t="shared" si="2"/>
        <v>4663.1196829874598</v>
      </c>
      <c r="AY52" s="390">
        <v>596506</v>
      </c>
      <c r="AZ52" s="390">
        <v>596506</v>
      </c>
      <c r="BA52" s="401">
        <f t="shared" si="3"/>
        <v>1330.7716259999997</v>
      </c>
      <c r="BB52" s="401">
        <v>-1641</v>
      </c>
      <c r="BC52" s="401">
        <v>0</v>
      </c>
      <c r="BD52" s="401">
        <v>40</v>
      </c>
      <c r="BE52" s="401">
        <v>137</v>
      </c>
      <c r="BG52" s="426">
        <f t="shared" si="4"/>
        <v>0.39014259772882404</v>
      </c>
      <c r="BH52" s="426">
        <f t="shared" si="5"/>
        <v>2.0470178306215336E-2</v>
      </c>
      <c r="BI52" s="426">
        <f t="shared" si="6"/>
        <v>3.8257846970988357E-2</v>
      </c>
      <c r="BJ52" s="426">
        <f t="shared" si="7"/>
        <v>0.54986443774080895</v>
      </c>
      <c r="BK52" s="426">
        <f t="shared" si="8"/>
        <v>1.2649392531634033E-3</v>
      </c>
      <c r="BL52" s="425">
        <f t="shared" si="9"/>
        <v>34784279.078986041</v>
      </c>
      <c r="BN52" s="423">
        <f t="shared" si="10"/>
        <v>0.50028037256414204</v>
      </c>
      <c r="BO52" s="423">
        <f t="shared" si="11"/>
        <v>3.5459128212017223E-2</v>
      </c>
      <c r="BP52" s="423">
        <f t="shared" si="12"/>
        <v>0.10232458118615753</v>
      </c>
      <c r="BQ52" s="423">
        <f t="shared" si="13"/>
        <v>0.31268666926389493</v>
      </c>
      <c r="BR52" s="423">
        <f t="shared" si="14"/>
        <v>3.3832112769970738E-3</v>
      </c>
      <c r="BS52" s="423">
        <f t="shared" si="15"/>
        <v>4.586603749679135E-2</v>
      </c>
      <c r="BT52" s="425">
        <f t="shared" si="16"/>
        <v>13005395.287950873</v>
      </c>
    </row>
    <row r="53" spans="1:72" x14ac:dyDescent="0.2">
      <c r="A53" s="309">
        <v>79</v>
      </c>
      <c r="B53" s="278" t="s">
        <v>21</v>
      </c>
      <c r="C53" s="278">
        <v>4</v>
      </c>
      <c r="D53" s="279">
        <v>7296</v>
      </c>
      <c r="E53" s="364">
        <v>43860000</v>
      </c>
      <c r="F53" s="279">
        <v>25077666</v>
      </c>
      <c r="G53" s="278">
        <v>7923844.7450000001</v>
      </c>
      <c r="H53" s="279">
        <v>1893513.2419999999</v>
      </c>
      <c r="I53" s="279">
        <v>12294950.456249688</v>
      </c>
      <c r="J53" s="279">
        <v>-521011</v>
      </c>
      <c r="K53" s="279">
        <v>-114000</v>
      </c>
      <c r="L53" s="280">
        <v>264242.64323260169</v>
      </c>
      <c r="M53" s="369">
        <v>2430720.8000170859</v>
      </c>
      <c r="N53" s="370">
        <v>333.15800438830672</v>
      </c>
      <c r="P53" s="365">
        <v>15924868.362790696</v>
      </c>
      <c r="Q53" s="283">
        <v>10799808</v>
      </c>
      <c r="R53" s="279">
        <v>1893513.2419999999</v>
      </c>
      <c r="S53" s="279">
        <v>5131956.138406394</v>
      </c>
      <c r="T53" s="280">
        <v>1113967.9788290842</v>
      </c>
      <c r="U53" s="280">
        <v>-145590.20020095076</v>
      </c>
      <c r="V53" s="279">
        <v>-521011</v>
      </c>
      <c r="W53" s="279">
        <v>-114000</v>
      </c>
      <c r="X53" s="279">
        <v>97749.957685874644</v>
      </c>
      <c r="Y53" s="354">
        <v>2331525.7539297044</v>
      </c>
      <c r="Z53" s="355">
        <v>319.56219215045292</v>
      </c>
      <c r="AB53" s="366">
        <v>-99195.04608738143</v>
      </c>
      <c r="AC53" s="349">
        <v>-13.595812237853814</v>
      </c>
      <c r="AE53" s="374">
        <v>18.040074299031119</v>
      </c>
      <c r="AF53" s="350">
        <v>0</v>
      </c>
      <c r="AG53" s="350">
        <v>0</v>
      </c>
      <c r="AH53" s="350">
        <v>0</v>
      </c>
      <c r="AI53" s="350">
        <v>0</v>
      </c>
      <c r="AJ53" s="408">
        <v>-2280</v>
      </c>
      <c r="AK53" s="387">
        <v>-41580</v>
      </c>
      <c r="AL53" s="287">
        <v>0</v>
      </c>
      <c r="AM53" s="287">
        <v>-2280</v>
      </c>
      <c r="AN53" s="287">
        <v>-13645</v>
      </c>
      <c r="AO53" s="287">
        <v>-27935</v>
      </c>
      <c r="AP53" s="287">
        <v>25078</v>
      </c>
      <c r="AQ53" s="287">
        <v>14278</v>
      </c>
      <c r="AR53" s="287">
        <v>10800</v>
      </c>
      <c r="AS53" s="287">
        <v>7924</v>
      </c>
      <c r="AT53" s="287">
        <v>2792</v>
      </c>
      <c r="AU53" s="287">
        <v>5132</v>
      </c>
      <c r="AV53" s="353">
        <f t="shared" si="0"/>
        <v>12038.18209948229</v>
      </c>
      <c r="AW53" s="353">
        <f t="shared" si="1"/>
        <v>11459.194938768425</v>
      </c>
      <c r="AX53" s="353">
        <f t="shared" si="2"/>
        <v>578.98716071386445</v>
      </c>
      <c r="AY53" s="390">
        <v>131620</v>
      </c>
      <c r="AZ53" s="390">
        <v>131620</v>
      </c>
      <c r="BA53" s="401">
        <f t="shared" si="3"/>
        <v>1893.513242</v>
      </c>
      <c r="BB53" s="401">
        <v>-2841</v>
      </c>
      <c r="BC53" s="401">
        <v>270</v>
      </c>
      <c r="BD53" s="401">
        <v>230</v>
      </c>
      <c r="BE53" s="401">
        <v>-1048</v>
      </c>
      <c r="BG53" s="426">
        <f t="shared" si="4"/>
        <v>0.53866793452796013</v>
      </c>
      <c r="BH53" s="426">
        <f t="shared" si="5"/>
        <v>0.17020408048776872</v>
      </c>
      <c r="BI53" s="426">
        <f t="shared" si="6"/>
        <v>4.0672639434207375E-2</v>
      </c>
      <c r="BJ53" s="426">
        <f t="shared" si="7"/>
        <v>0.25290406404468713</v>
      </c>
      <c r="BK53" s="426">
        <f t="shared" si="8"/>
        <v>-2.4487184946233613E-3</v>
      </c>
      <c r="BL53" s="425">
        <f t="shared" si="9"/>
        <v>46554963.443249688</v>
      </c>
      <c r="BN53" s="423">
        <f t="shared" si="10"/>
        <v>0.59046756681511203</v>
      </c>
      <c r="BO53" s="423">
        <f t="shared" si="11"/>
        <v>0.2805840302018982</v>
      </c>
      <c r="BP53" s="423">
        <f t="shared" si="12"/>
        <v>0.10352574385914401</v>
      </c>
      <c r="BQ53" s="423">
        <f t="shared" si="13"/>
        <v>2.4459284206762643E-2</v>
      </c>
      <c r="BR53" s="423">
        <f t="shared" si="14"/>
        <v>-6.2328240110308235E-3</v>
      </c>
      <c r="BS53" s="423">
        <f t="shared" si="15"/>
        <v>7.1961989281139971E-3</v>
      </c>
      <c r="BT53" s="425">
        <f t="shared" si="16"/>
        <v>18290264.541120257</v>
      </c>
    </row>
    <row r="54" spans="1:72" x14ac:dyDescent="0.2">
      <c r="A54" s="309">
        <v>81</v>
      </c>
      <c r="B54" s="278" t="s">
        <v>22</v>
      </c>
      <c r="C54" s="278">
        <v>7</v>
      </c>
      <c r="D54" s="279">
        <v>2982</v>
      </c>
      <c r="E54" s="364">
        <v>18768000</v>
      </c>
      <c r="F54" s="279">
        <v>7476068</v>
      </c>
      <c r="G54" s="278">
        <v>1133822.21</v>
      </c>
      <c r="H54" s="279">
        <v>1347946.8470000001</v>
      </c>
      <c r="I54" s="279">
        <v>9375850.9934900366</v>
      </c>
      <c r="J54" s="279">
        <v>-230291</v>
      </c>
      <c r="K54" s="279">
        <v>-137000</v>
      </c>
      <c r="L54" s="280">
        <v>-5993.82</v>
      </c>
      <c r="M54" s="369">
        <v>204390.87049003661</v>
      </c>
      <c r="N54" s="370">
        <v>68.541539399743996</v>
      </c>
      <c r="P54" s="365">
        <v>6251475.2901896127</v>
      </c>
      <c r="Q54" s="283">
        <v>3509865</v>
      </c>
      <c r="R54" s="279">
        <v>1347946.8470000001</v>
      </c>
      <c r="S54" s="279">
        <v>734331.1280982201</v>
      </c>
      <c r="T54" s="280">
        <v>1187633.3354450841</v>
      </c>
      <c r="U54" s="280">
        <v>-42487.055518607958</v>
      </c>
      <c r="V54" s="279">
        <v>-230291</v>
      </c>
      <c r="W54" s="279">
        <v>-137000</v>
      </c>
      <c r="X54" s="279">
        <v>36337.890733699445</v>
      </c>
      <c r="Y54" s="354">
        <v>154860.85556878336</v>
      </c>
      <c r="Z54" s="355">
        <v>51.931876448284157</v>
      </c>
      <c r="AB54" s="366">
        <v>-49530.014921253256</v>
      </c>
      <c r="AC54" s="349">
        <v>-16.609662951459846</v>
      </c>
      <c r="AE54" s="374">
        <v>21.053925012637166</v>
      </c>
      <c r="AF54" s="350">
        <v>0</v>
      </c>
      <c r="AG54" s="350">
        <v>0</v>
      </c>
      <c r="AH54" s="350">
        <v>0</v>
      </c>
      <c r="AI54" s="350">
        <v>0</v>
      </c>
      <c r="AJ54" s="408">
        <v>-771</v>
      </c>
      <c r="AK54" s="387">
        <v>-17997</v>
      </c>
      <c r="AL54" s="287">
        <v>0</v>
      </c>
      <c r="AM54" s="287">
        <v>-771</v>
      </c>
      <c r="AN54" s="287">
        <v>-5480</v>
      </c>
      <c r="AO54" s="287">
        <v>-12517</v>
      </c>
      <c r="AP54" s="287">
        <v>7476</v>
      </c>
      <c r="AQ54" s="287">
        <v>3966</v>
      </c>
      <c r="AR54" s="287">
        <v>3510</v>
      </c>
      <c r="AS54" s="287">
        <v>1134</v>
      </c>
      <c r="AT54" s="287">
        <v>400</v>
      </c>
      <c r="AU54" s="287">
        <v>734</v>
      </c>
      <c r="AV54" s="353">
        <f t="shared" si="0"/>
        <v>9139.5661734900368</v>
      </c>
      <c r="AW54" s="353">
        <f t="shared" si="1"/>
        <v>8161.9280891758772</v>
      </c>
      <c r="AX54" s="353">
        <f t="shared" si="2"/>
        <v>977.6380843141601</v>
      </c>
      <c r="AY54" s="390">
        <v>62783</v>
      </c>
      <c r="AZ54" s="390">
        <v>62783</v>
      </c>
      <c r="BA54" s="401">
        <f t="shared" si="3"/>
        <v>1347.9468470000002</v>
      </c>
      <c r="BB54" s="401">
        <v>-835</v>
      </c>
      <c r="BC54" s="401">
        <v>0</v>
      </c>
      <c r="BD54" s="401">
        <v>100</v>
      </c>
      <c r="BE54" s="401">
        <v>167</v>
      </c>
      <c r="BG54" s="426">
        <f t="shared" si="4"/>
        <v>0.39417439063930387</v>
      </c>
      <c r="BH54" s="426">
        <f t="shared" si="5"/>
        <v>5.9780579673707993E-2</v>
      </c>
      <c r="BI54" s="426">
        <f t="shared" si="6"/>
        <v>7.1070264078710352E-2</v>
      </c>
      <c r="BJ54" s="426">
        <f t="shared" si="7"/>
        <v>0.48219806688343803</v>
      </c>
      <c r="BK54" s="426">
        <f t="shared" si="8"/>
        <v>-7.2233012751602346E-3</v>
      </c>
      <c r="BL54" s="425">
        <f t="shared" si="9"/>
        <v>18966397.050490037</v>
      </c>
      <c r="BN54" s="423">
        <f t="shared" si="10"/>
        <v>0.54562170973694202</v>
      </c>
      <c r="BO54" s="423">
        <f t="shared" si="11"/>
        <v>0.11415453461201733</v>
      </c>
      <c r="BP54" s="423">
        <f t="shared" si="12"/>
        <v>0.20954340502972627</v>
      </c>
      <c r="BQ54" s="423">
        <f t="shared" si="13"/>
        <v>0.1422176927019565</v>
      </c>
      <c r="BR54" s="423">
        <f t="shared" si="14"/>
        <v>-2.1297165057334411E-2</v>
      </c>
      <c r="BS54" s="423">
        <f t="shared" si="15"/>
        <v>9.7598229766923065E-3</v>
      </c>
      <c r="BT54" s="425">
        <f t="shared" si="16"/>
        <v>6432781.0594123807</v>
      </c>
    </row>
    <row r="55" spans="1:72" x14ac:dyDescent="0.2">
      <c r="A55" s="309">
        <v>82</v>
      </c>
      <c r="B55" s="278" t="s">
        <v>23</v>
      </c>
      <c r="C55" s="278">
        <v>5</v>
      </c>
      <c r="D55" s="279">
        <v>9747</v>
      </c>
      <c r="E55" s="364">
        <v>45982000</v>
      </c>
      <c r="F55" s="279">
        <v>33836352</v>
      </c>
      <c r="G55" s="278">
        <v>1099629.675</v>
      </c>
      <c r="H55" s="279">
        <v>2188466.8130000001</v>
      </c>
      <c r="I55" s="279">
        <v>11704732.599595388</v>
      </c>
      <c r="J55" s="279">
        <v>-2041519</v>
      </c>
      <c r="K55" s="279">
        <v>-116000</v>
      </c>
      <c r="L55" s="280">
        <v>-19591.469999999998</v>
      </c>
      <c r="M55" s="369">
        <v>709253.55759538827</v>
      </c>
      <c r="N55" s="370">
        <v>72.766344269558658</v>
      </c>
      <c r="P55" s="365">
        <v>20579740.304080062</v>
      </c>
      <c r="Q55" s="283">
        <v>14217391</v>
      </c>
      <c r="R55" s="279">
        <v>2188466.8130000001</v>
      </c>
      <c r="S55" s="279">
        <v>712185.99583882676</v>
      </c>
      <c r="T55" s="280">
        <v>6215215.7635932378</v>
      </c>
      <c r="U55" s="280">
        <v>177111.89915947302</v>
      </c>
      <c r="V55" s="279">
        <v>-2041519</v>
      </c>
      <c r="W55" s="279">
        <v>-116000</v>
      </c>
      <c r="X55" s="279">
        <v>123195.11713085447</v>
      </c>
      <c r="Y55" s="354">
        <v>896307.2846423313</v>
      </c>
      <c r="Z55" s="355">
        <v>91.957246808487866</v>
      </c>
      <c r="AB55" s="366">
        <v>187053.72704694304</v>
      </c>
      <c r="AC55" s="349">
        <v>19.190902538929212</v>
      </c>
      <c r="AE55" s="374">
        <v>-14.746640477751882</v>
      </c>
      <c r="AF55" s="350">
        <v>0</v>
      </c>
      <c r="AG55" s="350">
        <v>0</v>
      </c>
      <c r="AH55" s="350">
        <v>0</v>
      </c>
      <c r="AI55" s="350">
        <v>0</v>
      </c>
      <c r="AJ55" s="408">
        <v>-1770</v>
      </c>
      <c r="AK55" s="387">
        <v>-44212</v>
      </c>
      <c r="AL55" s="287">
        <v>-73</v>
      </c>
      <c r="AM55" s="287">
        <v>-1697</v>
      </c>
      <c r="AN55" s="287">
        <v>-18883</v>
      </c>
      <c r="AO55" s="287">
        <v>-25329</v>
      </c>
      <c r="AP55" s="287">
        <v>33836</v>
      </c>
      <c r="AQ55" s="287">
        <v>19619</v>
      </c>
      <c r="AR55" s="287">
        <v>14217</v>
      </c>
      <c r="AS55" s="287">
        <v>1100</v>
      </c>
      <c r="AT55" s="287">
        <v>388</v>
      </c>
      <c r="AU55" s="287">
        <v>712</v>
      </c>
      <c r="AV55" s="353">
        <f t="shared" si="0"/>
        <v>9643.6221295953874</v>
      </c>
      <c r="AW55" s="353">
        <f t="shared" si="1"/>
        <v>5436.5489715793237</v>
      </c>
      <c r="AX55" s="353">
        <f t="shared" si="2"/>
        <v>4207.0731580160636</v>
      </c>
      <c r="AY55" s="390">
        <v>143736</v>
      </c>
      <c r="AZ55" s="390">
        <v>-143736</v>
      </c>
      <c r="BA55" s="401">
        <f t="shared" si="3"/>
        <v>2188.466813</v>
      </c>
      <c r="BB55" s="401">
        <v>-2702</v>
      </c>
      <c r="BC55" s="401">
        <v>0</v>
      </c>
      <c r="BD55" s="401">
        <v>300</v>
      </c>
      <c r="BE55" s="401">
        <v>-848</v>
      </c>
      <c r="BG55" s="426">
        <f t="shared" si="4"/>
        <v>0.72498707966505405</v>
      </c>
      <c r="BH55" s="426">
        <f t="shared" si="5"/>
        <v>2.3560970957840918E-2</v>
      </c>
      <c r="BI55" s="426">
        <f t="shared" si="6"/>
        <v>4.6890698019123281E-2</v>
      </c>
      <c r="BJ55" s="426">
        <f t="shared" si="7"/>
        <v>0.20704669958955077</v>
      </c>
      <c r="BK55" s="426">
        <f t="shared" si="8"/>
        <v>-2.4854482315690022E-3</v>
      </c>
      <c r="BL55" s="425">
        <f t="shared" si="9"/>
        <v>46671662.087595388</v>
      </c>
      <c r="BN55" s="423">
        <f t="shared" si="10"/>
        <v>0.67034337272120303</v>
      </c>
      <c r="BO55" s="423">
        <f t="shared" si="11"/>
        <v>3.3579238445042958E-2</v>
      </c>
      <c r="BP55" s="423">
        <f t="shared" si="12"/>
        <v>0.10318519231234777</v>
      </c>
      <c r="BQ55" s="423">
        <f t="shared" si="13"/>
        <v>0.20513860475907847</v>
      </c>
      <c r="BR55" s="423">
        <f t="shared" si="14"/>
        <v>-5.4693460449712289E-3</v>
      </c>
      <c r="BS55" s="423">
        <f t="shared" si="15"/>
        <v>-6.7770621927010942E-3</v>
      </c>
      <c r="BT55" s="425">
        <f t="shared" si="16"/>
        <v>21209116.966854893</v>
      </c>
    </row>
    <row r="56" spans="1:72" x14ac:dyDescent="0.2">
      <c r="A56" s="309">
        <v>86</v>
      </c>
      <c r="B56" s="278" t="s">
        <v>24</v>
      </c>
      <c r="C56" s="278">
        <v>5</v>
      </c>
      <c r="D56" s="279">
        <v>8729</v>
      </c>
      <c r="E56" s="364">
        <v>45973000</v>
      </c>
      <c r="F56" s="279">
        <v>29823858</v>
      </c>
      <c r="G56" s="278">
        <v>950281.12999999989</v>
      </c>
      <c r="H56" s="279">
        <v>1689670.993</v>
      </c>
      <c r="I56" s="279">
        <v>14736350.939546019</v>
      </c>
      <c r="J56" s="279">
        <v>-1201376</v>
      </c>
      <c r="K56" s="279">
        <v>-499000</v>
      </c>
      <c r="L56" s="280">
        <v>-17545.289999999997</v>
      </c>
      <c r="M56" s="369">
        <v>-455669.64745398524</v>
      </c>
      <c r="N56" s="370">
        <v>-52.201815494785798</v>
      </c>
      <c r="P56" s="365">
        <v>19102059.269438028</v>
      </c>
      <c r="Q56" s="283">
        <v>13468890</v>
      </c>
      <c r="R56" s="279">
        <v>1689670.993</v>
      </c>
      <c r="S56" s="279">
        <v>615458.93884311127</v>
      </c>
      <c r="T56" s="280">
        <v>7052975.3274478745</v>
      </c>
      <c r="U56" s="280">
        <v>-1302597.01121363</v>
      </c>
      <c r="V56" s="279">
        <v>-1201376</v>
      </c>
      <c r="W56" s="279">
        <v>-499000</v>
      </c>
      <c r="X56" s="279">
        <v>109845.22110637964</v>
      </c>
      <c r="Y56" s="354">
        <v>831808.19974570721</v>
      </c>
      <c r="Z56" s="355">
        <v>95.292496247646611</v>
      </c>
      <c r="AB56" s="366">
        <v>1287477.8471996924</v>
      </c>
      <c r="AC56" s="349">
        <v>147.49431174243239</v>
      </c>
      <c r="AE56" s="374">
        <v>-143.05004968125508</v>
      </c>
      <c r="AF56" s="350">
        <v>-122.49431174243242</v>
      </c>
      <c r="AG56" s="350">
        <v>-97.494311742432416</v>
      </c>
      <c r="AH56" s="350">
        <v>-72.494311742432416</v>
      </c>
      <c r="AI56" s="350">
        <v>-47.494311742432416</v>
      </c>
      <c r="AJ56" s="408">
        <v>-2010</v>
      </c>
      <c r="AK56" s="387">
        <v>-43963</v>
      </c>
      <c r="AL56" s="287">
        <v>0</v>
      </c>
      <c r="AM56" s="287">
        <v>-2010</v>
      </c>
      <c r="AN56" s="287">
        <v>-17092</v>
      </c>
      <c r="AO56" s="287">
        <v>-26871</v>
      </c>
      <c r="AP56" s="287">
        <v>29824</v>
      </c>
      <c r="AQ56" s="287">
        <v>16355</v>
      </c>
      <c r="AR56" s="287">
        <v>13469</v>
      </c>
      <c r="AS56" s="287">
        <v>950</v>
      </c>
      <c r="AT56" s="287">
        <v>335</v>
      </c>
      <c r="AU56" s="287">
        <v>615</v>
      </c>
      <c r="AV56" s="353">
        <f t="shared" si="0"/>
        <v>13517.42964954602</v>
      </c>
      <c r="AW56" s="353">
        <f t="shared" si="1"/>
        <v>10217.111216979452</v>
      </c>
      <c r="AX56" s="353">
        <f t="shared" si="2"/>
        <v>3300.3184325665684</v>
      </c>
      <c r="AY56" s="390">
        <v>1248684</v>
      </c>
      <c r="AZ56" s="390">
        <v>-1248684</v>
      </c>
      <c r="BA56" s="401">
        <f t="shared" si="3"/>
        <v>1689.670993</v>
      </c>
      <c r="BB56" s="401">
        <v>-4562</v>
      </c>
      <c r="BC56" s="401">
        <v>100</v>
      </c>
      <c r="BD56" s="401">
        <v>420</v>
      </c>
      <c r="BE56" s="401">
        <v>-2903</v>
      </c>
      <c r="BG56" s="426">
        <f t="shared" si="4"/>
        <v>0.6554725029800208</v>
      </c>
      <c r="BH56" s="426">
        <f t="shared" si="5"/>
        <v>2.0885398220974044E-2</v>
      </c>
      <c r="BI56" s="426">
        <f t="shared" si="6"/>
        <v>3.7135801645596864E-2</v>
      </c>
      <c r="BJ56" s="426">
        <f t="shared" si="7"/>
        <v>0.29747338192785405</v>
      </c>
      <c r="BK56" s="426">
        <f t="shared" si="8"/>
        <v>-1.0967084774445694E-2</v>
      </c>
      <c r="BL56" s="425">
        <f t="shared" si="9"/>
        <v>45499785.062546015</v>
      </c>
      <c r="BN56" s="423">
        <f t="shared" si="10"/>
        <v>0.72509527071691848</v>
      </c>
      <c r="BO56" s="423">
        <f t="shared" si="11"/>
        <v>3.3133121279897093E-2</v>
      </c>
      <c r="BP56" s="423">
        <f t="shared" si="12"/>
        <v>9.0963134014151098E-2</v>
      </c>
      <c r="BQ56" s="423">
        <f t="shared" si="13"/>
        <v>0.24489472153843103</v>
      </c>
      <c r="BR56" s="423">
        <f t="shared" si="14"/>
        <v>-2.6863575252878472E-2</v>
      </c>
      <c r="BS56" s="423">
        <f t="shared" si="15"/>
        <v>-6.7222672296519334E-2</v>
      </c>
      <c r="BT56" s="425">
        <f t="shared" si="16"/>
        <v>18575338.364409681</v>
      </c>
    </row>
    <row r="57" spans="1:72" x14ac:dyDescent="0.2">
      <c r="A57" s="309">
        <v>111</v>
      </c>
      <c r="B57" s="278" t="s">
        <v>32</v>
      </c>
      <c r="C57" s="278">
        <v>7</v>
      </c>
      <c r="D57" s="279">
        <v>19575</v>
      </c>
      <c r="E57" s="364">
        <v>110529000</v>
      </c>
      <c r="F57" s="279">
        <v>62506695</v>
      </c>
      <c r="G57" s="278">
        <v>2603818.0299999998</v>
      </c>
      <c r="H57" s="279">
        <v>6309797.7649999997</v>
      </c>
      <c r="I57" s="279">
        <v>44043679.397073478</v>
      </c>
      <c r="J57" s="279">
        <v>-2010938</v>
      </c>
      <c r="K57" s="279">
        <v>2546000</v>
      </c>
      <c r="L57" s="280">
        <v>-39345.749999999993</v>
      </c>
      <c r="M57" s="369">
        <v>5509397.9420734793</v>
      </c>
      <c r="N57" s="370">
        <v>281.45072501013942</v>
      </c>
      <c r="P57" s="365">
        <v>40118478.389942288</v>
      </c>
      <c r="Q57" s="283">
        <v>26614405</v>
      </c>
      <c r="R57" s="279">
        <v>6309797.7649999997</v>
      </c>
      <c r="S57" s="279">
        <v>1686388.4076961107</v>
      </c>
      <c r="T57" s="280">
        <v>5137665.4541316479</v>
      </c>
      <c r="U57" s="280">
        <v>2057286.2527827525</v>
      </c>
      <c r="V57" s="279">
        <v>-2010938</v>
      </c>
      <c r="W57" s="279">
        <v>2546000</v>
      </c>
      <c r="X57" s="279">
        <v>244913.67818367403</v>
      </c>
      <c r="Y57" s="354">
        <v>2467040.1678519025</v>
      </c>
      <c r="Z57" s="355">
        <v>126.03014906012274</v>
      </c>
      <c r="AB57" s="366">
        <v>-3042357.7742215768</v>
      </c>
      <c r="AC57" s="349">
        <v>-155.42057595001668</v>
      </c>
      <c r="AE57" s="374">
        <v>159.864838011194</v>
      </c>
      <c r="AF57" s="350">
        <v>130.42057595001668</v>
      </c>
      <c r="AG57" s="350">
        <v>105.42057595001668</v>
      </c>
      <c r="AH57" s="350">
        <v>80.420575950016683</v>
      </c>
      <c r="AI57" s="350">
        <v>55.420575950016683</v>
      </c>
      <c r="AJ57" s="408">
        <v>-5600</v>
      </c>
      <c r="AK57" s="387">
        <v>-104929</v>
      </c>
      <c r="AL57" s="287">
        <v>-1055</v>
      </c>
      <c r="AM57" s="287">
        <v>-4545</v>
      </c>
      <c r="AN57" s="287">
        <v>-35573</v>
      </c>
      <c r="AO57" s="287">
        <v>-69356</v>
      </c>
      <c r="AP57" s="287">
        <v>62507</v>
      </c>
      <c r="AQ57" s="287">
        <v>35893</v>
      </c>
      <c r="AR57" s="287">
        <v>26614</v>
      </c>
      <c r="AS57" s="287">
        <v>2604</v>
      </c>
      <c r="AT57" s="287">
        <v>918</v>
      </c>
      <c r="AU57" s="287">
        <v>1686</v>
      </c>
      <c r="AV57" s="353">
        <f t="shared" si="0"/>
        <v>41993.395647073477</v>
      </c>
      <c r="AW57" s="353">
        <f t="shared" si="1"/>
        <v>33680.027736089956</v>
      </c>
      <c r="AX57" s="353">
        <f t="shared" si="2"/>
        <v>8313.367910983523</v>
      </c>
      <c r="AY57" s="390">
        <v>3129354</v>
      </c>
      <c r="AZ57" s="390">
        <v>3129354</v>
      </c>
      <c r="BA57" s="401">
        <f t="shared" si="3"/>
        <v>6309.7977649999993</v>
      </c>
      <c r="BB57" s="401">
        <v>-20478</v>
      </c>
      <c r="BC57" s="401">
        <v>2300</v>
      </c>
      <c r="BD57" s="401">
        <v>400</v>
      </c>
      <c r="BE57" s="401">
        <v>-12118</v>
      </c>
      <c r="BG57" s="426">
        <f t="shared" si="4"/>
        <v>0.53885522182112489</v>
      </c>
      <c r="BH57" s="426">
        <f t="shared" si="5"/>
        <v>2.2446890563282772E-2</v>
      </c>
      <c r="BI57" s="426">
        <f t="shared" si="6"/>
        <v>5.4395252769411546E-2</v>
      </c>
      <c r="BJ57" s="426">
        <f t="shared" si="7"/>
        <v>0.36235417964859618</v>
      </c>
      <c r="BK57" s="426">
        <f t="shared" si="8"/>
        <v>2.1948455197584579E-2</v>
      </c>
      <c r="BL57" s="425">
        <f t="shared" si="9"/>
        <v>115999052.19207348</v>
      </c>
      <c r="BN57" s="423">
        <f t="shared" si="10"/>
        <v>0.58531842861395067</v>
      </c>
      <c r="BO57" s="423">
        <f t="shared" si="11"/>
        <v>3.7087968445113459E-2</v>
      </c>
      <c r="BP57" s="423">
        <f t="shared" si="12"/>
        <v>0.13876849445560094</v>
      </c>
      <c r="BQ57" s="423">
        <f t="shared" si="13"/>
        <v>0.11400964090102028</v>
      </c>
      <c r="BR57" s="423">
        <f t="shared" si="14"/>
        <v>5.5993012778272462E-2</v>
      </c>
      <c r="BS57" s="423">
        <f t="shared" si="15"/>
        <v>6.8822454806042044E-2</v>
      </c>
      <c r="BT57" s="425">
        <f t="shared" si="16"/>
        <v>45469959.083679639</v>
      </c>
    </row>
    <row r="58" spans="1:72" x14ac:dyDescent="0.2">
      <c r="A58" s="309">
        <v>90</v>
      </c>
      <c r="B58" s="278" t="s">
        <v>25</v>
      </c>
      <c r="C58" s="278">
        <v>10</v>
      </c>
      <c r="D58" s="279">
        <v>3574</v>
      </c>
      <c r="E58" s="364">
        <v>26184000</v>
      </c>
      <c r="F58" s="279">
        <v>8849448</v>
      </c>
      <c r="G58" s="278">
        <v>1821639.98</v>
      </c>
      <c r="H58" s="279">
        <v>1258727.3149999997</v>
      </c>
      <c r="I58" s="279">
        <v>14205684.383205025</v>
      </c>
      <c r="J58" s="279">
        <v>-236428</v>
      </c>
      <c r="K58" s="279">
        <v>355000</v>
      </c>
      <c r="L58" s="280">
        <v>-7183.7399999999989</v>
      </c>
      <c r="M58" s="369">
        <v>77255.418205024456</v>
      </c>
      <c r="N58" s="370">
        <v>21.615953610807068</v>
      </c>
      <c r="P58" s="365">
        <v>8300037.7105544135</v>
      </c>
      <c r="Q58" s="283">
        <v>3943496</v>
      </c>
      <c r="R58" s="279">
        <v>1258727.3149999997</v>
      </c>
      <c r="S58" s="279">
        <v>1179803.0852669743</v>
      </c>
      <c r="T58" s="280">
        <v>1774489.3567781048</v>
      </c>
      <c r="U58" s="280">
        <v>182884.97410062468</v>
      </c>
      <c r="V58" s="279">
        <v>-236428</v>
      </c>
      <c r="W58" s="279">
        <v>355000</v>
      </c>
      <c r="X58" s="279">
        <v>43672.921888490338</v>
      </c>
      <c r="Y58" s="354">
        <v>201607.94247977994</v>
      </c>
      <c r="Z58" s="355">
        <v>56.409608975875756</v>
      </c>
      <c r="AB58" s="366">
        <v>124352.52427475549</v>
      </c>
      <c r="AC58" s="349">
        <v>34.793655365068688</v>
      </c>
      <c r="AE58" s="374">
        <v>-30.349393303891354</v>
      </c>
      <c r="AF58" s="350">
        <v>-9.7936553650686875</v>
      </c>
      <c r="AG58" s="350">
        <v>0</v>
      </c>
      <c r="AH58" s="350">
        <v>0</v>
      </c>
      <c r="AI58" s="350">
        <v>0</v>
      </c>
      <c r="AJ58" s="408">
        <v>-1717</v>
      </c>
      <c r="AK58" s="387">
        <v>-24467</v>
      </c>
      <c r="AL58" s="287">
        <v>0</v>
      </c>
      <c r="AM58" s="287">
        <v>-1717</v>
      </c>
      <c r="AN58" s="287">
        <v>-6583</v>
      </c>
      <c r="AO58" s="287">
        <v>-17884</v>
      </c>
      <c r="AP58" s="287">
        <v>8849</v>
      </c>
      <c r="AQ58" s="287">
        <v>4906</v>
      </c>
      <c r="AR58" s="287">
        <v>3943</v>
      </c>
      <c r="AS58" s="287">
        <v>1822</v>
      </c>
      <c r="AT58" s="287">
        <v>642</v>
      </c>
      <c r="AU58" s="287">
        <v>1180</v>
      </c>
      <c r="AV58" s="353">
        <f t="shared" si="0"/>
        <v>13962.072643205025</v>
      </c>
      <c r="AW58" s="353">
        <f t="shared" si="1"/>
        <v>12349.595043994403</v>
      </c>
      <c r="AX58" s="353">
        <f t="shared" si="2"/>
        <v>1612.4775992106217</v>
      </c>
      <c r="AY58" s="390">
        <v>108469</v>
      </c>
      <c r="AZ58" s="390">
        <v>-108469</v>
      </c>
      <c r="BA58" s="401">
        <f t="shared" si="3"/>
        <v>1258.7273149999996</v>
      </c>
      <c r="BB58" s="401">
        <v>-2240</v>
      </c>
      <c r="BC58" s="401">
        <v>0</v>
      </c>
      <c r="BD58" s="401">
        <v>0</v>
      </c>
      <c r="BE58" s="401">
        <v>-620</v>
      </c>
      <c r="BG58" s="426">
        <f t="shared" si="4"/>
        <v>0.3370695451915911</v>
      </c>
      <c r="BH58" s="426">
        <f t="shared" si="5"/>
        <v>6.9385046339773854E-2</v>
      </c>
      <c r="BI58" s="426">
        <f t="shared" si="6"/>
        <v>4.794408008129801E-2</v>
      </c>
      <c r="BJ58" s="426">
        <f t="shared" si="7"/>
        <v>0.53207961623726685</v>
      </c>
      <c r="BK58" s="426">
        <f t="shared" si="8"/>
        <v>1.3521712150070246E-2</v>
      </c>
      <c r="BL58" s="425">
        <f t="shared" si="9"/>
        <v>26254071.678205024</v>
      </c>
      <c r="BN58" s="423">
        <f t="shared" si="10"/>
        <v>0.4723030254547736</v>
      </c>
      <c r="BO58" s="423">
        <f t="shared" si="11"/>
        <v>0.14130217619403396</v>
      </c>
      <c r="BP58" s="423">
        <f t="shared" si="12"/>
        <v>0.15075474124915142</v>
      </c>
      <c r="BQ58" s="423">
        <f t="shared" si="13"/>
        <v>0.20611360039906615</v>
      </c>
      <c r="BR58" s="423">
        <f t="shared" si="14"/>
        <v>4.2517495652701215E-2</v>
      </c>
      <c r="BS58" s="423">
        <f t="shared" si="15"/>
        <v>-1.299103894972615E-2</v>
      </c>
      <c r="BT58" s="425">
        <f t="shared" si="16"/>
        <v>8349503.9994775942</v>
      </c>
    </row>
    <row r="59" spans="1:72" x14ac:dyDescent="0.2">
      <c r="A59" s="309">
        <v>91</v>
      </c>
      <c r="B59" s="278" t="s">
        <v>233</v>
      </c>
      <c r="C59" s="278">
        <v>1</v>
      </c>
      <c r="D59" s="279">
        <v>628208</v>
      </c>
      <c r="E59" s="364">
        <v>3462453000</v>
      </c>
      <c r="F59" s="279">
        <v>2525485746</v>
      </c>
      <c r="G59" s="278">
        <v>450413980.28500003</v>
      </c>
      <c r="H59" s="279">
        <v>257613158.11610001</v>
      </c>
      <c r="I59" s="279">
        <v>209911963.16604018</v>
      </c>
      <c r="J59" s="279">
        <v>8393899</v>
      </c>
      <c r="K59" s="279">
        <v>70488000</v>
      </c>
      <c r="L59" s="280">
        <v>-1262698.0799999998</v>
      </c>
      <c r="M59" s="369">
        <v>61116444.647139624</v>
      </c>
      <c r="N59" s="370">
        <v>97.28695694282726</v>
      </c>
      <c r="P59" s="365">
        <v>1634769938.9725401</v>
      </c>
      <c r="Q59" s="283">
        <v>862770737</v>
      </c>
      <c r="R59" s="279">
        <v>257613158.11610001</v>
      </c>
      <c r="S59" s="279">
        <v>291715053.15096408</v>
      </c>
      <c r="T59" s="280">
        <v>93811195.175711125</v>
      </c>
      <c r="U59" s="280">
        <v>87665710.994492501</v>
      </c>
      <c r="V59" s="279">
        <v>8393899</v>
      </c>
      <c r="W59" s="279">
        <v>70488000</v>
      </c>
      <c r="X59" s="279">
        <v>8720899.5612065718</v>
      </c>
      <c r="Y59" s="354">
        <v>46408714.025934219</v>
      </c>
      <c r="Z59" s="355">
        <v>73.874758083205279</v>
      </c>
      <c r="AB59" s="366">
        <v>-14707730.621205404</v>
      </c>
      <c r="AC59" s="349">
        <v>-23.412198859621981</v>
      </c>
      <c r="AE59" s="374">
        <v>27.85646092080006</v>
      </c>
      <c r="AF59" s="350">
        <v>0</v>
      </c>
      <c r="AG59" s="350">
        <v>0</v>
      </c>
      <c r="AH59" s="350">
        <v>0</v>
      </c>
      <c r="AI59" s="350">
        <v>0</v>
      </c>
      <c r="AJ59" s="408">
        <v>-368369</v>
      </c>
      <c r="AK59" s="387">
        <v>-3094084</v>
      </c>
      <c r="AL59" s="287">
        <v>-18566</v>
      </c>
      <c r="AM59" s="287">
        <v>-349803</v>
      </c>
      <c r="AN59" s="287">
        <v>-1284967</v>
      </c>
      <c r="AO59" s="287">
        <v>-1809117</v>
      </c>
      <c r="AP59" s="287">
        <v>2525486</v>
      </c>
      <c r="AQ59" s="287">
        <v>1662715</v>
      </c>
      <c r="AR59" s="287">
        <v>862771</v>
      </c>
      <c r="AS59" s="287">
        <v>450414</v>
      </c>
      <c r="AT59" s="287">
        <v>158699</v>
      </c>
      <c r="AU59" s="287">
        <v>291715</v>
      </c>
      <c r="AV59" s="353">
        <f t="shared" si="0"/>
        <v>217043.16408604017</v>
      </c>
      <c r="AW59" s="353">
        <f t="shared" si="1"/>
        <v>9672.7073137025873</v>
      </c>
      <c r="AX59" s="353">
        <f t="shared" si="2"/>
        <v>207370.45677233758</v>
      </c>
      <c r="AY59" s="390">
        <v>17499652</v>
      </c>
      <c r="AZ59" s="390">
        <v>17499652</v>
      </c>
      <c r="BA59" s="401">
        <f t="shared" si="3"/>
        <v>257613.15811610001</v>
      </c>
      <c r="BB59" s="401">
        <v>-662906</v>
      </c>
      <c r="BC59" s="401">
        <v>3694</v>
      </c>
      <c r="BD59" s="401">
        <v>137414</v>
      </c>
      <c r="BE59" s="401">
        <v>-195961</v>
      </c>
      <c r="BG59" s="426">
        <f t="shared" si="4"/>
        <v>0.71699767445335449</v>
      </c>
      <c r="BH59" s="426">
        <f t="shared" si="5"/>
        <v>0.1278747175338934</v>
      </c>
      <c r="BI59" s="426">
        <f t="shared" si="6"/>
        <v>7.3137627314024053E-2</v>
      </c>
      <c r="BJ59" s="426">
        <f t="shared" si="7"/>
        <v>6.197809500231697E-2</v>
      </c>
      <c r="BK59" s="426">
        <f t="shared" si="8"/>
        <v>2.0011885696411311E-2</v>
      </c>
      <c r="BL59" s="425">
        <f t="shared" si="9"/>
        <v>3522306746.5671396</v>
      </c>
      <c r="BN59" s="423">
        <f t="shared" si="10"/>
        <v>0.51052809640482288</v>
      </c>
      <c r="BO59" s="423">
        <f t="shared" si="11"/>
        <v>0.17261680814029906</v>
      </c>
      <c r="BP59" s="423">
        <f t="shared" si="12"/>
        <v>0.15243766342743634</v>
      </c>
      <c r="BQ59" s="423">
        <f t="shared" si="13"/>
        <v>0.11235242060185342</v>
      </c>
      <c r="BR59" s="423">
        <f t="shared" si="14"/>
        <v>4.1709927001595967E-2</v>
      </c>
      <c r="BS59" s="423">
        <f t="shared" si="15"/>
        <v>1.0355084423992305E-2</v>
      </c>
      <c r="BT59" s="425">
        <f t="shared" si="16"/>
        <v>1689957405.0394018</v>
      </c>
    </row>
    <row r="60" spans="1:72" x14ac:dyDescent="0.2">
      <c r="A60" s="309">
        <v>97</v>
      </c>
      <c r="B60" s="278" t="s">
        <v>26</v>
      </c>
      <c r="C60" s="278">
        <v>10</v>
      </c>
      <c r="D60" s="279">
        <v>2290</v>
      </c>
      <c r="E60" s="364">
        <v>14659000</v>
      </c>
      <c r="F60" s="279">
        <v>5621633</v>
      </c>
      <c r="G60" s="278">
        <v>768870.67999999993</v>
      </c>
      <c r="H60" s="279">
        <v>1311129.8991999999</v>
      </c>
      <c r="I60" s="279">
        <v>7677824.1678288737</v>
      </c>
      <c r="J60" s="279">
        <v>-386860</v>
      </c>
      <c r="K60" s="279">
        <v>175000</v>
      </c>
      <c r="L60" s="280">
        <v>-4602.8999999999996</v>
      </c>
      <c r="M60" s="369">
        <v>513200.64702887239</v>
      </c>
      <c r="N60" s="370">
        <v>224.10508603880891</v>
      </c>
      <c r="P60" s="365">
        <v>5543873.7674289867</v>
      </c>
      <c r="Q60" s="283">
        <v>2351922</v>
      </c>
      <c r="R60" s="279">
        <v>1311129.8991999999</v>
      </c>
      <c r="S60" s="279">
        <v>497966.6731048121</v>
      </c>
      <c r="T60" s="280">
        <v>1395839.2417981094</v>
      </c>
      <c r="U60" s="280">
        <v>199620.18352494237</v>
      </c>
      <c r="V60" s="279">
        <v>-386860</v>
      </c>
      <c r="W60" s="279">
        <v>175000</v>
      </c>
      <c r="X60" s="279">
        <v>27588.406099228778</v>
      </c>
      <c r="Y60" s="354">
        <v>28332.636298106052</v>
      </c>
      <c r="Z60" s="355">
        <v>12.372330261181682</v>
      </c>
      <c r="AB60" s="366">
        <v>-484868.01073076634</v>
      </c>
      <c r="AC60" s="349">
        <v>-211.73275577762723</v>
      </c>
      <c r="AE60" s="374">
        <v>216.17701783880457</v>
      </c>
      <c r="AF60" s="350">
        <v>186.73275577762723</v>
      </c>
      <c r="AG60" s="350">
        <v>161.73275577762723</v>
      </c>
      <c r="AH60" s="350">
        <v>136.73275577762723</v>
      </c>
      <c r="AI60" s="350">
        <v>111.73275577762723</v>
      </c>
      <c r="AJ60" s="408">
        <v>-740</v>
      </c>
      <c r="AK60" s="387">
        <v>-13919</v>
      </c>
      <c r="AL60" s="287">
        <v>0</v>
      </c>
      <c r="AM60" s="287">
        <v>-740</v>
      </c>
      <c r="AN60" s="287">
        <v>-4804</v>
      </c>
      <c r="AO60" s="287">
        <v>-9115</v>
      </c>
      <c r="AP60" s="287">
        <v>5622</v>
      </c>
      <c r="AQ60" s="287">
        <v>3270</v>
      </c>
      <c r="AR60" s="287">
        <v>2352</v>
      </c>
      <c r="AS60" s="287">
        <v>769</v>
      </c>
      <c r="AT60" s="287">
        <v>271</v>
      </c>
      <c r="AU60" s="287">
        <v>498</v>
      </c>
      <c r="AV60" s="353">
        <f t="shared" si="0"/>
        <v>7286.3612678288737</v>
      </c>
      <c r="AW60" s="353">
        <f t="shared" si="1"/>
        <v>5582.7164716549596</v>
      </c>
      <c r="AX60" s="353">
        <f t="shared" si="2"/>
        <v>1703.6447961739143</v>
      </c>
      <c r="AY60" s="390">
        <v>495045</v>
      </c>
      <c r="AZ60" s="390">
        <v>495045</v>
      </c>
      <c r="BA60" s="401">
        <f t="shared" si="3"/>
        <v>1311.1298992</v>
      </c>
      <c r="BB60" s="401">
        <v>-950</v>
      </c>
      <c r="BC60" s="401">
        <v>25</v>
      </c>
      <c r="BD60" s="401">
        <v>100</v>
      </c>
      <c r="BE60" s="401">
        <v>-825</v>
      </c>
      <c r="BG60" s="426">
        <f t="shared" si="4"/>
        <v>0.37063436766716745</v>
      </c>
      <c r="BH60" s="426">
        <f t="shared" si="5"/>
        <v>5.0691658153355981E-2</v>
      </c>
      <c r="BI60" s="426">
        <f t="shared" si="6"/>
        <v>8.6442818504784816E-2</v>
      </c>
      <c r="BJ60" s="426">
        <f t="shared" si="7"/>
        <v>0.48069340243790915</v>
      </c>
      <c r="BK60" s="426">
        <f t="shared" si="8"/>
        <v>1.1537753236782676E-2</v>
      </c>
      <c r="BL60" s="425">
        <f t="shared" si="9"/>
        <v>15167597.747028872</v>
      </c>
      <c r="BN60" s="423">
        <f t="shared" si="10"/>
        <v>0.38941276301503591</v>
      </c>
      <c r="BO60" s="423">
        <f t="shared" si="11"/>
        <v>8.2449408638190405E-2</v>
      </c>
      <c r="BP60" s="423">
        <f t="shared" si="12"/>
        <v>0.21708658566019515</v>
      </c>
      <c r="BQ60" s="423">
        <f t="shared" si="13"/>
        <v>0.20011039549501822</v>
      </c>
      <c r="BR60" s="423">
        <f t="shared" si="14"/>
        <v>2.8975124824561056E-2</v>
      </c>
      <c r="BS60" s="423">
        <f t="shared" si="15"/>
        <v>8.19657223669992E-2</v>
      </c>
      <c r="BT60" s="425">
        <f t="shared" si="16"/>
        <v>6039663.3684787266</v>
      </c>
    </row>
    <row r="61" spans="1:72" x14ac:dyDescent="0.2">
      <c r="A61" s="300">
        <v>98</v>
      </c>
      <c r="B61" s="292" t="s">
        <v>27</v>
      </c>
      <c r="C61" s="292">
        <v>7</v>
      </c>
      <c r="D61" s="279">
        <v>23915</v>
      </c>
      <c r="E61" s="364">
        <v>125047000</v>
      </c>
      <c r="F61" s="279">
        <v>82379774</v>
      </c>
      <c r="G61" s="278">
        <v>2449737.0249999999</v>
      </c>
      <c r="H61" s="279">
        <v>5367458.8615000006</v>
      </c>
      <c r="I61" s="279">
        <v>41080126.683457434</v>
      </c>
      <c r="J61" s="279">
        <v>-4339618</v>
      </c>
      <c r="K61" s="279">
        <v>528000</v>
      </c>
      <c r="L61" s="280">
        <v>82305.723291556744</v>
      </c>
      <c r="M61" s="369">
        <v>2336172.8466658783</v>
      </c>
      <c r="N61" s="370">
        <v>97.686508328073529</v>
      </c>
      <c r="P61" s="365">
        <v>53725454.215168998</v>
      </c>
      <c r="Q61" s="283">
        <v>35852559</v>
      </c>
      <c r="R61" s="279">
        <v>5367458.8615000006</v>
      </c>
      <c r="S61" s="279">
        <v>1586596.3263431112</v>
      </c>
      <c r="T61" s="280">
        <v>16523732.271074932</v>
      </c>
      <c r="U61" s="280">
        <v>244030.91348523684</v>
      </c>
      <c r="V61" s="279">
        <v>-4339618</v>
      </c>
      <c r="W61" s="279">
        <v>528000</v>
      </c>
      <c r="X61" s="279">
        <v>301837.77448750113</v>
      </c>
      <c r="Y61" s="354">
        <v>2339142.9317217916</v>
      </c>
      <c r="Z61" s="355">
        <v>97.810701723679344</v>
      </c>
      <c r="AB61" s="366">
        <v>2970.0850559133105</v>
      </c>
      <c r="AC61" s="349">
        <v>0.12419339560582524</v>
      </c>
      <c r="AE61" s="374">
        <v>4.3200686655715117</v>
      </c>
      <c r="AF61" s="350">
        <v>0</v>
      </c>
      <c r="AG61" s="350">
        <v>0</v>
      </c>
      <c r="AH61" s="350">
        <v>0</v>
      </c>
      <c r="AI61" s="350">
        <v>0</v>
      </c>
      <c r="AJ61" s="408">
        <v>-7343</v>
      </c>
      <c r="AK61" s="387">
        <v>-117704</v>
      </c>
      <c r="AL61" s="287">
        <v>0</v>
      </c>
      <c r="AM61" s="287">
        <v>-7343</v>
      </c>
      <c r="AN61" s="287">
        <v>-46382</v>
      </c>
      <c r="AO61" s="287">
        <v>-71322</v>
      </c>
      <c r="AP61" s="287">
        <v>82380</v>
      </c>
      <c r="AQ61" s="287">
        <v>46527</v>
      </c>
      <c r="AR61" s="287">
        <v>35853</v>
      </c>
      <c r="AS61" s="287">
        <v>2450</v>
      </c>
      <c r="AT61" s="287">
        <v>863</v>
      </c>
      <c r="AU61" s="287">
        <v>1587</v>
      </c>
      <c r="AV61" s="353">
        <f t="shared" si="0"/>
        <v>36822.814406748992</v>
      </c>
      <c r="AW61" s="353">
        <f t="shared" si="1"/>
        <v>24291.354780051683</v>
      </c>
      <c r="AX61" s="353">
        <f t="shared" si="2"/>
        <v>12531.459626697311</v>
      </c>
      <c r="AY61" s="390">
        <v>103314</v>
      </c>
      <c r="AZ61" s="390">
        <v>103314</v>
      </c>
      <c r="BA61" s="401">
        <f t="shared" si="3"/>
        <v>5367.4588615000002</v>
      </c>
      <c r="BB61" s="401">
        <v>-12290</v>
      </c>
      <c r="BC61" s="401">
        <v>0</v>
      </c>
      <c r="BD61" s="401">
        <v>300</v>
      </c>
      <c r="BE61" s="401">
        <v>-4925</v>
      </c>
      <c r="BG61" s="426">
        <f t="shared" si="4"/>
        <v>0.6462908618413663</v>
      </c>
      <c r="BH61" s="426">
        <f t="shared" si="5"/>
        <v>1.9218827344342493E-2</v>
      </c>
      <c r="BI61" s="426">
        <f t="shared" si="6"/>
        <v>4.210911787032718E-2</v>
      </c>
      <c r="BJ61" s="426">
        <f t="shared" si="7"/>
        <v>0.28823889492003107</v>
      </c>
      <c r="BK61" s="426">
        <f t="shared" si="8"/>
        <v>4.1422980239329303E-3</v>
      </c>
      <c r="BL61" s="425">
        <f t="shared" si="9"/>
        <v>127465478.56995744</v>
      </c>
      <c r="BN61" s="423">
        <f t="shared" si="10"/>
        <v>0.64175905969373037</v>
      </c>
      <c r="BO61" s="423">
        <f t="shared" si="11"/>
        <v>2.8399996957190199E-2</v>
      </c>
      <c r="BP61" s="423">
        <f t="shared" si="12"/>
        <v>9.6077252167718938E-2</v>
      </c>
      <c r="BQ61" s="423">
        <f t="shared" si="13"/>
        <v>0.22246319341892715</v>
      </c>
      <c r="BR61" s="423">
        <f t="shared" si="14"/>
        <v>9.4511742807058662E-3</v>
      </c>
      <c r="BS61" s="423">
        <f t="shared" si="15"/>
        <v>1.8493234817273437E-3</v>
      </c>
      <c r="BT61" s="425">
        <f t="shared" si="16"/>
        <v>55866073.814540431</v>
      </c>
    </row>
    <row r="62" spans="1:72" x14ac:dyDescent="0.2">
      <c r="A62" s="309">
        <v>99</v>
      </c>
      <c r="B62" s="278" t="s">
        <v>28</v>
      </c>
      <c r="C62" s="278">
        <v>4</v>
      </c>
      <c r="D62" s="279">
        <v>1793</v>
      </c>
      <c r="E62" s="364">
        <v>10397000</v>
      </c>
      <c r="F62" s="279">
        <v>4762000</v>
      </c>
      <c r="G62" s="278">
        <v>721967.21500000008</v>
      </c>
      <c r="H62" s="279">
        <v>499772.41410000005</v>
      </c>
      <c r="I62" s="279">
        <v>4792040.9250388891</v>
      </c>
      <c r="J62" s="279">
        <v>-420566</v>
      </c>
      <c r="K62" s="279">
        <v>-46000</v>
      </c>
      <c r="L62" s="280">
        <v>-3603.93</v>
      </c>
      <c r="M62" s="369">
        <v>-84181.515861112333</v>
      </c>
      <c r="N62" s="370">
        <v>-46.950092504803308</v>
      </c>
      <c r="P62" s="365">
        <v>3626862.9671132769</v>
      </c>
      <c r="Q62" s="283">
        <v>2290443</v>
      </c>
      <c r="R62" s="279">
        <v>499772.41410000005</v>
      </c>
      <c r="S62" s="279">
        <v>467589.18176499679</v>
      </c>
      <c r="T62" s="280">
        <v>1170406.5222661428</v>
      </c>
      <c r="U62" s="280">
        <v>-323756.73691144545</v>
      </c>
      <c r="V62" s="279">
        <v>-420566</v>
      </c>
      <c r="W62" s="279">
        <v>-46000</v>
      </c>
      <c r="X62" s="279">
        <v>21616.434962930765</v>
      </c>
      <c r="Y62" s="354">
        <v>32641.849069347605</v>
      </c>
      <c r="Z62" s="355">
        <v>18.205158432430345</v>
      </c>
      <c r="AB62" s="366">
        <v>116823.36493045994</v>
      </c>
      <c r="AC62" s="349">
        <v>65.155250937233646</v>
      </c>
      <c r="AE62" s="374">
        <v>-60.710988876055282</v>
      </c>
      <c r="AF62" s="350">
        <v>-40.155250937232609</v>
      </c>
      <c r="AG62" s="350">
        <v>-15.155250937232609</v>
      </c>
      <c r="AH62" s="350">
        <v>0</v>
      </c>
      <c r="AI62" s="350">
        <v>0</v>
      </c>
      <c r="AJ62" s="408">
        <v>-317</v>
      </c>
      <c r="AK62" s="387">
        <v>-10080</v>
      </c>
      <c r="AL62" s="287">
        <v>-4</v>
      </c>
      <c r="AM62" s="287">
        <v>-313</v>
      </c>
      <c r="AN62" s="287">
        <v>-3314</v>
      </c>
      <c r="AO62" s="287">
        <v>-6766</v>
      </c>
      <c r="AP62" s="287">
        <v>4762</v>
      </c>
      <c r="AQ62" s="287">
        <v>2472</v>
      </c>
      <c r="AR62" s="287">
        <v>2290</v>
      </c>
      <c r="AS62" s="287">
        <v>722</v>
      </c>
      <c r="AT62" s="287">
        <v>254</v>
      </c>
      <c r="AU62" s="287">
        <v>468</v>
      </c>
      <c r="AV62" s="353">
        <f t="shared" si="0"/>
        <v>4367.8709950388893</v>
      </c>
      <c r="AW62" s="353">
        <f t="shared" si="1"/>
        <v>4050.6420127389592</v>
      </c>
      <c r="AX62" s="353">
        <f t="shared" si="2"/>
        <v>317.22898229993024</v>
      </c>
      <c r="AY62" s="390">
        <v>108855</v>
      </c>
      <c r="AZ62" s="390">
        <v>-108855</v>
      </c>
      <c r="BA62" s="401">
        <f t="shared" si="3"/>
        <v>499.77241410000005</v>
      </c>
      <c r="BB62" s="401">
        <v>-122</v>
      </c>
      <c r="BC62" s="401">
        <v>0</v>
      </c>
      <c r="BD62" s="401">
        <v>0</v>
      </c>
      <c r="BE62" s="401">
        <v>204</v>
      </c>
      <c r="BG62" s="426">
        <f t="shared" si="4"/>
        <v>0.46191685845631936</v>
      </c>
      <c r="BH62" s="426">
        <f t="shared" si="5"/>
        <v>7.0031253225799686E-2</v>
      </c>
      <c r="BI62" s="426">
        <f t="shared" si="6"/>
        <v>4.8478224162999316E-2</v>
      </c>
      <c r="BJ62" s="426">
        <f t="shared" si="7"/>
        <v>0.42403569176701761</v>
      </c>
      <c r="BK62" s="426">
        <f t="shared" si="8"/>
        <v>-4.4620276121358025E-3</v>
      </c>
      <c r="BL62" s="425">
        <f t="shared" si="9"/>
        <v>10309214.554138888</v>
      </c>
      <c r="BN62" s="423">
        <f t="shared" si="10"/>
        <v>0.64902839524440414</v>
      </c>
      <c r="BO62" s="423">
        <f t="shared" si="11"/>
        <v>0.13249779901729922</v>
      </c>
      <c r="BP62" s="423">
        <f t="shared" si="12"/>
        <v>0.14161735869905728</v>
      </c>
      <c r="BQ62" s="423">
        <f t="shared" si="13"/>
        <v>0.12073667646320839</v>
      </c>
      <c r="BR62" s="423">
        <f t="shared" si="14"/>
        <v>-1.3034730041848932E-2</v>
      </c>
      <c r="BS62" s="423">
        <f t="shared" si="15"/>
        <v>-3.0845499382120039E-2</v>
      </c>
      <c r="BT62" s="425">
        <f t="shared" si="16"/>
        <v>3529033.5781649267</v>
      </c>
    </row>
    <row r="63" spans="1:72" x14ac:dyDescent="0.2">
      <c r="A63" s="309">
        <v>102</v>
      </c>
      <c r="B63" s="278" t="s">
        <v>29</v>
      </c>
      <c r="C63" s="278">
        <v>4</v>
      </c>
      <c r="D63" s="279">
        <v>10473</v>
      </c>
      <c r="E63" s="364">
        <v>60586000</v>
      </c>
      <c r="F63" s="279">
        <v>29201349</v>
      </c>
      <c r="G63" s="278">
        <v>1623754.27</v>
      </c>
      <c r="H63" s="279">
        <v>2281682.1800000002</v>
      </c>
      <c r="I63" s="279">
        <v>25539956.293082513</v>
      </c>
      <c r="J63" s="279">
        <v>349641</v>
      </c>
      <c r="K63" s="279">
        <v>-159000</v>
      </c>
      <c r="L63" s="280">
        <v>-7611.1825904356392</v>
      </c>
      <c r="M63" s="369">
        <v>-1741006.0743270558</v>
      </c>
      <c r="N63" s="370">
        <v>-166.23757035491798</v>
      </c>
      <c r="P63" s="365">
        <v>24099841.295180723</v>
      </c>
      <c r="Q63" s="283">
        <v>12871929</v>
      </c>
      <c r="R63" s="279">
        <v>2281682.1800000002</v>
      </c>
      <c r="S63" s="279">
        <v>1051640.4550263677</v>
      </c>
      <c r="T63" s="280">
        <v>6511646.8379787877</v>
      </c>
      <c r="U63" s="280">
        <v>-218360.49609399523</v>
      </c>
      <c r="V63" s="279">
        <v>349641</v>
      </c>
      <c r="W63" s="279">
        <v>-159000</v>
      </c>
      <c r="X63" s="279">
        <v>126192.854157532</v>
      </c>
      <c r="Y63" s="354">
        <v>-1284469.4641120322</v>
      </c>
      <c r="Z63" s="355">
        <v>-122.64580006798741</v>
      </c>
      <c r="AB63" s="366">
        <v>456536.61021502363</v>
      </c>
      <c r="AC63" s="349">
        <v>43.591770286930547</v>
      </c>
      <c r="AE63" s="374">
        <v>-39.147508225752489</v>
      </c>
      <c r="AF63" s="350">
        <v>-18.59177028692983</v>
      </c>
      <c r="AG63" s="350">
        <v>0</v>
      </c>
      <c r="AH63" s="350">
        <v>0</v>
      </c>
      <c r="AI63" s="350">
        <v>0</v>
      </c>
      <c r="AJ63" s="408">
        <v>-3930</v>
      </c>
      <c r="AK63" s="387">
        <v>-56656</v>
      </c>
      <c r="AL63" s="287">
        <v>-79</v>
      </c>
      <c r="AM63" s="287">
        <v>-3851</v>
      </c>
      <c r="AN63" s="287">
        <v>-20249</v>
      </c>
      <c r="AO63" s="287">
        <v>-36407</v>
      </c>
      <c r="AP63" s="287">
        <v>29201</v>
      </c>
      <c r="AQ63" s="287">
        <v>16329</v>
      </c>
      <c r="AR63" s="287">
        <v>12872</v>
      </c>
      <c r="AS63" s="287">
        <v>1624</v>
      </c>
      <c r="AT63" s="287">
        <v>572</v>
      </c>
      <c r="AU63" s="287">
        <v>1052</v>
      </c>
      <c r="AV63" s="353">
        <f t="shared" si="0"/>
        <v>25881.986110492078</v>
      </c>
      <c r="AW63" s="353">
        <f t="shared" si="1"/>
        <v>19649.050622255592</v>
      </c>
      <c r="AX63" s="353">
        <f t="shared" si="2"/>
        <v>6232.9354882364869</v>
      </c>
      <c r="AY63" s="390">
        <v>409992</v>
      </c>
      <c r="AZ63" s="390">
        <v>-409992</v>
      </c>
      <c r="BA63" s="401">
        <f t="shared" si="3"/>
        <v>2281.6821800000002</v>
      </c>
      <c r="BB63" s="401">
        <v>-5341</v>
      </c>
      <c r="BC63" s="401">
        <v>318</v>
      </c>
      <c r="BD63" s="401">
        <v>0</v>
      </c>
      <c r="BE63" s="401">
        <v>-3177</v>
      </c>
      <c r="BG63" s="426">
        <f t="shared" si="4"/>
        <v>0.49630604963360975</v>
      </c>
      <c r="BH63" s="426">
        <f t="shared" si="5"/>
        <v>2.7597323237341046E-2</v>
      </c>
      <c r="BI63" s="426">
        <f t="shared" si="6"/>
        <v>3.8779464238970704E-2</v>
      </c>
      <c r="BJ63" s="426">
        <f t="shared" si="7"/>
        <v>0.44001952646553344</v>
      </c>
      <c r="BK63" s="426">
        <f t="shared" si="8"/>
        <v>-2.7023635754548172E-3</v>
      </c>
      <c r="BL63" s="425">
        <f t="shared" si="9"/>
        <v>58837382.743082508</v>
      </c>
      <c r="BN63" s="423">
        <f t="shared" si="10"/>
        <v>0.5777557739779362</v>
      </c>
      <c r="BO63" s="423">
        <f t="shared" si="11"/>
        <v>4.7202819798047996E-2</v>
      </c>
      <c r="BP63" s="423">
        <f t="shared" si="12"/>
        <v>0.10241317007556248</v>
      </c>
      <c r="BQ63" s="423">
        <f t="shared" si="13"/>
        <v>0.29816740194028751</v>
      </c>
      <c r="BR63" s="423">
        <f t="shared" si="14"/>
        <v>-7.1367056221714603E-3</v>
      </c>
      <c r="BS63" s="423">
        <f t="shared" si="15"/>
        <v>-1.8402460169662658E-2</v>
      </c>
      <c r="BT63" s="425">
        <f t="shared" si="16"/>
        <v>22279187.123262852</v>
      </c>
    </row>
    <row r="64" spans="1:72" x14ac:dyDescent="0.2">
      <c r="A64" s="309">
        <v>103</v>
      </c>
      <c r="B64" s="278" t="s">
        <v>30</v>
      </c>
      <c r="C64" s="278">
        <v>5</v>
      </c>
      <c r="D64" s="279">
        <v>2388</v>
      </c>
      <c r="E64" s="364">
        <v>14083000</v>
      </c>
      <c r="F64" s="279">
        <v>6763183</v>
      </c>
      <c r="G64" s="278">
        <v>387181.63</v>
      </c>
      <c r="H64" s="279">
        <v>511958.19199999998</v>
      </c>
      <c r="I64" s="279">
        <v>6464170.8110764567</v>
      </c>
      <c r="J64" s="279">
        <v>-410097</v>
      </c>
      <c r="K64" s="279">
        <v>-15000</v>
      </c>
      <c r="L64" s="280">
        <v>169369.88972972136</v>
      </c>
      <c r="M64" s="369">
        <v>-550973.25665326591</v>
      </c>
      <c r="N64" s="370">
        <v>-230.72581936903933</v>
      </c>
      <c r="P64" s="365">
        <v>5301919.9546666667</v>
      </c>
      <c r="Q64" s="283">
        <v>3241644</v>
      </c>
      <c r="R64" s="279">
        <v>511958.19199999998</v>
      </c>
      <c r="S64" s="279">
        <v>250761.99833553066</v>
      </c>
      <c r="T64" s="280">
        <v>1979605.016257586</v>
      </c>
      <c r="U64" s="280">
        <v>-451397.40342482901</v>
      </c>
      <c r="V64" s="279">
        <v>-410097</v>
      </c>
      <c r="W64" s="279">
        <v>-15000</v>
      </c>
      <c r="X64" s="279">
        <v>28894.82206015617</v>
      </c>
      <c r="Y64" s="354">
        <v>-165550.32943822257</v>
      </c>
      <c r="Z64" s="355">
        <v>-69.325933600595718</v>
      </c>
      <c r="AB64" s="366">
        <v>385422.92721504334</v>
      </c>
      <c r="AC64" s="349">
        <v>161.3998857684436</v>
      </c>
      <c r="AE64" s="374">
        <v>-156.95562370726549</v>
      </c>
      <c r="AF64" s="350">
        <v>-136.3998857684428</v>
      </c>
      <c r="AG64" s="350">
        <v>-111.3998857684428</v>
      </c>
      <c r="AH64" s="350">
        <v>-86.3998857684428</v>
      </c>
      <c r="AI64" s="350">
        <v>-61.3998857684428</v>
      </c>
      <c r="AJ64" s="408">
        <v>-354</v>
      </c>
      <c r="AK64" s="387">
        <v>-13729</v>
      </c>
      <c r="AL64" s="287">
        <v>0</v>
      </c>
      <c r="AM64" s="287">
        <v>-354</v>
      </c>
      <c r="AN64" s="287">
        <v>-4948</v>
      </c>
      <c r="AO64" s="287">
        <v>-8781</v>
      </c>
      <c r="AP64" s="287">
        <v>6763</v>
      </c>
      <c r="AQ64" s="287">
        <v>3521</v>
      </c>
      <c r="AR64" s="287">
        <v>3242</v>
      </c>
      <c r="AS64" s="287">
        <v>387</v>
      </c>
      <c r="AT64" s="287">
        <v>136</v>
      </c>
      <c r="AU64" s="287">
        <v>251</v>
      </c>
      <c r="AV64" s="353">
        <f t="shared" si="0"/>
        <v>6223.4437008061786</v>
      </c>
      <c r="AW64" s="353">
        <f t="shared" si="1"/>
        <v>5480.1431173863712</v>
      </c>
      <c r="AX64" s="353">
        <f t="shared" si="2"/>
        <v>743.30058341980703</v>
      </c>
      <c r="AY64" s="390">
        <v>374810</v>
      </c>
      <c r="AZ64" s="390">
        <v>-374810</v>
      </c>
      <c r="BA64" s="401">
        <f t="shared" si="3"/>
        <v>511.958192</v>
      </c>
      <c r="BB64" s="401">
        <v>-2015</v>
      </c>
      <c r="BC64" s="401">
        <v>150</v>
      </c>
      <c r="BD64" s="401">
        <v>39</v>
      </c>
      <c r="BE64" s="401">
        <v>-1840</v>
      </c>
      <c r="BG64" s="426">
        <f t="shared" si="4"/>
        <v>0.49361267184055108</v>
      </c>
      <c r="BH64" s="426">
        <f t="shared" si="5"/>
        <v>2.8258552056314265E-2</v>
      </c>
      <c r="BI64" s="426">
        <f t="shared" si="6"/>
        <v>3.736540191560362E-2</v>
      </c>
      <c r="BJ64" s="426">
        <f t="shared" si="7"/>
        <v>0.44185815309231724</v>
      </c>
      <c r="BK64" s="426">
        <f t="shared" si="8"/>
        <v>-1.0947789047861438E-3</v>
      </c>
      <c r="BL64" s="425">
        <f t="shared" si="9"/>
        <v>13701396.633076455</v>
      </c>
      <c r="BN64" s="423">
        <f t="shared" si="10"/>
        <v>0.68495111210418091</v>
      </c>
      <c r="BO64" s="423">
        <f t="shared" si="11"/>
        <v>5.2985370890013983E-2</v>
      </c>
      <c r="BP64" s="423">
        <f t="shared" si="12"/>
        <v>0.10817546064936365</v>
      </c>
      <c r="BQ64" s="423">
        <f t="shared" si="13"/>
        <v>0.23625392168766346</v>
      </c>
      <c r="BR64" s="423">
        <f t="shared" si="14"/>
        <v>-3.1694617550732636E-3</v>
      </c>
      <c r="BS64" s="423">
        <f t="shared" si="15"/>
        <v>-7.9196403576148669E-2</v>
      </c>
      <c r="BT64" s="425">
        <f t="shared" si="16"/>
        <v>4732664.7737553371</v>
      </c>
    </row>
    <row r="65" spans="1:72" x14ac:dyDescent="0.2">
      <c r="A65" s="309">
        <v>105</v>
      </c>
      <c r="B65" s="278" t="s">
        <v>31</v>
      </c>
      <c r="C65" s="278">
        <v>18</v>
      </c>
      <c r="D65" s="279">
        <v>2422</v>
      </c>
      <c r="E65" s="364">
        <v>18048000</v>
      </c>
      <c r="F65" s="279">
        <v>6344423</v>
      </c>
      <c r="G65" s="278">
        <v>657423.19999999995</v>
      </c>
      <c r="H65" s="279">
        <v>828731.15</v>
      </c>
      <c r="I65" s="279">
        <v>11618943.734342454</v>
      </c>
      <c r="J65" s="279">
        <v>-449688</v>
      </c>
      <c r="K65" s="279">
        <v>-33000</v>
      </c>
      <c r="L65" s="280">
        <v>-4868.2199999999993</v>
      </c>
      <c r="M65" s="369">
        <v>923701.3043424536</v>
      </c>
      <c r="N65" s="370">
        <v>381.37956413808985</v>
      </c>
      <c r="P65" s="365">
        <v>6338567.2484472059</v>
      </c>
      <c r="Q65" s="283">
        <v>3034396</v>
      </c>
      <c r="R65" s="279">
        <v>828731.15</v>
      </c>
      <c r="S65" s="279">
        <v>425786.61437046796</v>
      </c>
      <c r="T65" s="280">
        <v>2571677.3424559594</v>
      </c>
      <c r="U65" s="280">
        <v>651625.9578514687</v>
      </c>
      <c r="V65" s="279">
        <v>-449688</v>
      </c>
      <c r="W65" s="279">
        <v>-33000</v>
      </c>
      <c r="X65" s="279">
        <v>29552.706190562974</v>
      </c>
      <c r="Y65" s="354">
        <v>720514.52242125198</v>
      </c>
      <c r="Z65" s="355">
        <v>297.48741635889843</v>
      </c>
      <c r="AB65" s="366">
        <v>-203186.78192120162</v>
      </c>
      <c r="AC65" s="349">
        <v>-83.892147779191419</v>
      </c>
      <c r="AE65" s="374">
        <v>88.336409840368731</v>
      </c>
      <c r="AF65" s="350">
        <v>58.892147779191419</v>
      </c>
      <c r="AG65" s="350">
        <v>33.892147779191419</v>
      </c>
      <c r="AH65" s="350">
        <v>8.8921477791914185</v>
      </c>
      <c r="AI65" s="350">
        <v>0</v>
      </c>
      <c r="AJ65" s="408">
        <v>-488</v>
      </c>
      <c r="AK65" s="387">
        <v>-17560</v>
      </c>
      <c r="AL65" s="287">
        <v>0</v>
      </c>
      <c r="AM65" s="287">
        <v>-488</v>
      </c>
      <c r="AN65" s="287">
        <v>-5851</v>
      </c>
      <c r="AO65" s="287">
        <v>-11709</v>
      </c>
      <c r="AP65" s="287">
        <v>6344</v>
      </c>
      <c r="AQ65" s="287">
        <v>3310</v>
      </c>
      <c r="AR65" s="287">
        <v>3034</v>
      </c>
      <c r="AS65" s="287">
        <v>657</v>
      </c>
      <c r="AT65" s="287">
        <v>231</v>
      </c>
      <c r="AU65" s="287">
        <v>426</v>
      </c>
      <c r="AV65" s="353">
        <f t="shared" si="0"/>
        <v>11164.387514342454</v>
      </c>
      <c r="AW65" s="353">
        <f t="shared" si="1"/>
        <v>8176.8214294016525</v>
      </c>
      <c r="AX65" s="353">
        <f t="shared" si="2"/>
        <v>2987.5660849408009</v>
      </c>
      <c r="AY65" s="390">
        <v>213951</v>
      </c>
      <c r="AZ65" s="390">
        <v>213951</v>
      </c>
      <c r="BA65" s="401">
        <f t="shared" si="3"/>
        <v>828.73115000000007</v>
      </c>
      <c r="BB65" s="401">
        <v>-2501</v>
      </c>
      <c r="BC65" s="401">
        <v>99</v>
      </c>
      <c r="BD65" s="401">
        <v>15</v>
      </c>
      <c r="BE65" s="401">
        <v>-1343</v>
      </c>
      <c r="BG65" s="426">
        <f t="shared" si="4"/>
        <v>0.33450091387356928</v>
      </c>
      <c r="BH65" s="426">
        <f t="shared" si="5"/>
        <v>3.4661727504878899E-2</v>
      </c>
      <c r="BI65" s="426">
        <f t="shared" si="6"/>
        <v>4.3693701859175225E-2</v>
      </c>
      <c r="BJ65" s="426">
        <f t="shared" si="7"/>
        <v>0.58888353604814103</v>
      </c>
      <c r="BK65" s="426">
        <f t="shared" si="8"/>
        <v>-1.7398792857644875E-3</v>
      </c>
      <c r="BL65" s="425">
        <f t="shared" si="9"/>
        <v>18966833.084342454</v>
      </c>
      <c r="BN65" s="423">
        <f t="shared" si="10"/>
        <v>0.41891412182067705</v>
      </c>
      <c r="BO65" s="423">
        <f t="shared" si="11"/>
        <v>5.8782052718894917E-2</v>
      </c>
      <c r="BP65" s="423">
        <f t="shared" si="12"/>
        <v>0.11441063787577159</v>
      </c>
      <c r="BQ65" s="423">
        <f t="shared" si="13"/>
        <v>0.38291199230314027</v>
      </c>
      <c r="BR65" s="423">
        <f t="shared" si="14"/>
        <v>-4.5558213298733394E-3</v>
      </c>
      <c r="BS65" s="423">
        <f t="shared" si="15"/>
        <v>2.953701661138964E-2</v>
      </c>
      <c r="BT65" s="425">
        <f t="shared" si="16"/>
        <v>7243479.849311268</v>
      </c>
    </row>
    <row r="66" spans="1:72" x14ac:dyDescent="0.2">
      <c r="A66" s="309">
        <v>106</v>
      </c>
      <c r="B66" s="278" t="s">
        <v>235</v>
      </c>
      <c r="C66" s="278">
        <v>1</v>
      </c>
      <c r="D66" s="279">
        <v>46463</v>
      </c>
      <c r="E66" s="364">
        <v>243588000</v>
      </c>
      <c r="F66" s="279">
        <v>170675860</v>
      </c>
      <c r="G66" s="278">
        <v>9100362.4800000004</v>
      </c>
      <c r="H66" s="279">
        <v>13393133.3485</v>
      </c>
      <c r="I66" s="279">
        <v>53454046.286532067</v>
      </c>
      <c r="J66" s="279">
        <v>-1755714</v>
      </c>
      <c r="K66" s="279">
        <v>-1254000</v>
      </c>
      <c r="L66" s="280">
        <v>-93390.62999999999</v>
      </c>
      <c r="M66" s="369">
        <v>119078.74503207683</v>
      </c>
      <c r="N66" s="370">
        <v>2.562872501389855</v>
      </c>
      <c r="P66" s="365">
        <v>100025066.68091762</v>
      </c>
      <c r="Q66" s="283">
        <v>66907714</v>
      </c>
      <c r="R66" s="279">
        <v>13393133.3485</v>
      </c>
      <c r="S66" s="279">
        <v>5893939.4440342784</v>
      </c>
      <c r="T66" s="280">
        <v>13921184.753353875</v>
      </c>
      <c r="U66" s="280">
        <v>472229.98236035998</v>
      </c>
      <c r="V66" s="279">
        <v>-1755714</v>
      </c>
      <c r="W66" s="279">
        <v>-1254000</v>
      </c>
      <c r="X66" s="279">
        <v>610858.82229862094</v>
      </c>
      <c r="Y66" s="354">
        <v>-1835720.3303704858</v>
      </c>
      <c r="Z66" s="355">
        <v>-39.509294069915541</v>
      </c>
      <c r="AB66" s="366">
        <v>-1954799.0754025625</v>
      </c>
      <c r="AC66" s="349">
        <v>-42.072166571305395</v>
      </c>
      <c r="AE66" s="374">
        <v>46.516428632482729</v>
      </c>
      <c r="AF66" s="350">
        <v>17.072166571305395</v>
      </c>
      <c r="AG66" s="350">
        <v>0</v>
      </c>
      <c r="AH66" s="350">
        <v>0</v>
      </c>
      <c r="AI66" s="350">
        <v>0</v>
      </c>
      <c r="AJ66" s="408">
        <v>-20000</v>
      </c>
      <c r="AK66" s="387">
        <v>-223588</v>
      </c>
      <c r="AL66" s="287">
        <v>-213</v>
      </c>
      <c r="AM66" s="287">
        <v>-19787</v>
      </c>
      <c r="AN66" s="287">
        <v>-80238</v>
      </c>
      <c r="AO66" s="287">
        <v>-143350</v>
      </c>
      <c r="AP66" s="287">
        <v>170676</v>
      </c>
      <c r="AQ66" s="287">
        <v>103768</v>
      </c>
      <c r="AR66" s="287">
        <v>66908</v>
      </c>
      <c r="AS66" s="287">
        <v>9100</v>
      </c>
      <c r="AT66" s="287">
        <v>3206</v>
      </c>
      <c r="AU66" s="287">
        <v>5894</v>
      </c>
      <c r="AV66" s="353">
        <f t="shared" si="0"/>
        <v>51604.941656532064</v>
      </c>
      <c r="AW66" s="353">
        <f t="shared" si="1"/>
        <v>36805.948097266788</v>
      </c>
      <c r="AX66" s="353">
        <f t="shared" si="2"/>
        <v>14798.993559265278</v>
      </c>
      <c r="AY66" s="390">
        <v>2161293</v>
      </c>
      <c r="AZ66" s="390">
        <v>2161293</v>
      </c>
      <c r="BA66" s="401">
        <f t="shared" si="3"/>
        <v>13393.133348500001</v>
      </c>
      <c r="BB66" s="401">
        <v>-28226</v>
      </c>
      <c r="BC66" s="401">
        <v>1660</v>
      </c>
      <c r="BD66" s="401">
        <v>5000</v>
      </c>
      <c r="BE66" s="401">
        <v>-5862</v>
      </c>
      <c r="BG66" s="426">
        <f t="shared" si="4"/>
        <v>0.70060045197217524</v>
      </c>
      <c r="BH66" s="426">
        <f t="shared" si="5"/>
        <v>3.7355710799398492E-2</v>
      </c>
      <c r="BI66" s="426">
        <f t="shared" si="6"/>
        <v>5.4976932750083772E-2</v>
      </c>
      <c r="BJ66" s="426">
        <f t="shared" si="7"/>
        <v>0.21221439848700374</v>
      </c>
      <c r="BK66" s="426">
        <f t="shared" si="8"/>
        <v>-5.1474940086612582E-3</v>
      </c>
      <c r="BL66" s="425">
        <f t="shared" si="9"/>
        <v>243613688.11503208</v>
      </c>
      <c r="BN66" s="423">
        <f t="shared" si="10"/>
        <v>0.67082275260688207</v>
      </c>
      <c r="BO66" s="423">
        <f t="shared" si="11"/>
        <v>5.9093166470242146E-2</v>
      </c>
      <c r="BP66" s="423">
        <f t="shared" si="12"/>
        <v>0.13428075840211487</v>
      </c>
      <c r="BQ66" s="423">
        <f t="shared" si="13"/>
        <v>0.12670672314636011</v>
      </c>
      <c r="BR66" s="423">
        <f t="shared" si="14"/>
        <v>-1.2572716679111622E-2</v>
      </c>
      <c r="BS66" s="423">
        <f t="shared" si="15"/>
        <v>2.1669316053512338E-2</v>
      </c>
      <c r="BT66" s="425">
        <f t="shared" si="16"/>
        <v>99739780.351799563</v>
      </c>
    </row>
    <row r="67" spans="1:72" x14ac:dyDescent="0.2">
      <c r="A67" s="309">
        <v>224</v>
      </c>
      <c r="B67" s="278" t="s">
        <v>256</v>
      </c>
      <c r="C67" s="278">
        <v>1</v>
      </c>
      <c r="D67" s="279">
        <v>8969</v>
      </c>
      <c r="E67" s="364">
        <v>48361000</v>
      </c>
      <c r="F67" s="279">
        <v>28249311</v>
      </c>
      <c r="G67" s="278">
        <v>1114488.1299999999</v>
      </c>
      <c r="H67" s="279">
        <v>2281091.3195000007</v>
      </c>
      <c r="I67" s="279">
        <v>18134977.435648844</v>
      </c>
      <c r="J67" s="279">
        <v>-754982</v>
      </c>
      <c r="K67" s="279">
        <v>-330000</v>
      </c>
      <c r="L67" s="280">
        <v>-18027.689999999999</v>
      </c>
      <c r="M67" s="369">
        <v>351913.57514883816</v>
      </c>
      <c r="N67" s="370">
        <v>39.236656834523153</v>
      </c>
      <c r="P67" s="365">
        <v>17604561.818113774</v>
      </c>
      <c r="Q67" s="283">
        <v>12253238</v>
      </c>
      <c r="R67" s="279">
        <v>2281091.3195000007</v>
      </c>
      <c r="S67" s="279">
        <v>721809.22064930783</v>
      </c>
      <c r="T67" s="280">
        <v>6158062.4474320868</v>
      </c>
      <c r="U67" s="280">
        <v>-1322384.5082498994</v>
      </c>
      <c r="V67" s="279">
        <v>-754982</v>
      </c>
      <c r="W67" s="279">
        <v>-330000</v>
      </c>
      <c r="X67" s="279">
        <v>111228.66487576407</v>
      </c>
      <c r="Y67" s="354">
        <v>1513501.3260934837</v>
      </c>
      <c r="Z67" s="355">
        <v>168.74805731893005</v>
      </c>
      <c r="AB67" s="366">
        <v>1161587.7509446456</v>
      </c>
      <c r="AC67" s="349">
        <v>129.51140048440692</v>
      </c>
      <c r="AE67" s="374">
        <v>-125.06713842322957</v>
      </c>
      <c r="AF67" s="350">
        <v>-104.51140048440689</v>
      </c>
      <c r="AG67" s="350">
        <v>-79.511400484406892</v>
      </c>
      <c r="AH67" s="350">
        <v>-54.511400484406892</v>
      </c>
      <c r="AI67" s="350">
        <v>-29.511400484406892</v>
      </c>
      <c r="AJ67" s="408">
        <v>-2727</v>
      </c>
      <c r="AK67" s="387">
        <v>-45634</v>
      </c>
      <c r="AL67" s="287">
        <v>0</v>
      </c>
      <c r="AM67" s="287">
        <v>-2727</v>
      </c>
      <c r="AN67" s="287">
        <v>-14878</v>
      </c>
      <c r="AO67" s="287">
        <v>-30756</v>
      </c>
      <c r="AP67" s="287">
        <v>28249</v>
      </c>
      <c r="AQ67" s="287">
        <v>15996</v>
      </c>
      <c r="AR67" s="287">
        <v>12253</v>
      </c>
      <c r="AS67" s="287">
        <v>1114</v>
      </c>
      <c r="AT67" s="287">
        <v>392</v>
      </c>
      <c r="AU67" s="287">
        <v>722</v>
      </c>
      <c r="AV67" s="353">
        <f t="shared" si="0"/>
        <v>17361.967745648843</v>
      </c>
      <c r="AW67" s="353">
        <f t="shared" si="1"/>
        <v>14402.998970984601</v>
      </c>
      <c r="AX67" s="353">
        <f t="shared" si="2"/>
        <v>2958.9687746642412</v>
      </c>
      <c r="AY67" s="390">
        <v>1121727</v>
      </c>
      <c r="AZ67" s="390">
        <v>-1121727</v>
      </c>
      <c r="BA67" s="401">
        <f t="shared" si="3"/>
        <v>2281.0913195000007</v>
      </c>
      <c r="BB67" s="401">
        <v>-5271</v>
      </c>
      <c r="BC67" s="401">
        <v>0</v>
      </c>
      <c r="BD67" s="401">
        <v>0</v>
      </c>
      <c r="BE67" s="401">
        <v>-2490</v>
      </c>
      <c r="BG67" s="426">
        <f t="shared" si="4"/>
        <v>0.58012890853935828</v>
      </c>
      <c r="BH67" s="426">
        <f t="shared" si="5"/>
        <v>2.2887169971578081E-2</v>
      </c>
      <c r="BI67" s="426">
        <f t="shared" si="6"/>
        <v>4.6844576756584967E-2</v>
      </c>
      <c r="BJ67" s="426">
        <f t="shared" si="7"/>
        <v>0.3569162370898884</v>
      </c>
      <c r="BK67" s="426">
        <f t="shared" si="8"/>
        <v>-6.7768923574096458E-3</v>
      </c>
      <c r="BL67" s="425">
        <f t="shared" si="9"/>
        <v>48694885.885148838</v>
      </c>
      <c r="BN67" s="423">
        <f t="shared" si="10"/>
        <v>0.68510844158318884</v>
      </c>
      <c r="BO67" s="423">
        <f t="shared" si="11"/>
        <v>4.0358115159390799E-2</v>
      </c>
      <c r="BP67" s="423">
        <f t="shared" si="12"/>
        <v>0.12754138285827676</v>
      </c>
      <c r="BQ67" s="423">
        <f t="shared" si="13"/>
        <v>0.22816166922310294</v>
      </c>
      <c r="BR67" s="423">
        <f t="shared" si="14"/>
        <v>-1.8451105391281253E-2</v>
      </c>
      <c r="BS67" s="423">
        <f t="shared" si="15"/>
        <v>-6.2718503432677902E-2</v>
      </c>
      <c r="BT67" s="425">
        <f t="shared" si="16"/>
        <v>17885107.314813547</v>
      </c>
    </row>
    <row r="68" spans="1:72" x14ac:dyDescent="0.2">
      <c r="A68" s="309">
        <v>140</v>
      </c>
      <c r="B68" s="278" t="s">
        <v>238</v>
      </c>
      <c r="C68" s="278">
        <v>11</v>
      </c>
      <c r="D68" s="279">
        <v>21945</v>
      </c>
      <c r="E68" s="364">
        <v>126571000</v>
      </c>
      <c r="F68" s="279">
        <v>65229242</v>
      </c>
      <c r="G68" s="278">
        <v>4358436.9399999995</v>
      </c>
      <c r="H68" s="279">
        <v>5822750.7448000005</v>
      </c>
      <c r="I68" s="279">
        <v>52879131.190903947</v>
      </c>
      <c r="J68" s="279">
        <v>-1479633</v>
      </c>
      <c r="K68" s="279">
        <v>1161000</v>
      </c>
      <c r="L68" s="280">
        <v>-1278012.1137583973</v>
      </c>
      <c r="M68" s="369">
        <v>2677939.989462343</v>
      </c>
      <c r="N68" s="370">
        <v>122.02961902311884</v>
      </c>
      <c r="P68" s="365">
        <v>47743111.957195237</v>
      </c>
      <c r="Q68" s="283">
        <v>27872751</v>
      </c>
      <c r="R68" s="279">
        <v>5822750.7448000005</v>
      </c>
      <c r="S68" s="279">
        <v>2822784.6364864861</v>
      </c>
      <c r="T68" s="280">
        <v>11037399.367239436</v>
      </c>
      <c r="U68" s="280">
        <v>1771933.1882421833</v>
      </c>
      <c r="V68" s="279">
        <v>-1479633</v>
      </c>
      <c r="W68" s="279">
        <v>1161000</v>
      </c>
      <c r="X68" s="279">
        <v>273383.71140097122</v>
      </c>
      <c r="Y68" s="354">
        <v>1539257.6909738407</v>
      </c>
      <c r="Z68" s="355">
        <v>70.141612712410151</v>
      </c>
      <c r="AB68" s="366">
        <v>-1138682.2984885024</v>
      </c>
      <c r="AC68" s="349">
        <v>-51.888006310708697</v>
      </c>
      <c r="AE68" s="374">
        <v>56.332268371886016</v>
      </c>
      <c r="AF68" s="350">
        <v>26.88800631070869</v>
      </c>
      <c r="AG68" s="350">
        <v>1.8880063107086897</v>
      </c>
      <c r="AH68" s="350">
        <v>0</v>
      </c>
      <c r="AI68" s="350">
        <v>0</v>
      </c>
      <c r="AJ68" s="408">
        <v>-7489</v>
      </c>
      <c r="AK68" s="387">
        <v>-119082</v>
      </c>
      <c r="AL68" s="287">
        <v>0</v>
      </c>
      <c r="AM68" s="287">
        <v>-7489</v>
      </c>
      <c r="AN68" s="287">
        <v>-40254</v>
      </c>
      <c r="AO68" s="287">
        <v>-78828</v>
      </c>
      <c r="AP68" s="287">
        <v>65229</v>
      </c>
      <c r="AQ68" s="287">
        <v>37356</v>
      </c>
      <c r="AR68" s="287">
        <v>27873</v>
      </c>
      <c r="AS68" s="287">
        <v>4358</v>
      </c>
      <c r="AT68" s="287">
        <v>1535</v>
      </c>
      <c r="AU68" s="287">
        <v>2823</v>
      </c>
      <c r="AV68" s="353">
        <f t="shared" si="0"/>
        <v>50121.48607714555</v>
      </c>
      <c r="AW68" s="353">
        <f t="shared" si="1"/>
        <v>37555.57489224289</v>
      </c>
      <c r="AX68" s="353">
        <f t="shared" si="2"/>
        <v>12565.911184902659</v>
      </c>
      <c r="AY68" s="390">
        <v>1236212</v>
      </c>
      <c r="AZ68" s="390">
        <v>1236212</v>
      </c>
      <c r="BA68" s="401">
        <f t="shared" si="3"/>
        <v>5822.7507448000006</v>
      </c>
      <c r="BB68" s="401">
        <v>-18146</v>
      </c>
      <c r="BC68" s="401">
        <v>113</v>
      </c>
      <c r="BD68" s="401">
        <v>399</v>
      </c>
      <c r="BE68" s="401">
        <v>-11151</v>
      </c>
      <c r="BG68" s="426">
        <f t="shared" si="4"/>
        <v>0.50971922359862931</v>
      </c>
      <c r="BH68" s="426">
        <f t="shared" si="5"/>
        <v>3.4058024055536096E-2</v>
      </c>
      <c r="BI68" s="426">
        <f t="shared" si="6"/>
        <v>4.5500574555929943E-2</v>
      </c>
      <c r="BJ68" s="426">
        <f t="shared" si="7"/>
        <v>0.40164980471836098</v>
      </c>
      <c r="BK68" s="426">
        <f t="shared" si="8"/>
        <v>9.0723730715437188E-3</v>
      </c>
      <c r="BL68" s="425">
        <f t="shared" si="9"/>
        <v>127970927.87570395</v>
      </c>
      <c r="BN68" s="423">
        <f t="shared" si="10"/>
        <v>0.55473462838478416</v>
      </c>
      <c r="BO68" s="423">
        <f t="shared" si="11"/>
        <v>5.6180187823283358E-2</v>
      </c>
      <c r="BP68" s="423">
        <f t="shared" si="12"/>
        <v>0.11588671210078451</v>
      </c>
      <c r="BQ68" s="423">
        <f t="shared" si="13"/>
        <v>0.22548820791393542</v>
      </c>
      <c r="BR68" s="423">
        <f t="shared" si="14"/>
        <v>2.3106685936911446E-2</v>
      </c>
      <c r="BS68" s="423">
        <f t="shared" si="15"/>
        <v>2.4603577840301032E-2</v>
      </c>
      <c r="BT68" s="425">
        <f t="shared" si="16"/>
        <v>50245197.566189148</v>
      </c>
    </row>
    <row r="69" spans="1:72" x14ac:dyDescent="0.2">
      <c r="A69" s="309">
        <v>139</v>
      </c>
      <c r="B69" s="278" t="s">
        <v>33</v>
      </c>
      <c r="C69" s="278">
        <v>17</v>
      </c>
      <c r="D69" s="279">
        <v>9663</v>
      </c>
      <c r="E69" s="364">
        <v>59637000</v>
      </c>
      <c r="F69" s="279">
        <v>26287798</v>
      </c>
      <c r="G69" s="278">
        <v>1252737.7450000001</v>
      </c>
      <c r="H69" s="279">
        <v>3588981.0704999999</v>
      </c>
      <c r="I69" s="279">
        <v>27902161.648774963</v>
      </c>
      <c r="J69" s="279">
        <v>-275224</v>
      </c>
      <c r="K69" s="279">
        <v>-418000</v>
      </c>
      <c r="L69" s="280">
        <v>-19422.629999999997</v>
      </c>
      <c r="M69" s="369">
        <v>-1279122.9057250349</v>
      </c>
      <c r="N69" s="370">
        <v>-132.37326976353461</v>
      </c>
      <c r="P69" s="365">
        <v>29211532.51882736</v>
      </c>
      <c r="Q69" s="283">
        <v>11852566</v>
      </c>
      <c r="R69" s="279">
        <v>3588981.0704999999</v>
      </c>
      <c r="S69" s="279">
        <v>811347.94625082402</v>
      </c>
      <c r="T69" s="280">
        <v>13527609.327610906</v>
      </c>
      <c r="U69" s="280">
        <v>-378216.62330849248</v>
      </c>
      <c r="V69" s="279">
        <v>-275224</v>
      </c>
      <c r="W69" s="279">
        <v>-418000</v>
      </c>
      <c r="X69" s="279">
        <v>114749.43408229327</v>
      </c>
      <c r="Y69" s="354">
        <v>-387719.36369182914</v>
      </c>
      <c r="Z69" s="355">
        <v>-40.124119185742437</v>
      </c>
      <c r="AB69" s="366">
        <v>891403.54203320574</v>
      </c>
      <c r="AC69" s="349">
        <v>92.249150577792165</v>
      </c>
      <c r="AE69" s="374">
        <v>-87.804888516614852</v>
      </c>
      <c r="AF69" s="350">
        <v>-67.249150577792165</v>
      </c>
      <c r="AG69" s="350">
        <v>-42.249150577792165</v>
      </c>
      <c r="AH69" s="350">
        <v>-17.249150577792165</v>
      </c>
      <c r="AI69" s="350">
        <v>0</v>
      </c>
      <c r="AJ69" s="408">
        <v>-2576</v>
      </c>
      <c r="AK69" s="387">
        <v>-57061</v>
      </c>
      <c r="AL69" s="287">
        <v>-64</v>
      </c>
      <c r="AM69" s="287">
        <v>-2512</v>
      </c>
      <c r="AN69" s="287">
        <v>-26700</v>
      </c>
      <c r="AO69" s="287">
        <v>-30361</v>
      </c>
      <c r="AP69" s="287">
        <v>26288</v>
      </c>
      <c r="AQ69" s="287">
        <v>14435</v>
      </c>
      <c r="AR69" s="287">
        <v>11853</v>
      </c>
      <c r="AS69" s="287">
        <v>1253</v>
      </c>
      <c r="AT69" s="287">
        <v>442</v>
      </c>
      <c r="AU69" s="287">
        <v>811</v>
      </c>
      <c r="AV69" s="353">
        <f t="shared" si="0"/>
        <v>27607.515018774964</v>
      </c>
      <c r="AW69" s="353">
        <f t="shared" si="1"/>
        <v>15581.804952208598</v>
      </c>
      <c r="AX69" s="353">
        <f t="shared" si="2"/>
        <v>12025.710066566366</v>
      </c>
      <c r="AY69" s="390">
        <v>848459</v>
      </c>
      <c r="AZ69" s="390">
        <v>-848459</v>
      </c>
      <c r="BA69" s="401">
        <f t="shared" si="3"/>
        <v>3588.9810705</v>
      </c>
      <c r="BB69" s="401">
        <v>-8795</v>
      </c>
      <c r="BC69" s="401">
        <v>94</v>
      </c>
      <c r="BD69" s="401">
        <v>0</v>
      </c>
      <c r="BE69" s="401">
        <v>-6914</v>
      </c>
      <c r="BG69" s="426">
        <f t="shared" si="4"/>
        <v>0.45060840643452427</v>
      </c>
      <c r="BH69" s="426">
        <f t="shared" si="5"/>
        <v>2.1473619013461284E-2</v>
      </c>
      <c r="BI69" s="426">
        <f t="shared" si="6"/>
        <v>6.1519988889966286E-2</v>
      </c>
      <c r="BJ69" s="426">
        <f t="shared" si="7"/>
        <v>0.47356307091907995</v>
      </c>
      <c r="BK69" s="426">
        <f t="shared" si="8"/>
        <v>-7.1650852570318418E-3</v>
      </c>
      <c r="BL69" s="425">
        <f t="shared" si="9"/>
        <v>58338454.464274965</v>
      </c>
      <c r="BN69" s="423">
        <f t="shared" si="10"/>
        <v>0.4254238543834522</v>
      </c>
      <c r="BO69" s="423">
        <f t="shared" si="11"/>
        <v>2.9121691500399453E-2</v>
      </c>
      <c r="BP69" s="423">
        <f t="shared" si="12"/>
        <v>0.12881920761473578</v>
      </c>
      <c r="BQ69" s="423">
        <f t="shared" si="13"/>
        <v>0.46209221464509431</v>
      </c>
      <c r="BR69" s="423">
        <f t="shared" si="14"/>
        <v>-1.5003263523888668E-2</v>
      </c>
      <c r="BS69" s="423">
        <f t="shared" si="15"/>
        <v>-3.0453704619793156E-2</v>
      </c>
      <c r="BT69" s="425">
        <f t="shared" si="16"/>
        <v>27860605.08331719</v>
      </c>
    </row>
    <row r="70" spans="1:72" x14ac:dyDescent="0.2">
      <c r="A70" s="309">
        <v>142</v>
      </c>
      <c r="B70" s="278" t="s">
        <v>34</v>
      </c>
      <c r="C70" s="278">
        <v>8</v>
      </c>
      <c r="D70" s="279">
        <v>6910</v>
      </c>
      <c r="E70" s="364">
        <v>39022000</v>
      </c>
      <c r="F70" s="279">
        <v>19912437</v>
      </c>
      <c r="G70" s="278">
        <v>1233345.385</v>
      </c>
      <c r="H70" s="279">
        <v>2487551.5130000003</v>
      </c>
      <c r="I70" s="279">
        <v>15626227.54083642</v>
      </c>
      <c r="J70" s="279">
        <v>-358278</v>
      </c>
      <c r="K70" s="279">
        <v>-67000</v>
      </c>
      <c r="L70" s="280">
        <v>-13889.099999999999</v>
      </c>
      <c r="M70" s="369">
        <v>-173827.46116357445</v>
      </c>
      <c r="N70" s="370">
        <v>-25.155927809489789</v>
      </c>
      <c r="P70" s="365">
        <v>14845933.241296519</v>
      </c>
      <c r="Q70" s="283">
        <v>8373666</v>
      </c>
      <c r="R70" s="279">
        <v>2487551.5130000003</v>
      </c>
      <c r="S70" s="279">
        <v>798788.29318556364</v>
      </c>
      <c r="T70" s="280">
        <v>3705751.3815863705</v>
      </c>
      <c r="U70" s="280">
        <v>-223203.06562087149</v>
      </c>
      <c r="V70" s="279">
        <v>-358278</v>
      </c>
      <c r="W70" s="279">
        <v>-67000</v>
      </c>
      <c r="X70" s="279">
        <v>84418.521926489295</v>
      </c>
      <c r="Y70" s="354">
        <v>-44238.597218966112</v>
      </c>
      <c r="Z70" s="355">
        <v>-6.4021124774191192</v>
      </c>
      <c r="AB70" s="366">
        <v>129588.86394460834</v>
      </c>
      <c r="AC70" s="349">
        <v>18.753815332070673</v>
      </c>
      <c r="AE70" s="374">
        <v>-14.309553270893336</v>
      </c>
      <c r="AF70" s="350">
        <v>0</v>
      </c>
      <c r="AG70" s="350">
        <v>0</v>
      </c>
      <c r="AH70" s="350">
        <v>0</v>
      </c>
      <c r="AI70" s="350">
        <v>0</v>
      </c>
      <c r="AJ70" s="408">
        <v>-1660</v>
      </c>
      <c r="AK70" s="387">
        <v>-37362</v>
      </c>
      <c r="AL70" s="287">
        <v>0</v>
      </c>
      <c r="AM70" s="287">
        <v>-1660</v>
      </c>
      <c r="AN70" s="287">
        <v>-13186</v>
      </c>
      <c r="AO70" s="287">
        <v>-24176</v>
      </c>
      <c r="AP70" s="287">
        <v>19912</v>
      </c>
      <c r="AQ70" s="287">
        <v>11538</v>
      </c>
      <c r="AR70" s="287">
        <v>8374</v>
      </c>
      <c r="AS70" s="287">
        <v>1233</v>
      </c>
      <c r="AT70" s="287">
        <v>434</v>
      </c>
      <c r="AU70" s="287">
        <v>799</v>
      </c>
      <c r="AV70" s="353">
        <f t="shared" si="0"/>
        <v>15254.06044083642</v>
      </c>
      <c r="AW70" s="353">
        <f t="shared" si="1"/>
        <v>12228.669137972794</v>
      </c>
      <c r="AX70" s="353">
        <f t="shared" si="2"/>
        <v>3025.3913028636257</v>
      </c>
      <c r="AY70" s="390">
        <v>98879</v>
      </c>
      <c r="AZ70" s="390">
        <v>-98879</v>
      </c>
      <c r="BA70" s="401">
        <f t="shared" si="3"/>
        <v>2487.5515130000003</v>
      </c>
      <c r="BB70" s="401">
        <v>-1958</v>
      </c>
      <c r="BC70" s="401">
        <v>200</v>
      </c>
      <c r="BD70" s="401">
        <v>0</v>
      </c>
      <c r="BE70" s="401">
        <v>-144</v>
      </c>
      <c r="BG70" s="426">
        <f t="shared" si="4"/>
        <v>0.51275407286352714</v>
      </c>
      <c r="BH70" s="426">
        <f t="shared" si="5"/>
        <v>3.1759189967867064E-2</v>
      </c>
      <c r="BI70" s="426">
        <f t="shared" si="6"/>
        <v>6.4055553308145025E-2</v>
      </c>
      <c r="BJ70" s="426">
        <f t="shared" si="7"/>
        <v>0.39315646353777262</v>
      </c>
      <c r="BK70" s="426">
        <f t="shared" si="8"/>
        <v>-1.7252796773120397E-3</v>
      </c>
      <c r="BL70" s="425">
        <f t="shared" si="9"/>
        <v>38834283.438836426</v>
      </c>
      <c r="BN70" s="423">
        <f t="shared" si="10"/>
        <v>0.5728169742232867</v>
      </c>
      <c r="BO70" s="423">
        <f t="shared" si="11"/>
        <v>5.4642673011741597E-2</v>
      </c>
      <c r="BP70" s="423">
        <f t="shared" si="12"/>
        <v>0.17016581875862005</v>
      </c>
      <c r="BQ70" s="423">
        <f t="shared" si="13"/>
        <v>0.21372181181420288</v>
      </c>
      <c r="BR70" s="423">
        <f t="shared" si="14"/>
        <v>-4.5832658327858086E-3</v>
      </c>
      <c r="BS70" s="423">
        <f t="shared" si="15"/>
        <v>-6.7640119750655911E-3</v>
      </c>
      <c r="BT70" s="425">
        <f t="shared" si="16"/>
        <v>14618397.109049192</v>
      </c>
    </row>
    <row r="71" spans="1:72" x14ac:dyDescent="0.2">
      <c r="A71" s="309">
        <v>143</v>
      </c>
      <c r="B71" s="278" t="s">
        <v>240</v>
      </c>
      <c r="C71" s="278">
        <v>6</v>
      </c>
      <c r="D71" s="279">
        <v>7207</v>
      </c>
      <c r="E71" s="364">
        <v>42449000</v>
      </c>
      <c r="F71" s="279">
        <v>20960794</v>
      </c>
      <c r="G71" s="278">
        <v>1424693.8149999999</v>
      </c>
      <c r="H71" s="279">
        <v>2957076.8137000003</v>
      </c>
      <c r="I71" s="279">
        <v>18100806.302520029</v>
      </c>
      <c r="J71" s="279">
        <v>-49559</v>
      </c>
      <c r="K71" s="279">
        <v>87000</v>
      </c>
      <c r="L71" s="280">
        <v>-5094.4886135157412</v>
      </c>
      <c r="M71" s="369">
        <v>1036906.419833548</v>
      </c>
      <c r="N71" s="370">
        <v>143.87490215534174</v>
      </c>
      <c r="P71" s="365">
        <v>17023020.67620378</v>
      </c>
      <c r="Q71" s="283">
        <v>9498090</v>
      </c>
      <c r="R71" s="279">
        <v>2957076.8137000003</v>
      </c>
      <c r="S71" s="279">
        <v>922716.98960942647</v>
      </c>
      <c r="T71" s="280">
        <v>4068888.3555358201</v>
      </c>
      <c r="U71" s="280">
        <v>129362.2718006444</v>
      </c>
      <c r="V71" s="279">
        <v>-49559</v>
      </c>
      <c r="W71" s="279">
        <v>87000</v>
      </c>
      <c r="X71" s="279">
        <v>87825.119254140649</v>
      </c>
      <c r="Y71" s="354">
        <v>678379.8736962527</v>
      </c>
      <c r="Z71" s="355">
        <v>94.127913652872579</v>
      </c>
      <c r="AB71" s="366">
        <v>-358526.54613729531</v>
      </c>
      <c r="AC71" s="349">
        <v>-49.746988502469172</v>
      </c>
      <c r="AE71" s="374">
        <v>54.191250563646506</v>
      </c>
      <c r="AF71" s="350">
        <v>24.746988502469165</v>
      </c>
      <c r="AG71" s="350">
        <v>0</v>
      </c>
      <c r="AH71" s="350">
        <v>0</v>
      </c>
      <c r="AI71" s="350">
        <v>0</v>
      </c>
      <c r="AJ71" s="408">
        <v>-1850</v>
      </c>
      <c r="AK71" s="387">
        <v>-40599</v>
      </c>
      <c r="AL71" s="287">
        <v>-140</v>
      </c>
      <c r="AM71" s="287">
        <v>-1710</v>
      </c>
      <c r="AN71" s="287">
        <v>-15313</v>
      </c>
      <c r="AO71" s="287">
        <v>-25286</v>
      </c>
      <c r="AP71" s="287">
        <v>20961</v>
      </c>
      <c r="AQ71" s="287">
        <v>11463</v>
      </c>
      <c r="AR71" s="287">
        <v>9498</v>
      </c>
      <c r="AS71" s="287">
        <v>1425</v>
      </c>
      <c r="AT71" s="287">
        <v>502</v>
      </c>
      <c r="AU71" s="287">
        <v>923</v>
      </c>
      <c r="AV71" s="353">
        <f t="shared" si="0"/>
        <v>18046.152813906512</v>
      </c>
      <c r="AW71" s="353">
        <f t="shared" si="1"/>
        <v>13506.904843757846</v>
      </c>
      <c r="AX71" s="353">
        <f t="shared" si="2"/>
        <v>4539.2479701486654</v>
      </c>
      <c r="AY71" s="390">
        <v>390556</v>
      </c>
      <c r="AZ71" s="390">
        <v>390556</v>
      </c>
      <c r="BA71" s="401">
        <f t="shared" si="3"/>
        <v>2957.0768137000005</v>
      </c>
      <c r="BB71" s="401">
        <v>-7870</v>
      </c>
      <c r="BC71" s="401">
        <v>15</v>
      </c>
      <c r="BD71" s="401">
        <v>4015</v>
      </c>
      <c r="BE71" s="401">
        <v>-1789</v>
      </c>
      <c r="BG71" s="426">
        <f t="shared" si="4"/>
        <v>0.48206997682464525</v>
      </c>
      <c r="BH71" s="426">
        <f t="shared" si="5"/>
        <v>3.2766035216951483E-2</v>
      </c>
      <c r="BI71" s="426">
        <f t="shared" si="6"/>
        <v>6.8008776339725255E-2</v>
      </c>
      <c r="BJ71" s="426">
        <f t="shared" si="7"/>
        <v>0.41515432901930005</v>
      </c>
      <c r="BK71" s="426">
        <f t="shared" si="8"/>
        <v>2.0008825993778736E-3</v>
      </c>
      <c r="BL71" s="425">
        <f t="shared" si="9"/>
        <v>43480811.931220032</v>
      </c>
      <c r="BN71" s="423">
        <f t="shared" si="10"/>
        <v>0.5275505711417976</v>
      </c>
      <c r="BO71" s="423">
        <f t="shared" si="11"/>
        <v>5.1250290834335431E-2</v>
      </c>
      <c r="BP71" s="423">
        <f t="shared" si="12"/>
        <v>0.16424434407102922</v>
      </c>
      <c r="BQ71" s="423">
        <f t="shared" si="13"/>
        <v>0.23042997460463585</v>
      </c>
      <c r="BR71" s="423">
        <f t="shared" si="14"/>
        <v>4.8322241302552818E-3</v>
      </c>
      <c r="BS71" s="423">
        <f t="shared" si="15"/>
        <v>2.1692595217946767E-2</v>
      </c>
      <c r="BT71" s="425">
        <f t="shared" si="16"/>
        <v>18004131.77345809</v>
      </c>
    </row>
    <row r="72" spans="1:72" x14ac:dyDescent="0.2">
      <c r="A72" s="309">
        <v>145</v>
      </c>
      <c r="B72" s="278" t="s">
        <v>35</v>
      </c>
      <c r="C72" s="278">
        <v>14</v>
      </c>
      <c r="D72" s="279">
        <v>12159</v>
      </c>
      <c r="E72" s="364">
        <v>65845000</v>
      </c>
      <c r="F72" s="279">
        <v>34775348</v>
      </c>
      <c r="G72" s="278">
        <v>1188307.9650000001</v>
      </c>
      <c r="H72" s="279">
        <v>2207415.4797</v>
      </c>
      <c r="I72" s="279">
        <v>29603354.260858722</v>
      </c>
      <c r="J72" s="279">
        <v>-574220</v>
      </c>
      <c r="K72" s="279">
        <v>-440000</v>
      </c>
      <c r="L72" s="280">
        <v>-24439.589999999997</v>
      </c>
      <c r="M72" s="369">
        <v>939645.29555871722</v>
      </c>
      <c r="N72" s="370">
        <v>77.279817053928554</v>
      </c>
      <c r="P72" s="365">
        <v>29801351.03610085</v>
      </c>
      <c r="Q72" s="283">
        <v>14629468</v>
      </c>
      <c r="R72" s="279">
        <v>2207415.4797</v>
      </c>
      <c r="S72" s="279">
        <v>769619.36427982873</v>
      </c>
      <c r="T72" s="280">
        <v>11995489.823830044</v>
      </c>
      <c r="U72" s="280">
        <v>1849548.2360556503</v>
      </c>
      <c r="V72" s="279">
        <v>-574220</v>
      </c>
      <c r="W72" s="279">
        <v>-440000</v>
      </c>
      <c r="X72" s="279">
        <v>147358.46563734239</v>
      </c>
      <c r="Y72" s="354">
        <v>783328.33340201527</v>
      </c>
      <c r="Z72" s="355">
        <v>64.423746476027247</v>
      </c>
      <c r="AB72" s="366">
        <v>-156316.96215670195</v>
      </c>
      <c r="AC72" s="349">
        <v>-12.856070577901303</v>
      </c>
      <c r="AE72" s="374">
        <v>17.300332639079244</v>
      </c>
      <c r="AF72" s="350">
        <v>0</v>
      </c>
      <c r="AG72" s="350">
        <v>0</v>
      </c>
      <c r="AH72" s="350">
        <v>0</v>
      </c>
      <c r="AI72" s="350">
        <v>0</v>
      </c>
      <c r="AJ72" s="408">
        <v>-3095</v>
      </c>
      <c r="AK72" s="387">
        <v>-62750</v>
      </c>
      <c r="AL72" s="287">
        <v>-111</v>
      </c>
      <c r="AM72" s="287">
        <v>-2984</v>
      </c>
      <c r="AN72" s="287">
        <v>-26817</v>
      </c>
      <c r="AO72" s="287">
        <v>-35933</v>
      </c>
      <c r="AP72" s="287">
        <v>34775</v>
      </c>
      <c r="AQ72" s="287">
        <v>20146</v>
      </c>
      <c r="AR72" s="287">
        <v>14629</v>
      </c>
      <c r="AS72" s="287">
        <v>1188</v>
      </c>
      <c r="AT72" s="287">
        <v>418</v>
      </c>
      <c r="AU72" s="287">
        <v>770</v>
      </c>
      <c r="AV72" s="353">
        <f t="shared" si="0"/>
        <v>29004.694670858724</v>
      </c>
      <c r="AW72" s="353">
        <f t="shared" si="1"/>
        <v>15523.521866414465</v>
      </c>
      <c r="AX72" s="353">
        <f t="shared" si="2"/>
        <v>13481.172804444259</v>
      </c>
      <c r="AY72" s="390">
        <v>210355</v>
      </c>
      <c r="AZ72" s="390">
        <v>210355</v>
      </c>
      <c r="BA72" s="401">
        <f t="shared" si="3"/>
        <v>2207.4154797000001</v>
      </c>
      <c r="BB72" s="401">
        <v>-4140</v>
      </c>
      <c r="BC72" s="401">
        <v>270</v>
      </c>
      <c r="BD72" s="401">
        <v>370</v>
      </c>
      <c r="BE72" s="401">
        <v>327</v>
      </c>
      <c r="BG72" s="426">
        <f t="shared" si="4"/>
        <v>0.52089935362653428</v>
      </c>
      <c r="BH72" s="426">
        <f t="shared" si="5"/>
        <v>1.7799645049641554E-2</v>
      </c>
      <c r="BI72" s="426">
        <f t="shared" si="6"/>
        <v>3.3064839396026634E-2</v>
      </c>
      <c r="BJ72" s="426">
        <f t="shared" si="7"/>
        <v>0.43482691453782685</v>
      </c>
      <c r="BK72" s="426">
        <f t="shared" si="8"/>
        <v>-6.590752610029239E-3</v>
      </c>
      <c r="BL72" s="425">
        <f t="shared" si="9"/>
        <v>66760205.705558717</v>
      </c>
      <c r="BN72" s="423">
        <f t="shared" si="10"/>
        <v>0.47734347517320619</v>
      </c>
      <c r="BO72" s="423">
        <f t="shared" si="11"/>
        <v>2.5111834682295157E-2</v>
      </c>
      <c r="BP72" s="423">
        <f t="shared" si="12"/>
        <v>7.2025542981544372E-2</v>
      </c>
      <c r="BQ72" s="423">
        <f t="shared" si="13"/>
        <v>0.4330122196581026</v>
      </c>
      <c r="BR72" s="423">
        <f t="shared" si="14"/>
        <v>-1.4356716804480568E-2</v>
      </c>
      <c r="BS72" s="423">
        <f t="shared" si="15"/>
        <v>6.8636443093321835E-3</v>
      </c>
      <c r="BT72" s="425">
        <f t="shared" si="16"/>
        <v>30647675.648424089</v>
      </c>
    </row>
    <row r="73" spans="1:72" x14ac:dyDescent="0.2">
      <c r="A73" s="309">
        <v>146</v>
      </c>
      <c r="B73" s="278" t="s">
        <v>241</v>
      </c>
      <c r="C73" s="278">
        <v>12</v>
      </c>
      <c r="D73" s="279">
        <v>5336</v>
      </c>
      <c r="E73" s="364">
        <v>40688000</v>
      </c>
      <c r="F73" s="279">
        <v>14052285</v>
      </c>
      <c r="G73" s="278">
        <v>2805906.875</v>
      </c>
      <c r="H73" s="279">
        <v>1409987.3868</v>
      </c>
      <c r="I73" s="279">
        <v>22114115.279740542</v>
      </c>
      <c r="J73" s="279">
        <v>30923</v>
      </c>
      <c r="K73" s="279">
        <v>288000</v>
      </c>
      <c r="L73" s="280">
        <v>-10725.359999999999</v>
      </c>
      <c r="M73" s="369">
        <v>23942.901540540755</v>
      </c>
      <c r="N73" s="370">
        <v>4.4870505135945944</v>
      </c>
      <c r="P73" s="365">
        <v>15575816.885714285</v>
      </c>
      <c r="Q73" s="283">
        <v>6242819</v>
      </c>
      <c r="R73" s="279">
        <v>1409987.3868</v>
      </c>
      <c r="S73" s="279">
        <v>1817273.2397412658</v>
      </c>
      <c r="T73" s="280">
        <v>3522844.2566661611</v>
      </c>
      <c r="U73" s="280">
        <v>1579552.778055388</v>
      </c>
      <c r="V73" s="279">
        <v>30923</v>
      </c>
      <c r="W73" s="279">
        <v>288000</v>
      </c>
      <c r="X73" s="279">
        <v>67032.814779627588</v>
      </c>
      <c r="Y73" s="354">
        <v>-617384.40967184119</v>
      </c>
      <c r="Z73" s="355">
        <v>-115.70172595049497</v>
      </c>
      <c r="AB73" s="366">
        <v>-641327.31121238193</v>
      </c>
      <c r="AC73" s="349">
        <v>-120.18877646408957</v>
      </c>
      <c r="AE73" s="374">
        <v>124.6330385252669</v>
      </c>
      <c r="AF73" s="350">
        <v>95.188776464089571</v>
      </c>
      <c r="AG73" s="350">
        <v>70.188776464089571</v>
      </c>
      <c r="AH73" s="350">
        <v>45.188776464089571</v>
      </c>
      <c r="AI73" s="350">
        <v>20.188776464089571</v>
      </c>
      <c r="AJ73" s="408">
        <v>-2030</v>
      </c>
      <c r="AK73" s="387">
        <v>-38658</v>
      </c>
      <c r="AL73" s="287">
        <v>0</v>
      </c>
      <c r="AM73" s="287">
        <v>-2030</v>
      </c>
      <c r="AN73" s="287">
        <v>-13546</v>
      </c>
      <c r="AO73" s="287">
        <v>-25112</v>
      </c>
      <c r="AP73" s="287">
        <v>14052</v>
      </c>
      <c r="AQ73" s="287">
        <v>7809</v>
      </c>
      <c r="AR73" s="287">
        <v>6243</v>
      </c>
      <c r="AS73" s="287">
        <v>2806</v>
      </c>
      <c r="AT73" s="287">
        <v>989</v>
      </c>
      <c r="AU73" s="287">
        <v>1817</v>
      </c>
      <c r="AV73" s="353">
        <f t="shared" si="0"/>
        <v>22134.312919740543</v>
      </c>
      <c r="AW73" s="353">
        <f t="shared" si="1"/>
        <v>16335.950991448168</v>
      </c>
      <c r="AX73" s="353">
        <f t="shared" si="2"/>
        <v>5798.3619282923746</v>
      </c>
      <c r="AY73" s="390">
        <v>665042</v>
      </c>
      <c r="AZ73" s="390">
        <v>665042</v>
      </c>
      <c r="BA73" s="401">
        <f t="shared" si="3"/>
        <v>1409.9873868</v>
      </c>
      <c r="BB73" s="401">
        <v>-3859</v>
      </c>
      <c r="BC73" s="401">
        <v>150</v>
      </c>
      <c r="BD73" s="401">
        <v>50</v>
      </c>
      <c r="BE73" s="401">
        <v>-2009</v>
      </c>
      <c r="BG73" s="426">
        <f t="shared" si="4"/>
        <v>0.34525465941302458</v>
      </c>
      <c r="BH73" s="426">
        <f t="shared" si="5"/>
        <v>6.8939138543858816E-2</v>
      </c>
      <c r="BI73" s="426">
        <f t="shared" si="6"/>
        <v>3.4642388409165809E-2</v>
      </c>
      <c r="BJ73" s="426">
        <f t="shared" si="7"/>
        <v>0.54408785823517047</v>
      </c>
      <c r="BK73" s="426">
        <f t="shared" si="8"/>
        <v>7.0759553987804168E-3</v>
      </c>
      <c r="BL73" s="425">
        <f t="shared" si="9"/>
        <v>40701217.541540541</v>
      </c>
      <c r="BN73" s="423">
        <f t="shared" si="10"/>
        <v>0.40130122161904402</v>
      </c>
      <c r="BO73" s="423">
        <f t="shared" si="11"/>
        <v>0.11681805465187567</v>
      </c>
      <c r="BP73" s="423">
        <f t="shared" si="12"/>
        <v>9.063688388054876E-2</v>
      </c>
      <c r="BQ73" s="423">
        <f t="shared" si="13"/>
        <v>0.32998035036660062</v>
      </c>
      <c r="BR73" s="423">
        <f t="shared" si="14"/>
        <v>1.8513231254387589E-2</v>
      </c>
      <c r="BS73" s="423">
        <f t="shared" si="15"/>
        <v>4.2750258227543358E-2</v>
      </c>
      <c r="BT73" s="425">
        <f t="shared" si="16"/>
        <v>15556441.554833639</v>
      </c>
    </row>
    <row r="74" spans="1:72" x14ac:dyDescent="0.2">
      <c r="A74" s="309">
        <v>153</v>
      </c>
      <c r="B74" s="278" t="s">
        <v>36</v>
      </c>
      <c r="C74" s="278">
        <v>9</v>
      </c>
      <c r="D74" s="279">
        <v>27835</v>
      </c>
      <c r="E74" s="364">
        <v>158135000</v>
      </c>
      <c r="F74" s="279">
        <v>94074441</v>
      </c>
      <c r="G74" s="278">
        <v>3666640.3200000003</v>
      </c>
      <c r="H74" s="279">
        <v>9664841.2901000008</v>
      </c>
      <c r="I74" s="279">
        <v>57339331.209573269</v>
      </c>
      <c r="J74" s="279">
        <v>-1288540</v>
      </c>
      <c r="K74" s="279">
        <v>-451000</v>
      </c>
      <c r="L74" s="280">
        <v>-55948.349999999991</v>
      </c>
      <c r="M74" s="369">
        <v>4926662.1696732696</v>
      </c>
      <c r="N74" s="370">
        <v>176.99522793868402</v>
      </c>
      <c r="P74" s="365">
        <v>66181170.458100557</v>
      </c>
      <c r="Q74" s="283">
        <v>38127516</v>
      </c>
      <c r="R74" s="279">
        <v>9664841.2901000008</v>
      </c>
      <c r="S74" s="279">
        <v>2374735.737903758</v>
      </c>
      <c r="T74" s="280">
        <v>7071495.2054343643</v>
      </c>
      <c r="U74" s="280">
        <v>8529833.1942189857</v>
      </c>
      <c r="V74" s="279">
        <v>-1288540</v>
      </c>
      <c r="W74" s="279">
        <v>-451000</v>
      </c>
      <c r="X74" s="279">
        <v>356917.31548908749</v>
      </c>
      <c r="Y74" s="354">
        <v>-1795371.7149543539</v>
      </c>
      <c r="Z74" s="355">
        <v>-64.500510686342878</v>
      </c>
      <c r="AB74" s="366">
        <v>-6722033.8846276235</v>
      </c>
      <c r="AC74" s="349">
        <v>-241.49573862502689</v>
      </c>
      <c r="AE74" s="374">
        <v>245.94000068620426</v>
      </c>
      <c r="AF74" s="350">
        <v>216.49573862502689</v>
      </c>
      <c r="AG74" s="350">
        <v>191.49573862502689</v>
      </c>
      <c r="AH74" s="350">
        <v>166.49573862502689</v>
      </c>
      <c r="AI74" s="350">
        <v>141.49573862502689</v>
      </c>
      <c r="AJ74" s="408">
        <v>-7729</v>
      </c>
      <c r="AK74" s="387">
        <v>-150406</v>
      </c>
      <c r="AL74" s="287">
        <v>0</v>
      </c>
      <c r="AM74" s="287">
        <v>-7729</v>
      </c>
      <c r="AN74" s="287">
        <v>-58452</v>
      </c>
      <c r="AO74" s="287">
        <v>-91954</v>
      </c>
      <c r="AP74" s="287">
        <v>94074</v>
      </c>
      <c r="AQ74" s="287">
        <v>55946</v>
      </c>
      <c r="AR74" s="287">
        <v>38128</v>
      </c>
      <c r="AS74" s="287">
        <v>3667</v>
      </c>
      <c r="AT74" s="287">
        <v>1292</v>
      </c>
      <c r="AU74" s="287">
        <v>2375</v>
      </c>
      <c r="AV74" s="353">
        <f t="shared" si="0"/>
        <v>55994.842859573269</v>
      </c>
      <c r="AW74" s="353">
        <f t="shared" si="1"/>
        <v>34836.314540819425</v>
      </c>
      <c r="AX74" s="353">
        <f t="shared" si="2"/>
        <v>21158.528318753848</v>
      </c>
      <c r="AY74" s="390">
        <v>6845740</v>
      </c>
      <c r="AZ74" s="390">
        <v>6845740</v>
      </c>
      <c r="BA74" s="401">
        <f t="shared" si="3"/>
        <v>9664.8412901000011</v>
      </c>
      <c r="BB74" s="401">
        <v>-9017</v>
      </c>
      <c r="BC74" s="401">
        <v>391</v>
      </c>
      <c r="BD74" s="401">
        <v>0</v>
      </c>
      <c r="BE74" s="401">
        <v>-781</v>
      </c>
      <c r="BG74" s="426">
        <f t="shared" si="4"/>
        <v>0.57712357926342883</v>
      </c>
      <c r="BH74" s="426">
        <f t="shared" si="5"/>
        <v>2.2493937384650567E-2</v>
      </c>
      <c r="BI74" s="426">
        <f t="shared" si="6"/>
        <v>5.9291426439148198E-2</v>
      </c>
      <c r="BJ74" s="426">
        <f t="shared" si="7"/>
        <v>0.34385783109161455</v>
      </c>
      <c r="BK74" s="426">
        <f t="shared" si="8"/>
        <v>-2.7667741788421191E-3</v>
      </c>
      <c r="BL74" s="425">
        <f t="shared" si="9"/>
        <v>163005713.81967327</v>
      </c>
      <c r="BN74" s="423">
        <f t="shared" si="10"/>
        <v>0.53795724443393123</v>
      </c>
      <c r="BO74" s="423">
        <f t="shared" si="11"/>
        <v>3.3506150618925291E-2</v>
      </c>
      <c r="BP74" s="423">
        <f t="shared" si="12"/>
        <v>0.13636533227901543</v>
      </c>
      <c r="BQ74" s="423">
        <f t="shared" si="13"/>
        <v>0.2019451833065509</v>
      </c>
      <c r="BR74" s="423">
        <f t="shared" si="14"/>
        <v>-6.3633496931639342E-3</v>
      </c>
      <c r="BS74" s="423">
        <f t="shared" si="15"/>
        <v>9.6589439054741086E-2</v>
      </c>
      <c r="BT74" s="425">
        <f t="shared" si="16"/>
        <v>70874621.346757606</v>
      </c>
    </row>
    <row r="75" spans="1:72" x14ac:dyDescent="0.2">
      <c r="A75" s="309">
        <v>149</v>
      </c>
      <c r="B75" s="278" t="s">
        <v>245</v>
      </c>
      <c r="C75" s="278">
        <v>1</v>
      </c>
      <c r="D75" s="279">
        <v>5541</v>
      </c>
      <c r="E75" s="364">
        <v>30731000</v>
      </c>
      <c r="F75" s="279">
        <v>21396372</v>
      </c>
      <c r="G75" s="278">
        <v>787691.86499999999</v>
      </c>
      <c r="H75" s="279">
        <v>3155816.3840000005</v>
      </c>
      <c r="I75" s="279">
        <v>7140657.0551883802</v>
      </c>
      <c r="J75" s="279">
        <v>-1032473</v>
      </c>
      <c r="K75" s="279">
        <v>-143000</v>
      </c>
      <c r="L75" s="280">
        <v>-11137.409999999998</v>
      </c>
      <c r="M75" s="369">
        <v>585201.71418837819</v>
      </c>
      <c r="N75" s="370">
        <v>105.6130146522971</v>
      </c>
      <c r="P75" s="365">
        <v>14078635.041916169</v>
      </c>
      <c r="Q75" s="283">
        <v>9042873</v>
      </c>
      <c r="R75" s="279">
        <v>3155816.3840000005</v>
      </c>
      <c r="S75" s="279">
        <v>510156.39905240608</v>
      </c>
      <c r="T75" s="280">
        <v>3455952.9784273626</v>
      </c>
      <c r="U75" s="280">
        <v>-66565.639068943172</v>
      </c>
      <c r="V75" s="279">
        <v>-1032473</v>
      </c>
      <c r="W75" s="279">
        <v>-143000</v>
      </c>
      <c r="X75" s="279">
        <v>73547.697581472064</v>
      </c>
      <c r="Y75" s="354">
        <v>917672.77807612903</v>
      </c>
      <c r="Z75" s="355">
        <v>165.61501138352807</v>
      </c>
      <c r="AB75" s="366">
        <v>332471.06388775085</v>
      </c>
      <c r="AC75" s="349">
        <v>60.001996731230975</v>
      </c>
      <c r="AE75" s="374">
        <v>-55.557734670053648</v>
      </c>
      <c r="AF75" s="350">
        <v>-35.001996731230975</v>
      </c>
      <c r="AG75" s="350">
        <v>-10.001996731230975</v>
      </c>
      <c r="AH75" s="350">
        <v>0</v>
      </c>
      <c r="AI75" s="350">
        <v>0</v>
      </c>
      <c r="AJ75" s="408">
        <v>-1456</v>
      </c>
      <c r="AK75" s="387">
        <v>-29275</v>
      </c>
      <c r="AL75" s="287">
        <v>-38</v>
      </c>
      <c r="AM75" s="287">
        <v>-1418</v>
      </c>
      <c r="AN75" s="287">
        <v>-12661</v>
      </c>
      <c r="AO75" s="287">
        <v>-16614</v>
      </c>
      <c r="AP75" s="287">
        <v>21396</v>
      </c>
      <c r="AQ75" s="287">
        <v>12353</v>
      </c>
      <c r="AR75" s="287">
        <v>9043</v>
      </c>
      <c r="AS75" s="287">
        <v>788</v>
      </c>
      <c r="AT75" s="287">
        <v>278</v>
      </c>
      <c r="AU75" s="287">
        <v>510</v>
      </c>
      <c r="AV75" s="353">
        <f t="shared" si="0"/>
        <v>6097.0466451883804</v>
      </c>
      <c r="AW75" s="353">
        <f t="shared" si="1"/>
        <v>4047.9777136367279</v>
      </c>
      <c r="AX75" s="353">
        <f t="shared" si="2"/>
        <v>2049.0689315516524</v>
      </c>
      <c r="AY75" s="390">
        <v>307845</v>
      </c>
      <c r="AZ75" s="390">
        <v>-307845</v>
      </c>
      <c r="BA75" s="401">
        <f t="shared" si="3"/>
        <v>3155.8163840000007</v>
      </c>
      <c r="BB75" s="401">
        <v>-2190</v>
      </c>
      <c r="BC75" s="401">
        <v>0</v>
      </c>
      <c r="BD75" s="401">
        <v>250</v>
      </c>
      <c r="BE75" s="401">
        <v>-250</v>
      </c>
      <c r="BG75" s="426">
        <f t="shared" si="4"/>
        <v>0.68347957353140876</v>
      </c>
      <c r="BH75" s="426">
        <f t="shared" si="5"/>
        <v>2.5161803130192353E-2</v>
      </c>
      <c r="BI75" s="426">
        <f t="shared" si="6"/>
        <v>0.10080849390166487</v>
      </c>
      <c r="BJ75" s="426">
        <f t="shared" si="7"/>
        <v>0.19511808044333429</v>
      </c>
      <c r="BK75" s="426">
        <f t="shared" si="8"/>
        <v>-4.5679510066001586E-3</v>
      </c>
      <c r="BL75" s="425">
        <f t="shared" si="9"/>
        <v>31305064.304188378</v>
      </c>
      <c r="BN75" s="423">
        <f t="shared" si="10"/>
        <v>0.61874278273850236</v>
      </c>
      <c r="BO75" s="423">
        <f t="shared" si="11"/>
        <v>3.4906560114417132E-2</v>
      </c>
      <c r="BP75" s="423">
        <f t="shared" si="12"/>
        <v>0.21593122133285719</v>
      </c>
      <c r="BQ75" s="423">
        <f t="shared" si="13"/>
        <v>0.1612677449977355</v>
      </c>
      <c r="BR75" s="423">
        <f t="shared" si="14"/>
        <v>-9.7845251096201208E-3</v>
      </c>
      <c r="BS75" s="423">
        <f t="shared" si="15"/>
        <v>-2.106378407389203E-2</v>
      </c>
      <c r="BT75" s="425">
        <f t="shared" si="16"/>
        <v>14614914.714604059</v>
      </c>
    </row>
    <row r="76" spans="1:72" x14ac:dyDescent="0.2">
      <c r="A76" s="309">
        <v>598</v>
      </c>
      <c r="B76" s="278" t="s">
        <v>291</v>
      </c>
      <c r="C76" s="278">
        <v>15</v>
      </c>
      <c r="D76" s="279">
        <v>19436</v>
      </c>
      <c r="E76" s="364">
        <v>118265000</v>
      </c>
      <c r="F76" s="279">
        <v>68458009</v>
      </c>
      <c r="G76" s="278">
        <v>4868338.7350000003</v>
      </c>
      <c r="H76" s="279">
        <v>5356451.7045</v>
      </c>
      <c r="I76" s="279">
        <v>38320520.244558133</v>
      </c>
      <c r="J76" s="279">
        <v>929103</v>
      </c>
      <c r="K76" s="279">
        <v>-528000</v>
      </c>
      <c r="L76" s="280">
        <v>-39066.359999999993</v>
      </c>
      <c r="M76" s="369">
        <v>-821510.95594187023</v>
      </c>
      <c r="N76" s="370">
        <v>-42.267491044549814</v>
      </c>
      <c r="P76" s="365">
        <v>49357218.754988909</v>
      </c>
      <c r="Q76" s="283">
        <v>30442538</v>
      </c>
      <c r="R76" s="279">
        <v>5356451.7045</v>
      </c>
      <c r="S76" s="279">
        <v>3153027.5590886623</v>
      </c>
      <c r="T76" s="280">
        <v>11200470.509755103</v>
      </c>
      <c r="U76" s="280">
        <v>-1546360.1064364908</v>
      </c>
      <c r="V76" s="279">
        <v>929103</v>
      </c>
      <c r="W76" s="279">
        <v>-528000</v>
      </c>
      <c r="X76" s="279">
        <v>249693.70155870824</v>
      </c>
      <c r="Y76" s="354">
        <v>-100294.38652292639</v>
      </c>
      <c r="Z76" s="355">
        <v>-5.160238038841654</v>
      </c>
      <c r="AB76" s="366">
        <v>721216.56941894384</v>
      </c>
      <c r="AC76" s="349">
        <v>37.107253005708159</v>
      </c>
      <c r="AE76" s="374">
        <v>-32.662990944530058</v>
      </c>
      <c r="AF76" s="350">
        <v>-12.107253005707392</v>
      </c>
      <c r="AG76" s="350">
        <v>0</v>
      </c>
      <c r="AH76" s="350">
        <v>0</v>
      </c>
      <c r="AI76" s="350">
        <v>0</v>
      </c>
      <c r="AJ76" s="408">
        <v>-6990</v>
      </c>
      <c r="AK76" s="387">
        <v>-111275</v>
      </c>
      <c r="AL76" s="287">
        <v>-480</v>
      </c>
      <c r="AM76" s="287">
        <v>-6510</v>
      </c>
      <c r="AN76" s="287">
        <v>-42847</v>
      </c>
      <c r="AO76" s="287">
        <v>-68428</v>
      </c>
      <c r="AP76" s="287">
        <v>68458</v>
      </c>
      <c r="AQ76" s="287">
        <v>38015</v>
      </c>
      <c r="AR76" s="287">
        <v>30443</v>
      </c>
      <c r="AS76" s="287">
        <v>4868</v>
      </c>
      <c r="AT76" s="287">
        <v>1715</v>
      </c>
      <c r="AU76" s="287">
        <v>3153</v>
      </c>
      <c r="AV76" s="353">
        <f t="shared" si="0"/>
        <v>39210.556884558137</v>
      </c>
      <c r="AW76" s="353">
        <f t="shared" si="1"/>
        <v>29262.181373237414</v>
      </c>
      <c r="AX76" s="353">
        <f t="shared" si="2"/>
        <v>9948.3755113207244</v>
      </c>
      <c r="AY76" s="390">
        <v>634838</v>
      </c>
      <c r="AZ76" s="390">
        <v>-634838</v>
      </c>
      <c r="BA76" s="401">
        <f t="shared" si="3"/>
        <v>5356.4517045000002</v>
      </c>
      <c r="BB76" s="401">
        <v>-12416</v>
      </c>
      <c r="BC76" s="401">
        <v>790</v>
      </c>
      <c r="BD76" s="401">
        <v>0</v>
      </c>
      <c r="BE76" s="401">
        <v>6748</v>
      </c>
      <c r="BG76" s="426">
        <f t="shared" si="4"/>
        <v>0.58309565717319123</v>
      </c>
      <c r="BH76" s="426">
        <f t="shared" si="5"/>
        <v>4.1466399848504622E-2</v>
      </c>
      <c r="BI76" s="426">
        <f t="shared" si="6"/>
        <v>4.5623934618838943E-2</v>
      </c>
      <c r="BJ76" s="426">
        <f t="shared" si="7"/>
        <v>0.3343112835721791</v>
      </c>
      <c r="BK76" s="426">
        <f t="shared" si="8"/>
        <v>-4.4972752127138988E-3</v>
      </c>
      <c r="BL76" s="425">
        <f t="shared" si="9"/>
        <v>117404422.68405813</v>
      </c>
      <c r="BN76" s="423">
        <f t="shared" si="10"/>
        <v>0.62933702993891283</v>
      </c>
      <c r="BO76" s="423">
        <f t="shared" si="11"/>
        <v>6.5182377348182954E-2</v>
      </c>
      <c r="BP76" s="423">
        <f t="shared" si="12"/>
        <v>0.11073365192879968</v>
      </c>
      <c r="BQ76" s="423">
        <f t="shared" si="13"/>
        <v>0.21878622900804884</v>
      </c>
      <c r="BR76" s="423">
        <f t="shared" si="14"/>
        <v>-1.0915316975468537E-2</v>
      </c>
      <c r="BS76" s="423">
        <f t="shared" si="15"/>
        <v>-1.3123971248475736E-2</v>
      </c>
      <c r="BT76" s="425">
        <f t="shared" si="16"/>
        <v>48372392.774909385</v>
      </c>
    </row>
    <row r="77" spans="1:72" x14ac:dyDescent="0.2">
      <c r="A77" s="309">
        <v>165</v>
      </c>
      <c r="B77" s="278" t="s">
        <v>37</v>
      </c>
      <c r="C77" s="278">
        <v>5</v>
      </c>
      <c r="D77" s="279">
        <v>16853</v>
      </c>
      <c r="E77" s="364">
        <v>86544000</v>
      </c>
      <c r="F77" s="279">
        <v>58225150</v>
      </c>
      <c r="G77" s="278">
        <v>2204869.5750000002</v>
      </c>
      <c r="H77" s="279">
        <v>3690492.9079999998</v>
      </c>
      <c r="I77" s="279">
        <v>26329913.493961122</v>
      </c>
      <c r="J77" s="279">
        <v>-2192869</v>
      </c>
      <c r="K77" s="279">
        <v>-405000</v>
      </c>
      <c r="L77" s="280">
        <v>-33874.53</v>
      </c>
      <c r="M77" s="369">
        <v>1342431.506961121</v>
      </c>
      <c r="N77" s="370">
        <v>79.655343675376557</v>
      </c>
      <c r="P77" s="365">
        <v>36370912.779060818</v>
      </c>
      <c r="Q77" s="283">
        <v>25431903</v>
      </c>
      <c r="R77" s="279">
        <v>3690492.9079999998</v>
      </c>
      <c r="S77" s="279">
        <v>1428005.5091875414</v>
      </c>
      <c r="T77" s="280">
        <v>10167910.081463557</v>
      </c>
      <c r="U77" s="280">
        <v>1235.5986856439995</v>
      </c>
      <c r="V77" s="279">
        <v>-2192869</v>
      </c>
      <c r="W77" s="279">
        <v>-405000</v>
      </c>
      <c r="X77" s="279">
        <v>211849.77862670997</v>
      </c>
      <c r="Y77" s="354">
        <v>1962615.0969026387</v>
      </c>
      <c r="Z77" s="355">
        <v>116.45493958954718</v>
      </c>
      <c r="AB77" s="366">
        <v>620183.58994151768</v>
      </c>
      <c r="AC77" s="349">
        <v>36.799595914170631</v>
      </c>
      <c r="AE77" s="374">
        <v>-32.355333852992416</v>
      </c>
      <c r="AF77" s="350">
        <v>-11.799595914169743</v>
      </c>
      <c r="AG77" s="350">
        <v>0</v>
      </c>
      <c r="AH77" s="350">
        <v>0</v>
      </c>
      <c r="AI77" s="350">
        <v>0</v>
      </c>
      <c r="AJ77" s="408">
        <v>-5311</v>
      </c>
      <c r="AK77" s="387">
        <v>-81233</v>
      </c>
      <c r="AL77" s="287">
        <v>-165</v>
      </c>
      <c r="AM77" s="287">
        <v>-5146</v>
      </c>
      <c r="AN77" s="287">
        <v>-31225</v>
      </c>
      <c r="AO77" s="287">
        <v>-50008</v>
      </c>
      <c r="AP77" s="287">
        <v>58225</v>
      </c>
      <c r="AQ77" s="287">
        <v>32793</v>
      </c>
      <c r="AR77" s="287">
        <v>25432</v>
      </c>
      <c r="AS77" s="287">
        <v>2205</v>
      </c>
      <c r="AT77" s="287">
        <v>777</v>
      </c>
      <c r="AU77" s="287">
        <v>1428</v>
      </c>
      <c r="AV77" s="353">
        <f t="shared" si="0"/>
        <v>24103.169963961122</v>
      </c>
      <c r="AW77" s="353">
        <f t="shared" si="1"/>
        <v>16672.177725236401</v>
      </c>
      <c r="AX77" s="353">
        <f t="shared" si="2"/>
        <v>7430.9922387247198</v>
      </c>
      <c r="AY77" s="390">
        <v>545284</v>
      </c>
      <c r="AZ77" s="390">
        <v>-545284</v>
      </c>
      <c r="BA77" s="401">
        <f t="shared" si="3"/>
        <v>3690.4929079999997</v>
      </c>
      <c r="BB77" s="401">
        <v>-8835</v>
      </c>
      <c r="BC77" s="401">
        <v>112</v>
      </c>
      <c r="BD77" s="401">
        <v>100</v>
      </c>
      <c r="BE77" s="401">
        <v>-3312</v>
      </c>
      <c r="BG77" s="426">
        <f t="shared" si="4"/>
        <v>0.66275987863698993</v>
      </c>
      <c r="BH77" s="426">
        <f t="shared" si="5"/>
        <v>2.5097386471952272E-2</v>
      </c>
      <c r="BI77" s="426">
        <f t="shared" si="6"/>
        <v>4.2007803016681833E-2</v>
      </c>
      <c r="BJ77" s="426">
        <f t="shared" si="7"/>
        <v>0.27474492859998301</v>
      </c>
      <c r="BK77" s="426">
        <f t="shared" si="8"/>
        <v>-4.6099967256070778E-3</v>
      </c>
      <c r="BL77" s="425">
        <f t="shared" si="9"/>
        <v>87852556.976961121</v>
      </c>
      <c r="BN77" s="423">
        <f t="shared" si="10"/>
        <v>0.67680531646757824</v>
      </c>
      <c r="BO77" s="423">
        <f t="shared" si="11"/>
        <v>3.8002729114023408E-2</v>
      </c>
      <c r="BP77" s="423">
        <f t="shared" si="12"/>
        <v>9.8213068071244733E-2</v>
      </c>
      <c r="BQ77" s="423">
        <f t="shared" si="13"/>
        <v>0.21226828612634077</v>
      </c>
      <c r="BR77" s="423">
        <f t="shared" si="14"/>
        <v>-1.0778043356384664E-2</v>
      </c>
      <c r="BS77" s="423">
        <f t="shared" si="15"/>
        <v>-1.4511356422802598E-2</v>
      </c>
      <c r="BT77" s="425">
        <f t="shared" si="16"/>
        <v>37576393.655912265</v>
      </c>
    </row>
    <row r="78" spans="1:72" x14ac:dyDescent="0.2">
      <c r="A78" s="309">
        <v>169</v>
      </c>
      <c r="B78" s="278" t="s">
        <v>249</v>
      </c>
      <c r="C78" s="278">
        <v>5</v>
      </c>
      <c r="D78" s="279">
        <v>5425</v>
      </c>
      <c r="E78" s="364">
        <v>28479000</v>
      </c>
      <c r="F78" s="279">
        <v>17036664</v>
      </c>
      <c r="G78" s="278">
        <v>911113.55999999994</v>
      </c>
      <c r="H78" s="279">
        <v>870903.29110000003</v>
      </c>
      <c r="I78" s="279">
        <v>10716026.481200097</v>
      </c>
      <c r="J78" s="279">
        <v>-976778</v>
      </c>
      <c r="K78" s="279">
        <v>-135000</v>
      </c>
      <c r="L78" s="280">
        <v>-10904.249999999998</v>
      </c>
      <c r="M78" s="369">
        <v>-45166.41769990325</v>
      </c>
      <c r="N78" s="370">
        <v>-8.3256069492909219</v>
      </c>
      <c r="P78" s="365">
        <v>12935332.274666667</v>
      </c>
      <c r="Q78" s="283">
        <v>7252752</v>
      </c>
      <c r="R78" s="279">
        <v>870903.29110000003</v>
      </c>
      <c r="S78" s="279">
        <v>590091.67613711278</v>
      </c>
      <c r="T78" s="280">
        <v>3807064.0079492382</v>
      </c>
      <c r="U78" s="280">
        <v>853175.69036461867</v>
      </c>
      <c r="V78" s="279">
        <v>-976778</v>
      </c>
      <c r="W78" s="279">
        <v>-135000</v>
      </c>
      <c r="X78" s="279">
        <v>68544.627832553175</v>
      </c>
      <c r="Y78" s="354">
        <v>-604578.98128314503</v>
      </c>
      <c r="Z78" s="355">
        <v>-111.44313019044148</v>
      </c>
      <c r="AB78" s="366">
        <v>-559412.56358324178</v>
      </c>
      <c r="AC78" s="349">
        <v>-103.11752324115056</v>
      </c>
      <c r="AE78" s="374">
        <v>107.56178530232721</v>
      </c>
      <c r="AF78" s="350">
        <v>78.117523241149868</v>
      </c>
      <c r="AG78" s="350">
        <v>53.117523241149868</v>
      </c>
      <c r="AH78" s="350">
        <v>28.117523241149868</v>
      </c>
      <c r="AI78" s="350">
        <v>3.1175232411498683</v>
      </c>
      <c r="AJ78" s="408">
        <v>-1359</v>
      </c>
      <c r="AK78" s="387">
        <v>-27120</v>
      </c>
      <c r="AL78" s="287">
        <v>0</v>
      </c>
      <c r="AM78" s="287">
        <v>-1359</v>
      </c>
      <c r="AN78" s="287">
        <v>-11576</v>
      </c>
      <c r="AO78" s="287">
        <v>-15544</v>
      </c>
      <c r="AP78" s="287">
        <v>17037</v>
      </c>
      <c r="AQ78" s="287">
        <v>9784</v>
      </c>
      <c r="AR78" s="287">
        <v>7253</v>
      </c>
      <c r="AS78" s="287">
        <v>911</v>
      </c>
      <c r="AT78" s="287">
        <v>321</v>
      </c>
      <c r="AU78" s="287">
        <v>590</v>
      </c>
      <c r="AV78" s="353">
        <f t="shared" si="0"/>
        <v>9728.3442312000971</v>
      </c>
      <c r="AW78" s="353">
        <f t="shared" si="1"/>
        <v>5461.3598476211155</v>
      </c>
      <c r="AX78" s="353">
        <f t="shared" si="2"/>
        <v>4266.9843835789816</v>
      </c>
      <c r="AY78" s="390">
        <v>583523</v>
      </c>
      <c r="AZ78" s="390">
        <v>583523</v>
      </c>
      <c r="BA78" s="401">
        <f t="shared" si="3"/>
        <v>870.90329110000005</v>
      </c>
      <c r="BB78" s="401">
        <v>-944</v>
      </c>
      <c r="BC78" s="401">
        <v>16</v>
      </c>
      <c r="BD78" s="401">
        <v>15</v>
      </c>
      <c r="BE78" s="401">
        <v>860</v>
      </c>
      <c r="BG78" s="426">
        <f t="shared" si="4"/>
        <v>0.59939859825212904</v>
      </c>
      <c r="BH78" s="426">
        <f t="shared" si="5"/>
        <v>3.2055582637100025E-2</v>
      </c>
      <c r="BI78" s="426">
        <f t="shared" si="6"/>
        <v>3.0640870295881042E-2</v>
      </c>
      <c r="BJ78" s="426">
        <f t="shared" si="7"/>
        <v>0.34265463518330319</v>
      </c>
      <c r="BK78" s="426">
        <f t="shared" si="8"/>
        <v>-4.749686368413289E-3</v>
      </c>
      <c r="BL78" s="425">
        <f t="shared" si="9"/>
        <v>28422929.332300097</v>
      </c>
      <c r="BN78" s="423">
        <f t="shared" si="10"/>
        <v>0.56460405421285953</v>
      </c>
      <c r="BO78" s="423">
        <f t="shared" si="11"/>
        <v>4.5936790986962683E-2</v>
      </c>
      <c r="BP78" s="423">
        <f t="shared" si="12"/>
        <v>6.7797096740986343E-2</v>
      </c>
      <c r="BQ78" s="423">
        <f t="shared" si="13"/>
        <v>0.28674597013737518</v>
      </c>
      <c r="BR78" s="423">
        <f t="shared" si="14"/>
        <v>-1.0509327675720338E-2</v>
      </c>
      <c r="BS78" s="423">
        <f t="shared" si="15"/>
        <v>4.5425415597536503E-2</v>
      </c>
      <c r="BT78" s="425">
        <f t="shared" si="16"/>
        <v>12845731.350816095</v>
      </c>
    </row>
    <row r="79" spans="1:72" x14ac:dyDescent="0.2">
      <c r="A79" s="309">
        <v>167</v>
      </c>
      <c r="B79" s="278" t="s">
        <v>38</v>
      </c>
      <c r="C79" s="278">
        <v>12</v>
      </c>
      <c r="D79" s="279">
        <v>75514</v>
      </c>
      <c r="E79" s="364">
        <v>400162000</v>
      </c>
      <c r="F79" s="279">
        <v>220960680</v>
      </c>
      <c r="G79" s="278">
        <v>17955973.140000001</v>
      </c>
      <c r="H79" s="279">
        <v>20699550.531000003</v>
      </c>
      <c r="I79" s="279">
        <v>141537752.33647996</v>
      </c>
      <c r="J79" s="279">
        <v>-2222943</v>
      </c>
      <c r="K79" s="279">
        <v>2729000</v>
      </c>
      <c r="L79" s="280">
        <v>-151783.13999999998</v>
      </c>
      <c r="M79" s="369">
        <v>1649796.1474799656</v>
      </c>
      <c r="N79" s="370">
        <v>21.847553400428605</v>
      </c>
      <c r="P79" s="365">
        <v>173281715.65454546</v>
      </c>
      <c r="Q79" s="283">
        <v>94118042</v>
      </c>
      <c r="R79" s="279">
        <v>20699550.531000003</v>
      </c>
      <c r="S79" s="279">
        <v>11629362.959822018</v>
      </c>
      <c r="T79" s="280">
        <v>31420798.814720429</v>
      </c>
      <c r="U79" s="280">
        <v>7444534.3415971296</v>
      </c>
      <c r="V79" s="279">
        <v>-2222943</v>
      </c>
      <c r="W79" s="279">
        <v>2729000</v>
      </c>
      <c r="X79" s="279">
        <v>919570.03813591134</v>
      </c>
      <c r="Y79" s="354">
        <v>-6543799.9692699611</v>
      </c>
      <c r="Z79" s="355">
        <v>-86.656778468495389</v>
      </c>
      <c r="AB79" s="366">
        <v>-8193596.1167499265</v>
      </c>
      <c r="AC79" s="349">
        <v>-108.504331868924</v>
      </c>
      <c r="AE79" s="374">
        <v>112.94859393010132</v>
      </c>
      <c r="AF79" s="350">
        <v>83.504331868923998</v>
      </c>
      <c r="AG79" s="350">
        <v>58.504331868923998</v>
      </c>
      <c r="AH79" s="350">
        <v>33.504331868923998</v>
      </c>
      <c r="AI79" s="350">
        <v>8.5043318689239982</v>
      </c>
      <c r="AJ79" s="408">
        <v>-30630</v>
      </c>
      <c r="AK79" s="387">
        <v>-369532</v>
      </c>
      <c r="AL79" s="287">
        <v>-570</v>
      </c>
      <c r="AM79" s="287">
        <v>-30060</v>
      </c>
      <c r="AN79" s="287">
        <v>-143222</v>
      </c>
      <c r="AO79" s="287">
        <v>-226310</v>
      </c>
      <c r="AP79" s="287">
        <v>220961</v>
      </c>
      <c r="AQ79" s="287">
        <v>126843</v>
      </c>
      <c r="AR79" s="287">
        <v>94118</v>
      </c>
      <c r="AS79" s="287">
        <v>17956</v>
      </c>
      <c r="AT79" s="287">
        <v>6327</v>
      </c>
      <c r="AU79" s="287">
        <v>11629</v>
      </c>
      <c r="AV79" s="353">
        <f t="shared" si="0"/>
        <v>139163.02619647997</v>
      </c>
      <c r="AW79" s="353">
        <f t="shared" si="1"/>
        <v>93991.435918124742</v>
      </c>
      <c r="AX79" s="353">
        <f t="shared" si="2"/>
        <v>45171.590278355237</v>
      </c>
      <c r="AY79" s="390">
        <v>8529200</v>
      </c>
      <c r="AZ79" s="390">
        <v>8529200</v>
      </c>
      <c r="BA79" s="401">
        <f t="shared" si="3"/>
        <v>20699.550531000004</v>
      </c>
      <c r="BB79" s="401">
        <v>-50281</v>
      </c>
      <c r="BC79" s="401">
        <v>1045</v>
      </c>
      <c r="BD79" s="401">
        <v>3500</v>
      </c>
      <c r="BE79" s="401">
        <v>-17365</v>
      </c>
      <c r="BG79" s="426">
        <f t="shared" si="4"/>
        <v>0.55011868954922616</v>
      </c>
      <c r="BH79" s="426">
        <f t="shared" si="5"/>
        <v>4.4704408102644796E-2</v>
      </c>
      <c r="BI79" s="426">
        <f t="shared" si="6"/>
        <v>5.1535004383457317E-2</v>
      </c>
      <c r="BJ79" s="426">
        <f t="shared" si="7"/>
        <v>0.34684759454480613</v>
      </c>
      <c r="BK79" s="426">
        <f t="shared" si="8"/>
        <v>6.7943034198656438E-3</v>
      </c>
      <c r="BL79" s="425">
        <f t="shared" si="9"/>
        <v>401660013.00747997</v>
      </c>
      <c r="BN79" s="423">
        <f t="shared" si="10"/>
        <v>0.53983003652144923</v>
      </c>
      <c r="BO79" s="423">
        <f t="shared" si="11"/>
        <v>6.6702189058734443E-2</v>
      </c>
      <c r="BP79" s="423">
        <f t="shared" si="12"/>
        <v>0.11872579243762121</v>
      </c>
      <c r="BQ79" s="423">
        <f t="shared" si="13"/>
        <v>0.21016866050313818</v>
      </c>
      <c r="BR79" s="423">
        <f t="shared" si="14"/>
        <v>1.5652643620306453E-2</v>
      </c>
      <c r="BS79" s="423">
        <f t="shared" si="15"/>
        <v>4.8920677858750455E-2</v>
      </c>
      <c r="BT79" s="425">
        <f t="shared" si="16"/>
        <v>174347545.76917726</v>
      </c>
    </row>
    <row r="80" spans="1:72" x14ac:dyDescent="0.2">
      <c r="A80" s="309">
        <v>171</v>
      </c>
      <c r="B80" s="278" t="s">
        <v>250</v>
      </c>
      <c r="C80" s="278">
        <v>10</v>
      </c>
      <c r="D80" s="279">
        <v>5110</v>
      </c>
      <c r="E80" s="364">
        <v>30851000</v>
      </c>
      <c r="F80" s="279">
        <v>14926287</v>
      </c>
      <c r="G80" s="278">
        <v>1217529.6499999999</v>
      </c>
      <c r="H80" s="279">
        <v>1216147.8655000001</v>
      </c>
      <c r="I80" s="279">
        <v>12827563.869160013</v>
      </c>
      <c r="J80" s="279">
        <v>-343775</v>
      </c>
      <c r="K80" s="279">
        <v>-178000</v>
      </c>
      <c r="L80" s="280">
        <v>-10271.099999999999</v>
      </c>
      <c r="M80" s="369">
        <v>-1174975.5153399869</v>
      </c>
      <c r="N80" s="370">
        <v>-229.93650006653363</v>
      </c>
      <c r="P80" s="365">
        <v>11923215.770491805</v>
      </c>
      <c r="Q80" s="283">
        <v>6519448</v>
      </c>
      <c r="R80" s="279">
        <v>1216147.8655000001</v>
      </c>
      <c r="S80" s="279">
        <v>788545.07654911</v>
      </c>
      <c r="T80" s="280">
        <v>3089565.0303356359</v>
      </c>
      <c r="U80" s="280">
        <v>-47071.642787040786</v>
      </c>
      <c r="V80" s="279">
        <v>-343775</v>
      </c>
      <c r="W80" s="279">
        <v>-178000</v>
      </c>
      <c r="X80" s="279">
        <v>62958.726289779705</v>
      </c>
      <c r="Y80" s="354">
        <v>-815397.71460432</v>
      </c>
      <c r="Z80" s="355">
        <v>-159.56902438440704</v>
      </c>
      <c r="AB80" s="366">
        <v>359577.80073566688</v>
      </c>
      <c r="AC80" s="349">
        <v>70.367475682126596</v>
      </c>
      <c r="AE80" s="374">
        <v>-65.923213620949241</v>
      </c>
      <c r="AF80" s="350">
        <v>-45.367475682126582</v>
      </c>
      <c r="AG80" s="350">
        <v>-20.367475682126582</v>
      </c>
      <c r="AH80" s="350">
        <v>0</v>
      </c>
      <c r="AI80" s="350">
        <v>0</v>
      </c>
      <c r="AJ80" s="408">
        <v>-779</v>
      </c>
      <c r="AK80" s="387">
        <v>-30072</v>
      </c>
      <c r="AL80" s="287">
        <v>0</v>
      </c>
      <c r="AM80" s="287">
        <v>-779</v>
      </c>
      <c r="AN80" s="287">
        <v>-11144</v>
      </c>
      <c r="AO80" s="287">
        <v>-18928</v>
      </c>
      <c r="AP80" s="287">
        <v>14926</v>
      </c>
      <c r="AQ80" s="287">
        <v>8407</v>
      </c>
      <c r="AR80" s="287">
        <v>6519</v>
      </c>
      <c r="AS80" s="287">
        <v>1218</v>
      </c>
      <c r="AT80" s="287">
        <v>429</v>
      </c>
      <c r="AU80" s="287">
        <v>789</v>
      </c>
      <c r="AV80" s="353">
        <f t="shared" si="0"/>
        <v>12473.517769160015</v>
      </c>
      <c r="AW80" s="353">
        <f t="shared" si="1"/>
        <v>10111.66700321447</v>
      </c>
      <c r="AX80" s="353">
        <f t="shared" si="2"/>
        <v>2361.8507659455445</v>
      </c>
      <c r="AY80" s="390">
        <v>336868</v>
      </c>
      <c r="AZ80" s="390">
        <v>-336868</v>
      </c>
      <c r="BA80" s="401">
        <f t="shared" si="3"/>
        <v>1216.1478655000001</v>
      </c>
      <c r="BB80" s="401">
        <v>-4245</v>
      </c>
      <c r="BC80" s="401">
        <v>0</v>
      </c>
      <c r="BD80" s="401">
        <v>32</v>
      </c>
      <c r="BE80" s="401">
        <v>-4439</v>
      </c>
      <c r="BG80" s="426">
        <f t="shared" si="4"/>
        <v>0.50314875899016598</v>
      </c>
      <c r="BH80" s="426">
        <f t="shared" si="5"/>
        <v>4.104158873745567E-2</v>
      </c>
      <c r="BI80" s="426">
        <f t="shared" si="6"/>
        <v>4.0995010297930373E-2</v>
      </c>
      <c r="BJ80" s="426">
        <f t="shared" si="7"/>
        <v>0.42081482668885489</v>
      </c>
      <c r="BK80" s="426">
        <f t="shared" si="8"/>
        <v>-6.0001847144068405E-3</v>
      </c>
      <c r="BL80" s="425">
        <f t="shared" si="9"/>
        <v>29665753.384660013</v>
      </c>
      <c r="BN80" s="423">
        <f t="shared" si="10"/>
        <v>0.60883947034928487</v>
      </c>
      <c r="BO80" s="423">
        <f t="shared" si="11"/>
        <v>7.3640800072751006E-2</v>
      </c>
      <c r="BP80" s="423">
        <f t="shared" si="12"/>
        <v>0.11357385200364101</v>
      </c>
      <c r="BQ80" s="423">
        <f t="shared" si="13"/>
        <v>0.25202843456945478</v>
      </c>
      <c r="BR80" s="423">
        <f t="shared" si="14"/>
        <v>-1.6623098416027354E-2</v>
      </c>
      <c r="BS80" s="423">
        <f t="shared" si="15"/>
        <v>-3.1459458579104344E-2</v>
      </c>
      <c r="BT80" s="425">
        <f t="shared" si="16"/>
        <v>10707991.707994655</v>
      </c>
    </row>
    <row r="81" spans="1:72" x14ac:dyDescent="0.2">
      <c r="A81" s="309">
        <v>172</v>
      </c>
      <c r="B81" s="278" t="s">
        <v>39</v>
      </c>
      <c r="C81" s="278">
        <v>13</v>
      </c>
      <c r="D81" s="279">
        <v>4688</v>
      </c>
      <c r="E81" s="364">
        <v>29835000</v>
      </c>
      <c r="F81" s="279">
        <v>12400598</v>
      </c>
      <c r="G81" s="278">
        <v>1240010.6950000001</v>
      </c>
      <c r="H81" s="279">
        <v>1692759.216</v>
      </c>
      <c r="I81" s="279">
        <v>15593721.125732891</v>
      </c>
      <c r="J81" s="279">
        <v>9338</v>
      </c>
      <c r="K81" s="279">
        <v>6000</v>
      </c>
      <c r="L81" s="280">
        <v>-9422.8799999999992</v>
      </c>
      <c r="M81" s="369">
        <v>1116849.9167328896</v>
      </c>
      <c r="N81" s="370">
        <v>238.23590373995086</v>
      </c>
      <c r="P81" s="365">
        <v>10280113.163675677</v>
      </c>
      <c r="Q81" s="283">
        <v>5594394</v>
      </c>
      <c r="R81" s="279">
        <v>1692759.216</v>
      </c>
      <c r="S81" s="279">
        <v>803105.14689353993</v>
      </c>
      <c r="T81" s="280">
        <v>2676177.9489071001</v>
      </c>
      <c r="U81" s="280">
        <v>366217.78729563265</v>
      </c>
      <c r="V81" s="279">
        <v>9338</v>
      </c>
      <c r="W81" s="279">
        <v>6000</v>
      </c>
      <c r="X81" s="279">
        <v>56541.13028063719</v>
      </c>
      <c r="Y81" s="354">
        <v>924420.06570123322</v>
      </c>
      <c r="Z81" s="355">
        <v>197.18858056766919</v>
      </c>
      <c r="AB81" s="366">
        <v>-192429.85103165638</v>
      </c>
      <c r="AC81" s="349">
        <v>-41.047323172281651</v>
      </c>
      <c r="AE81" s="374">
        <v>45.491585233459006</v>
      </c>
      <c r="AF81" s="350">
        <v>16.047323172281665</v>
      </c>
      <c r="AG81" s="350">
        <v>0</v>
      </c>
      <c r="AH81" s="350">
        <v>0</v>
      </c>
      <c r="AI81" s="350">
        <v>0</v>
      </c>
      <c r="AJ81" s="408">
        <v>-1336</v>
      </c>
      <c r="AK81" s="387">
        <v>-28499</v>
      </c>
      <c r="AL81" s="287">
        <v>0</v>
      </c>
      <c r="AM81" s="287">
        <v>-1336</v>
      </c>
      <c r="AN81" s="287">
        <v>-8944</v>
      </c>
      <c r="AO81" s="287">
        <v>-19555</v>
      </c>
      <c r="AP81" s="287">
        <v>12401</v>
      </c>
      <c r="AQ81" s="287">
        <v>6807</v>
      </c>
      <c r="AR81" s="287">
        <v>5594</v>
      </c>
      <c r="AS81" s="287">
        <v>1240</v>
      </c>
      <c r="AT81" s="287">
        <v>437</v>
      </c>
      <c r="AU81" s="287">
        <v>803</v>
      </c>
      <c r="AV81" s="353">
        <f t="shared" si="0"/>
        <v>15593.636245732891</v>
      </c>
      <c r="AW81" s="353">
        <f t="shared" si="1"/>
        <v>12328.637957955703</v>
      </c>
      <c r="AX81" s="353">
        <f t="shared" si="2"/>
        <v>3264.9982877771881</v>
      </c>
      <c r="AY81" s="390">
        <v>213265</v>
      </c>
      <c r="AZ81" s="390">
        <v>213265</v>
      </c>
      <c r="BA81" s="401">
        <f t="shared" si="3"/>
        <v>1692.7592160000002</v>
      </c>
      <c r="BB81" s="401">
        <v>-4376</v>
      </c>
      <c r="BC81" s="401">
        <v>0</v>
      </c>
      <c r="BD81" s="401">
        <v>50</v>
      </c>
      <c r="BE81" s="401">
        <v>-2690</v>
      </c>
      <c r="BG81" s="426">
        <f t="shared" si="4"/>
        <v>0.40076358539292328</v>
      </c>
      <c r="BH81" s="426">
        <f t="shared" si="5"/>
        <v>4.00747715597079E-2</v>
      </c>
      <c r="BI81" s="426">
        <f t="shared" si="6"/>
        <v>5.4706736934063492E-2</v>
      </c>
      <c r="BJ81" s="426">
        <f t="shared" si="7"/>
        <v>0.5042609976007999</v>
      </c>
      <c r="BK81" s="426">
        <f t="shared" si="8"/>
        <v>1.9390851250540819E-4</v>
      </c>
      <c r="BL81" s="425">
        <f t="shared" si="9"/>
        <v>30942427.03673289</v>
      </c>
      <c r="BN81" s="423">
        <f t="shared" si="10"/>
        <v>0.49240978986859935</v>
      </c>
      <c r="BO81" s="423">
        <f t="shared" si="11"/>
        <v>7.0688056047578815E-2</v>
      </c>
      <c r="BP81" s="423">
        <f t="shared" si="12"/>
        <v>0.14899401255054523</v>
      </c>
      <c r="BQ81" s="423">
        <f t="shared" si="13"/>
        <v>0.26860881943218573</v>
      </c>
      <c r="BR81" s="423">
        <f t="shared" si="14"/>
        <v>5.2811059414327921E-4</v>
      </c>
      <c r="BS81" s="423">
        <f t="shared" si="15"/>
        <v>1.8771211506947643E-2</v>
      </c>
      <c r="BT81" s="425">
        <f t="shared" si="16"/>
        <v>11361256.650670728</v>
      </c>
    </row>
    <row r="82" spans="1:72" x14ac:dyDescent="0.2">
      <c r="A82" s="309">
        <v>176</v>
      </c>
      <c r="B82" s="278" t="s">
        <v>41</v>
      </c>
      <c r="C82" s="278">
        <v>12</v>
      </c>
      <c r="D82" s="279">
        <v>5034</v>
      </c>
      <c r="E82" s="364">
        <v>36174000</v>
      </c>
      <c r="F82" s="279">
        <v>11916712</v>
      </c>
      <c r="G82" s="278">
        <v>1509837.64</v>
      </c>
      <c r="H82" s="279">
        <v>1246063.1589000002</v>
      </c>
      <c r="I82" s="279">
        <v>21040844.085848365</v>
      </c>
      <c r="J82" s="279">
        <v>-194390</v>
      </c>
      <c r="K82" s="279">
        <v>420000</v>
      </c>
      <c r="L82" s="280">
        <v>-10118.339999999998</v>
      </c>
      <c r="M82" s="369">
        <v>-224814.77525163055</v>
      </c>
      <c r="N82" s="370">
        <v>-44.659272000721202</v>
      </c>
      <c r="P82" s="365">
        <v>12785799.098701298</v>
      </c>
      <c r="Q82" s="283">
        <v>5322748</v>
      </c>
      <c r="R82" s="279">
        <v>1246063.1589000002</v>
      </c>
      <c r="S82" s="279">
        <v>977861.22696110734</v>
      </c>
      <c r="T82" s="280">
        <v>3647231.319433412</v>
      </c>
      <c r="U82" s="280">
        <v>532373.59948778478</v>
      </c>
      <c r="V82" s="279">
        <v>-194390</v>
      </c>
      <c r="W82" s="279">
        <v>420000</v>
      </c>
      <c r="X82" s="279">
        <v>60303.546488617991</v>
      </c>
      <c r="Y82" s="354">
        <v>-773608.24743037485</v>
      </c>
      <c r="Z82" s="355">
        <v>-153.67664827778603</v>
      </c>
      <c r="AB82" s="366">
        <v>-548793.47217874427</v>
      </c>
      <c r="AC82" s="349">
        <v>-109.01737627706481</v>
      </c>
      <c r="AE82" s="374">
        <v>113.46163833824068</v>
      </c>
      <c r="AF82" s="350">
        <v>84.017376277063335</v>
      </c>
      <c r="AG82" s="350">
        <v>59.017376277063335</v>
      </c>
      <c r="AH82" s="350">
        <v>34.017376277063335</v>
      </c>
      <c r="AI82" s="350">
        <v>9.0173762770633346</v>
      </c>
      <c r="AJ82" s="408">
        <v>-1893</v>
      </c>
      <c r="AK82" s="387">
        <v>-34281</v>
      </c>
      <c r="AL82" s="287">
        <v>0</v>
      </c>
      <c r="AM82" s="287">
        <v>-1893</v>
      </c>
      <c r="AN82" s="287">
        <v>-10893</v>
      </c>
      <c r="AO82" s="287">
        <v>-23388</v>
      </c>
      <c r="AP82" s="287">
        <v>11917</v>
      </c>
      <c r="AQ82" s="287">
        <v>6594</v>
      </c>
      <c r="AR82" s="287">
        <v>5323</v>
      </c>
      <c r="AS82" s="287">
        <v>1510</v>
      </c>
      <c r="AT82" s="287">
        <v>532</v>
      </c>
      <c r="AU82" s="287">
        <v>978</v>
      </c>
      <c r="AV82" s="353">
        <f t="shared" si="0"/>
        <v>20836.335745848366</v>
      </c>
      <c r="AW82" s="353">
        <f t="shared" si="1"/>
        <v>16279.954939532465</v>
      </c>
      <c r="AX82" s="353">
        <f t="shared" si="2"/>
        <v>4556.3808063159013</v>
      </c>
      <c r="AY82" s="390">
        <v>571166</v>
      </c>
      <c r="AZ82" s="390">
        <v>571166</v>
      </c>
      <c r="BA82" s="401">
        <f t="shared" si="3"/>
        <v>1246.0631589000002</v>
      </c>
      <c r="BB82" s="401">
        <v>-2279</v>
      </c>
      <c r="BC82" s="401">
        <v>0</v>
      </c>
      <c r="BD82" s="401">
        <v>0</v>
      </c>
      <c r="BE82" s="401">
        <v>-616</v>
      </c>
      <c r="BG82" s="426">
        <f t="shared" si="4"/>
        <v>0.33158100732596235</v>
      </c>
      <c r="BH82" s="426">
        <f t="shared" si="5"/>
        <v>4.20110417680526E-2</v>
      </c>
      <c r="BI82" s="426">
        <f t="shared" si="6"/>
        <v>3.4671550123879201E-2</v>
      </c>
      <c r="BJ82" s="426">
        <f t="shared" si="7"/>
        <v>0.58004995379262536</v>
      </c>
      <c r="BK82" s="426">
        <f t="shared" si="8"/>
        <v>1.1686446989480336E-2</v>
      </c>
      <c r="BL82" s="425">
        <f t="shared" si="9"/>
        <v>35939066.884748369</v>
      </c>
      <c r="BN82" s="423">
        <f t="shared" si="10"/>
        <v>0.42503596513708436</v>
      </c>
      <c r="BO82" s="423">
        <f t="shared" si="11"/>
        <v>7.8084889679456509E-2</v>
      </c>
      <c r="BP82" s="423">
        <f t="shared" si="12"/>
        <v>9.9501546450221884E-2</v>
      </c>
      <c r="BQ82" s="423">
        <f t="shared" si="13"/>
        <v>0.31823029558085003</v>
      </c>
      <c r="BR82" s="423">
        <f t="shared" si="14"/>
        <v>3.3538147091986215E-2</v>
      </c>
      <c r="BS82" s="423">
        <f t="shared" si="15"/>
        <v>4.560915606040096E-2</v>
      </c>
      <c r="BT82" s="425">
        <f t="shared" si="16"/>
        <v>12523053.192177009</v>
      </c>
    </row>
    <row r="83" spans="1:72" x14ac:dyDescent="0.2">
      <c r="A83" s="309">
        <v>177</v>
      </c>
      <c r="B83" s="278" t="s">
        <v>42</v>
      </c>
      <c r="C83" s="278">
        <v>6</v>
      </c>
      <c r="D83" s="279">
        <v>1988</v>
      </c>
      <c r="E83" s="364">
        <v>11255000</v>
      </c>
      <c r="F83" s="279">
        <v>5843439</v>
      </c>
      <c r="G83" s="278">
        <v>773282.13500000001</v>
      </c>
      <c r="H83" s="279">
        <v>548208.48450000002</v>
      </c>
      <c r="I83" s="279">
        <v>4752243.3958675331</v>
      </c>
      <c r="J83" s="279">
        <v>-466610</v>
      </c>
      <c r="K83" s="279">
        <v>25000</v>
      </c>
      <c r="L83" s="280">
        <v>78151.417148908469</v>
      </c>
      <c r="M83" s="369">
        <v>142411.59821862553</v>
      </c>
      <c r="N83" s="370">
        <v>71.635612786028943</v>
      </c>
      <c r="P83" s="365">
        <v>4121027.1029374199</v>
      </c>
      <c r="Q83" s="283">
        <v>2597993</v>
      </c>
      <c r="R83" s="279">
        <v>548208.48450000002</v>
      </c>
      <c r="S83" s="279">
        <v>500823.79541034938</v>
      </c>
      <c r="T83" s="280">
        <v>1215736.0183669762</v>
      </c>
      <c r="U83" s="280">
        <v>-168819.34580988943</v>
      </c>
      <c r="V83" s="279">
        <v>-466610</v>
      </c>
      <c r="W83" s="279">
        <v>25000</v>
      </c>
      <c r="X83" s="279">
        <v>24861.267134628972</v>
      </c>
      <c r="Y83" s="354">
        <v>156166.11666464619</v>
      </c>
      <c r="Z83" s="355">
        <v>78.554384640164088</v>
      </c>
      <c r="AB83" s="366">
        <v>13754.518446020666</v>
      </c>
      <c r="AC83" s="349">
        <v>6.9187718541351435</v>
      </c>
      <c r="AE83" s="374">
        <v>-2.4745097929587558</v>
      </c>
      <c r="AF83" s="350">
        <v>0</v>
      </c>
      <c r="AG83" s="350">
        <v>0</v>
      </c>
      <c r="AH83" s="350">
        <v>0</v>
      </c>
      <c r="AI83" s="350">
        <v>0</v>
      </c>
      <c r="AJ83" s="408">
        <v>-488</v>
      </c>
      <c r="AK83" s="387">
        <v>-10767</v>
      </c>
      <c r="AL83" s="287">
        <v>0</v>
      </c>
      <c r="AM83" s="287">
        <v>-488</v>
      </c>
      <c r="AN83" s="287">
        <v>-3633</v>
      </c>
      <c r="AO83" s="287">
        <v>-7134</v>
      </c>
      <c r="AP83" s="287">
        <v>5843</v>
      </c>
      <c r="AQ83" s="287">
        <v>3245</v>
      </c>
      <c r="AR83" s="287">
        <v>2598</v>
      </c>
      <c r="AS83" s="287">
        <v>773</v>
      </c>
      <c r="AT83" s="287">
        <v>272</v>
      </c>
      <c r="AU83" s="287">
        <v>501</v>
      </c>
      <c r="AV83" s="353">
        <f t="shared" si="0"/>
        <v>4363.7848130164421</v>
      </c>
      <c r="AW83" s="353">
        <f t="shared" si="1"/>
        <v>3788.3974659277574</v>
      </c>
      <c r="AX83" s="353">
        <f t="shared" si="2"/>
        <v>575.38734708868469</v>
      </c>
      <c r="AY83" s="390">
        <v>4919</v>
      </c>
      <c r="AZ83" s="390">
        <v>-4919</v>
      </c>
      <c r="BA83" s="401">
        <f t="shared" si="3"/>
        <v>548.20848450000005</v>
      </c>
      <c r="BB83" s="401">
        <v>-989</v>
      </c>
      <c r="BC83" s="401">
        <v>270</v>
      </c>
      <c r="BD83" s="401">
        <v>0</v>
      </c>
      <c r="BE83" s="401">
        <v>-310</v>
      </c>
      <c r="BG83" s="426">
        <f t="shared" si="4"/>
        <v>0.50920717285720463</v>
      </c>
      <c r="BH83" s="426">
        <f t="shared" si="5"/>
        <v>6.7385115132430271E-2</v>
      </c>
      <c r="BI83" s="426">
        <f t="shared" si="6"/>
        <v>4.7771815968058823E-2</v>
      </c>
      <c r="BJ83" s="426">
        <f t="shared" si="7"/>
        <v>0.37345735369396815</v>
      </c>
      <c r="BK83" s="426">
        <f t="shared" si="8"/>
        <v>2.1785423483380445E-3</v>
      </c>
      <c r="BL83" s="425">
        <f t="shared" si="9"/>
        <v>11475563.015367534</v>
      </c>
      <c r="BN83" s="423">
        <f t="shared" si="10"/>
        <v>0.61166484826212542</v>
      </c>
      <c r="BO83" s="423">
        <f t="shared" si="11"/>
        <v>0.11791267752674203</v>
      </c>
      <c r="BP83" s="423">
        <f t="shared" si="12"/>
        <v>0.12906880791738171</v>
      </c>
      <c r="BQ83" s="423">
        <f t="shared" si="13"/>
        <v>0.13662592347828856</v>
      </c>
      <c r="BR83" s="423">
        <f t="shared" si="14"/>
        <v>5.8859362617809732E-3</v>
      </c>
      <c r="BS83" s="423">
        <f t="shared" si="15"/>
        <v>-1.1581934463188016E-3</v>
      </c>
      <c r="BT83" s="425">
        <f t="shared" si="16"/>
        <v>4247412.6269990345</v>
      </c>
    </row>
    <row r="84" spans="1:72" x14ac:dyDescent="0.2">
      <c r="A84" s="309">
        <v>178</v>
      </c>
      <c r="B84" s="278" t="s">
        <v>43</v>
      </c>
      <c r="C84" s="278">
        <v>10</v>
      </c>
      <c r="D84" s="279">
        <v>6548</v>
      </c>
      <c r="E84" s="364">
        <v>39753000</v>
      </c>
      <c r="F84" s="279">
        <v>15703540</v>
      </c>
      <c r="G84" s="278">
        <v>2086898.92</v>
      </c>
      <c r="H84" s="279">
        <v>1531307.5333999998</v>
      </c>
      <c r="I84" s="279">
        <v>22257829.505053192</v>
      </c>
      <c r="J84" s="279">
        <v>-539213</v>
      </c>
      <c r="K84" s="279">
        <v>145000</v>
      </c>
      <c r="L84" s="280">
        <v>-468411.28179542307</v>
      </c>
      <c r="M84" s="369">
        <v>1900774.2402486163</v>
      </c>
      <c r="N84" s="370">
        <v>290.28317658042397</v>
      </c>
      <c r="P84" s="365">
        <v>14065062.409836065</v>
      </c>
      <c r="Q84" s="283">
        <v>6481009</v>
      </c>
      <c r="R84" s="279">
        <v>1531307.5333999998</v>
      </c>
      <c r="S84" s="279">
        <v>1351600.651878708</v>
      </c>
      <c r="T84" s="280">
        <v>3912611.7554612868</v>
      </c>
      <c r="U84" s="280">
        <v>2093235.6515968039</v>
      </c>
      <c r="V84" s="279">
        <v>-539213</v>
      </c>
      <c r="W84" s="279">
        <v>145000</v>
      </c>
      <c r="X84" s="279">
        <v>78725.440635658961</v>
      </c>
      <c r="Y84" s="354">
        <v>989214.62313639186</v>
      </c>
      <c r="Z84" s="355">
        <v>151.07126193286376</v>
      </c>
      <c r="AB84" s="366">
        <v>-911559.61711222446</v>
      </c>
      <c r="AC84" s="349">
        <v>-139.21191464756023</v>
      </c>
      <c r="AE84" s="374">
        <v>143.65617670873752</v>
      </c>
      <c r="AF84" s="350">
        <v>114.21191464756021</v>
      </c>
      <c r="AG84" s="350">
        <v>89.211914647560207</v>
      </c>
      <c r="AH84" s="350">
        <v>64.211914647560207</v>
      </c>
      <c r="AI84" s="350">
        <v>39.211914647560207</v>
      </c>
      <c r="AJ84" s="408">
        <v>-1627</v>
      </c>
      <c r="AK84" s="387">
        <v>-38126</v>
      </c>
      <c r="AL84" s="287">
        <v>0</v>
      </c>
      <c r="AM84" s="287">
        <v>-1627</v>
      </c>
      <c r="AN84" s="287">
        <v>-12438</v>
      </c>
      <c r="AO84" s="287">
        <v>-25688</v>
      </c>
      <c r="AP84" s="287">
        <v>15704</v>
      </c>
      <c r="AQ84" s="287">
        <v>9223</v>
      </c>
      <c r="AR84" s="287">
        <v>6481</v>
      </c>
      <c r="AS84" s="287">
        <v>2087</v>
      </c>
      <c r="AT84" s="287">
        <v>735</v>
      </c>
      <c r="AU84" s="287">
        <v>1352</v>
      </c>
      <c r="AV84" s="353">
        <f t="shared" si="0"/>
        <v>21250.20522325777</v>
      </c>
      <c r="AW84" s="353">
        <f t="shared" si="1"/>
        <v>14842.910171110865</v>
      </c>
      <c r="AX84" s="353">
        <f t="shared" si="2"/>
        <v>6407.2950521469047</v>
      </c>
      <c r="AY84" s="390">
        <v>940661</v>
      </c>
      <c r="AZ84" s="390">
        <v>940661</v>
      </c>
      <c r="BA84" s="401">
        <f t="shared" si="3"/>
        <v>1531.3075333999998</v>
      </c>
      <c r="BB84" s="401">
        <v>-4350</v>
      </c>
      <c r="BC84" s="401">
        <v>0</v>
      </c>
      <c r="BD84" s="401">
        <v>245</v>
      </c>
      <c r="BE84" s="401">
        <v>-2524</v>
      </c>
      <c r="BG84" s="426">
        <f t="shared" si="4"/>
        <v>0.38128934339710335</v>
      </c>
      <c r="BH84" s="426">
        <f t="shared" si="5"/>
        <v>5.0670888152793837E-2</v>
      </c>
      <c r="BI84" s="426">
        <f t="shared" si="6"/>
        <v>3.718086775014575E-2</v>
      </c>
      <c r="BJ84" s="426">
        <f t="shared" si="7"/>
        <v>0.52733823244346323</v>
      </c>
      <c r="BK84" s="426">
        <f t="shared" si="8"/>
        <v>3.5206682564937579E-3</v>
      </c>
      <c r="BL84" s="425">
        <f t="shared" si="9"/>
        <v>41185362.958453193</v>
      </c>
      <c r="BN84" s="423">
        <f t="shared" si="10"/>
        <v>0.40719543716315004</v>
      </c>
      <c r="BO84" s="423">
        <f t="shared" si="11"/>
        <v>8.4919742946159948E-2</v>
      </c>
      <c r="BP84" s="423">
        <f t="shared" si="12"/>
        <v>9.6210550007574114E-2</v>
      </c>
      <c r="BQ84" s="423">
        <f t="shared" si="13"/>
        <v>0.34346327665848586</v>
      </c>
      <c r="BR84" s="423">
        <f t="shared" si="14"/>
        <v>9.1102077452225039E-3</v>
      </c>
      <c r="BS84" s="423">
        <f t="shared" si="15"/>
        <v>5.9100785479407614E-2</v>
      </c>
      <c r="BT84" s="425">
        <f t="shared" si="16"/>
        <v>15916212.23742561</v>
      </c>
    </row>
    <row r="85" spans="1:72" x14ac:dyDescent="0.2">
      <c r="A85" s="309">
        <v>179</v>
      </c>
      <c r="B85" s="278" t="s">
        <v>44</v>
      </c>
      <c r="C85" s="278">
        <v>13</v>
      </c>
      <c r="D85" s="279">
        <v>137368</v>
      </c>
      <c r="E85" s="364">
        <v>669405000</v>
      </c>
      <c r="F85" s="279">
        <v>427615628</v>
      </c>
      <c r="G85" s="278">
        <v>22895119.594999999</v>
      </c>
      <c r="H85" s="279">
        <v>47698867.296000004</v>
      </c>
      <c r="I85" s="279">
        <v>194846790.28246319</v>
      </c>
      <c r="J85" s="279">
        <v>-21287066</v>
      </c>
      <c r="K85" s="279">
        <v>12351000</v>
      </c>
      <c r="L85" s="280">
        <v>-276109.68</v>
      </c>
      <c r="M85" s="369">
        <v>14991448.853463225</v>
      </c>
      <c r="N85" s="370">
        <v>109.13348708187659</v>
      </c>
      <c r="P85" s="365">
        <v>295260186.74585944</v>
      </c>
      <c r="Q85" s="283">
        <v>172997316</v>
      </c>
      <c r="R85" s="279">
        <v>47698867.296000004</v>
      </c>
      <c r="S85" s="279">
        <v>14828249.836577125</v>
      </c>
      <c r="T85" s="280">
        <v>63523392.479773797</v>
      </c>
      <c r="U85" s="280">
        <v>6008978.2974843793</v>
      </c>
      <c r="V85" s="279">
        <v>-21287066</v>
      </c>
      <c r="W85" s="279">
        <v>12351000</v>
      </c>
      <c r="X85" s="279">
        <v>1690293.6747985517</v>
      </c>
      <c r="Y85" s="354">
        <v>2550844.8387744427</v>
      </c>
      <c r="Z85" s="355">
        <v>18.569425475907362</v>
      </c>
      <c r="AB85" s="366">
        <v>-12440604.014688782</v>
      </c>
      <c r="AC85" s="349">
        <v>-90.564061605969243</v>
      </c>
      <c r="AE85" s="374">
        <v>95.008323667146556</v>
      </c>
      <c r="AF85" s="350">
        <v>65.564061605969229</v>
      </c>
      <c r="AG85" s="350">
        <v>40.564061605969229</v>
      </c>
      <c r="AH85" s="350">
        <v>15.564061605969229</v>
      </c>
      <c r="AI85" s="350">
        <v>0</v>
      </c>
      <c r="AJ85" s="408">
        <v>-50749</v>
      </c>
      <c r="AK85" s="387">
        <v>-618656</v>
      </c>
      <c r="AL85" s="287">
        <v>-3222</v>
      </c>
      <c r="AM85" s="287">
        <v>-47527</v>
      </c>
      <c r="AN85" s="287">
        <v>-247733</v>
      </c>
      <c r="AO85" s="287">
        <v>-370923</v>
      </c>
      <c r="AP85" s="287">
        <v>427616</v>
      </c>
      <c r="AQ85" s="287">
        <v>254619</v>
      </c>
      <c r="AR85" s="287">
        <v>172997</v>
      </c>
      <c r="AS85" s="287">
        <v>22895</v>
      </c>
      <c r="AT85" s="287">
        <v>8067</v>
      </c>
      <c r="AU85" s="287">
        <v>14828</v>
      </c>
      <c r="AV85" s="353">
        <f t="shared" si="0"/>
        <v>173283.6146024632</v>
      </c>
      <c r="AW85" s="353">
        <f t="shared" si="1"/>
        <v>111987.20641969645</v>
      </c>
      <c r="AX85" s="353">
        <f t="shared" si="2"/>
        <v>61296.408182766761</v>
      </c>
      <c r="AY85" s="390">
        <v>13051103</v>
      </c>
      <c r="AZ85" s="390">
        <v>13051103</v>
      </c>
      <c r="BA85" s="401">
        <f t="shared" si="3"/>
        <v>47698.867296000004</v>
      </c>
      <c r="BB85" s="401">
        <v>-53685</v>
      </c>
      <c r="BC85" s="401">
        <v>2590</v>
      </c>
      <c r="BD85" s="401">
        <v>13500</v>
      </c>
      <c r="BE85" s="401">
        <v>534</v>
      </c>
      <c r="BG85" s="426">
        <f t="shared" si="4"/>
        <v>0.62505907734980415</v>
      </c>
      <c r="BH85" s="426">
        <f t="shared" si="5"/>
        <v>3.3466509156358806E-2</v>
      </c>
      <c r="BI85" s="426">
        <f t="shared" si="6"/>
        <v>6.9722919440793937E-2</v>
      </c>
      <c r="BJ85" s="426">
        <f t="shared" si="7"/>
        <v>0.25369765280206935</v>
      </c>
      <c r="BK85" s="426">
        <f t="shared" si="8"/>
        <v>1.8053841250973715E-2</v>
      </c>
      <c r="BL85" s="425">
        <f t="shared" si="9"/>
        <v>684120339.17346323</v>
      </c>
      <c r="BN85" s="423">
        <f t="shared" si="10"/>
        <v>0.55955068632382043</v>
      </c>
      <c r="BO85" s="423">
        <f t="shared" si="11"/>
        <v>4.7961191334539598E-2</v>
      </c>
      <c r="BP85" s="423">
        <f t="shared" si="12"/>
        <v>0.15427946831467396</v>
      </c>
      <c r="BQ85" s="423">
        <f t="shared" si="13"/>
        <v>0.15604689150215895</v>
      </c>
      <c r="BR85" s="423">
        <f t="shared" si="14"/>
        <v>3.9948657508567971E-2</v>
      </c>
      <c r="BS85" s="423">
        <f t="shared" si="15"/>
        <v>4.2213105016238983E-2</v>
      </c>
      <c r="BT85" s="425">
        <f t="shared" si="16"/>
        <v>309171841.31534392</v>
      </c>
    </row>
    <row r="86" spans="1:72" x14ac:dyDescent="0.2">
      <c r="A86" s="309">
        <v>181</v>
      </c>
      <c r="B86" s="278" t="s">
        <v>45</v>
      </c>
      <c r="C86" s="278">
        <v>4</v>
      </c>
      <c r="D86" s="279">
        <v>1948</v>
      </c>
      <c r="E86" s="364">
        <v>11706000</v>
      </c>
      <c r="F86" s="279">
        <v>5164884</v>
      </c>
      <c r="G86" s="278">
        <v>247271.50000000003</v>
      </c>
      <c r="H86" s="279">
        <v>401570.99599999993</v>
      </c>
      <c r="I86" s="279">
        <v>6337957.0205920096</v>
      </c>
      <c r="J86" s="279">
        <v>-475545</v>
      </c>
      <c r="K86" s="279">
        <v>-37000</v>
      </c>
      <c r="L86" s="280">
        <v>44292.241334225473</v>
      </c>
      <c r="M86" s="369">
        <v>-111153.72474221462</v>
      </c>
      <c r="N86" s="370">
        <v>-57.06043364590073</v>
      </c>
      <c r="P86" s="365">
        <v>4217546.621193666</v>
      </c>
      <c r="Q86" s="283">
        <v>2565064</v>
      </c>
      <c r="R86" s="279">
        <v>401570.99599999993</v>
      </c>
      <c r="S86" s="279">
        <v>160147.82382992751</v>
      </c>
      <c r="T86" s="280">
        <v>1775567.7259406208</v>
      </c>
      <c r="U86" s="280">
        <v>-161860.25272463443</v>
      </c>
      <c r="V86" s="279">
        <v>-475545</v>
      </c>
      <c r="W86" s="279">
        <v>-37000</v>
      </c>
      <c r="X86" s="279">
        <v>23236.6390401075</v>
      </c>
      <c r="Y86" s="354">
        <v>33635.310892355628</v>
      </c>
      <c r="Z86" s="355">
        <v>17.266586700387901</v>
      </c>
      <c r="AB86" s="366">
        <v>144789.03563457023</v>
      </c>
      <c r="AC86" s="349">
        <v>74.32702034628862</v>
      </c>
      <c r="AE86" s="374">
        <v>-69.882758285112246</v>
      </c>
      <c r="AF86" s="350">
        <v>-49.327020346289586</v>
      </c>
      <c r="AG86" s="350">
        <v>-24.327020346289586</v>
      </c>
      <c r="AH86" s="350">
        <v>0</v>
      </c>
      <c r="AI86" s="350">
        <v>0</v>
      </c>
      <c r="AJ86" s="408">
        <v>-369</v>
      </c>
      <c r="AK86" s="387">
        <v>-11337</v>
      </c>
      <c r="AL86" s="287">
        <v>-8</v>
      </c>
      <c r="AM86" s="287">
        <v>-361</v>
      </c>
      <c r="AN86" s="287">
        <v>-3857</v>
      </c>
      <c r="AO86" s="287">
        <v>-7480</v>
      </c>
      <c r="AP86" s="287">
        <v>5165</v>
      </c>
      <c r="AQ86" s="287">
        <v>2600</v>
      </c>
      <c r="AR86" s="287">
        <v>2565</v>
      </c>
      <c r="AS86" s="287">
        <v>247</v>
      </c>
      <c r="AT86" s="287">
        <v>87</v>
      </c>
      <c r="AU86" s="287">
        <v>160</v>
      </c>
      <c r="AV86" s="353">
        <f t="shared" ref="AV86:AV149" si="17">(I86+J86+L86)*0.001</f>
        <v>5906.7042619262347</v>
      </c>
      <c r="AW86" s="353">
        <f t="shared" ref="AW86:AW149" si="18">AV86-AX86</f>
        <v>4904.6734018496472</v>
      </c>
      <c r="AX86" s="353">
        <f t="shared" ref="AX86:AX149" si="19">(T86+U86+V86+AE86*D86)*0.001</f>
        <v>1002.0308600765877</v>
      </c>
      <c r="AY86" s="390">
        <v>136132</v>
      </c>
      <c r="AZ86" s="390">
        <v>-136132</v>
      </c>
      <c r="BA86" s="401">
        <f t="shared" ref="BA86:BA149" si="20">R86*0.001</f>
        <v>401.57099599999992</v>
      </c>
      <c r="BB86" s="401">
        <v>-364</v>
      </c>
      <c r="BC86" s="401">
        <v>62</v>
      </c>
      <c r="BD86" s="401">
        <v>22</v>
      </c>
      <c r="BE86" s="401">
        <v>80</v>
      </c>
      <c r="BG86" s="426">
        <f t="shared" si="4"/>
        <v>0.44375139900923699</v>
      </c>
      <c r="BH86" s="426">
        <f t="shared" si="5"/>
        <v>2.1244828356283038E-2</v>
      </c>
      <c r="BI86" s="426">
        <f t="shared" si="6"/>
        <v>3.4501779957987956E-2</v>
      </c>
      <c r="BJ86" s="426">
        <f t="shared" si="7"/>
        <v>0.50368092210904869</v>
      </c>
      <c r="BK86" s="426">
        <f t="shared" si="8"/>
        <v>-3.1789294325568142E-3</v>
      </c>
      <c r="BL86" s="425">
        <f t="shared" si="9"/>
        <v>11639138.516592011</v>
      </c>
      <c r="BN86" s="423">
        <f t="shared" si="10"/>
        <v>0.62687702829582492</v>
      </c>
      <c r="BO86" s="423">
        <f t="shared" si="11"/>
        <v>3.9138591431070825E-2</v>
      </c>
      <c r="BP86" s="423">
        <f t="shared" si="12"/>
        <v>9.8140098111499194E-2</v>
      </c>
      <c r="BQ86" s="423">
        <f t="shared" si="13"/>
        <v>0.27815598711278311</v>
      </c>
      <c r="BR86" s="423">
        <f t="shared" si="14"/>
        <v>-9.0424449631453727E-3</v>
      </c>
      <c r="BS86" s="423">
        <f t="shared" si="15"/>
        <v>-3.32692599880327E-2</v>
      </c>
      <c r="BT86" s="425">
        <f t="shared" si="16"/>
        <v>4091813.6799065149</v>
      </c>
    </row>
    <row r="87" spans="1:72" x14ac:dyDescent="0.2">
      <c r="A87" s="309">
        <v>182</v>
      </c>
      <c r="B87" s="278" t="s">
        <v>251</v>
      </c>
      <c r="C87" s="278">
        <v>13</v>
      </c>
      <c r="D87" s="279">
        <v>21542</v>
      </c>
      <c r="E87" s="364">
        <v>133517000</v>
      </c>
      <c r="F87" s="279">
        <v>72643295</v>
      </c>
      <c r="G87" s="278">
        <v>7500989.2450000001</v>
      </c>
      <c r="H87" s="279">
        <v>6076596.1579999998</v>
      </c>
      <c r="I87" s="279">
        <v>45718817.528893538</v>
      </c>
      <c r="J87" s="279">
        <v>-1889961</v>
      </c>
      <c r="K87" s="279">
        <v>692000</v>
      </c>
      <c r="L87" s="280">
        <v>-43299.42</v>
      </c>
      <c r="M87" s="369">
        <v>-2731963.6481064726</v>
      </c>
      <c r="N87" s="370">
        <v>-126.82033460711506</v>
      </c>
      <c r="P87" s="365">
        <v>51905466.382518798</v>
      </c>
      <c r="Q87" s="283">
        <v>31690123</v>
      </c>
      <c r="R87" s="279">
        <v>6076596.1579999998</v>
      </c>
      <c r="S87" s="279">
        <v>4858089.606600198</v>
      </c>
      <c r="T87" s="280">
        <v>4981898.2755756862</v>
      </c>
      <c r="U87" s="280">
        <v>773004.76008753642</v>
      </c>
      <c r="V87" s="279">
        <v>-1889961</v>
      </c>
      <c r="W87" s="279">
        <v>692000</v>
      </c>
      <c r="X87" s="279">
        <v>276683.38371246925</v>
      </c>
      <c r="Y87" s="354">
        <v>-4447032.1985429078</v>
      </c>
      <c r="Z87" s="355">
        <v>-206.435437681873</v>
      </c>
      <c r="AB87" s="366">
        <v>-1715068.5504364353</v>
      </c>
      <c r="AC87" s="349">
        <v>-79.615103074757926</v>
      </c>
      <c r="AE87" s="374">
        <v>84.059365135935266</v>
      </c>
      <c r="AF87" s="350">
        <v>54.61510307475794</v>
      </c>
      <c r="AG87" s="350">
        <v>29.61510307475794</v>
      </c>
      <c r="AH87" s="350">
        <v>4.6151030747579398</v>
      </c>
      <c r="AI87" s="350">
        <v>0</v>
      </c>
      <c r="AJ87" s="408">
        <v>-8576</v>
      </c>
      <c r="AK87" s="387">
        <v>-124941</v>
      </c>
      <c r="AL87" s="287">
        <v>-257</v>
      </c>
      <c r="AM87" s="287">
        <v>-8319</v>
      </c>
      <c r="AN87" s="287">
        <v>-43586</v>
      </c>
      <c r="AO87" s="287">
        <v>-81355</v>
      </c>
      <c r="AP87" s="287">
        <v>72643</v>
      </c>
      <c r="AQ87" s="287">
        <v>40953</v>
      </c>
      <c r="AR87" s="287">
        <v>31690</v>
      </c>
      <c r="AS87" s="287">
        <v>7501</v>
      </c>
      <c r="AT87" s="287">
        <v>2643</v>
      </c>
      <c r="AU87" s="287">
        <v>4858</v>
      </c>
      <c r="AV87" s="353">
        <f t="shared" si="17"/>
        <v>43785.557108893539</v>
      </c>
      <c r="AW87" s="353">
        <f t="shared" si="18"/>
        <v>38109.808229472001</v>
      </c>
      <c r="AX87" s="353">
        <f t="shared" si="19"/>
        <v>5675.7488794215406</v>
      </c>
      <c r="AY87" s="390">
        <v>1810807</v>
      </c>
      <c r="AZ87" s="390">
        <v>1810807</v>
      </c>
      <c r="BA87" s="401">
        <f t="shared" si="20"/>
        <v>6076.5961580000003</v>
      </c>
      <c r="BB87" s="401">
        <v>-13816</v>
      </c>
      <c r="BC87" s="401">
        <v>485</v>
      </c>
      <c r="BD87" s="401">
        <v>940</v>
      </c>
      <c r="BE87" s="401">
        <v>-8634</v>
      </c>
      <c r="BG87" s="426">
        <f t="shared" ref="BG87:BG150" si="21">F87/BL87</f>
        <v>0.55562436835179585</v>
      </c>
      <c r="BH87" s="426">
        <f t="shared" ref="BH87:BH150" si="22">G87/BL87</f>
        <v>5.7372568401071827E-2</v>
      </c>
      <c r="BI87" s="426">
        <f t="shared" ref="BI87:BI150" si="23">H87/BL87</f>
        <v>4.6477860097311106E-2</v>
      </c>
      <c r="BJ87" s="426">
        <f t="shared" ref="BJ87:BJ150" si="24">(I87+J87)/BL87</f>
        <v>0.33523232563236505</v>
      </c>
      <c r="BK87" s="426">
        <f t="shared" ref="BK87:BK150" si="25">K87/BL87</f>
        <v>5.2928775174562598E-3</v>
      </c>
      <c r="BL87" s="425">
        <f t="shared" ref="BL87:BL150" si="26">F87+G87+H87+I87+J87+K87</f>
        <v>130741736.93189353</v>
      </c>
      <c r="BN87" s="423">
        <f t="shared" ref="BN87:BN150" si="27">Q87/BT87</f>
        <v>0.64683544856464448</v>
      </c>
      <c r="BO87" s="423">
        <f t="shared" ref="BO87:BO150" si="28">S87/BT87</f>
        <v>9.9159746708855509E-2</v>
      </c>
      <c r="BP87" s="423">
        <f t="shared" ref="BP87:BP150" si="29">R87/BT87</f>
        <v>0.12403100491614139</v>
      </c>
      <c r="BQ87" s="423">
        <f t="shared" ref="BQ87:BQ150" si="30">(T87+U87+V87)/BT87</f>
        <v>7.8888350017277342E-2</v>
      </c>
      <c r="BR87" s="423">
        <f t="shared" ref="BR87:BR150" si="31">W87/BT87</f>
        <v>1.4124594290995145E-2</v>
      </c>
      <c r="BS87" s="423">
        <f t="shared" ref="BS87:BS150" si="32">(AE87*D87)/BT87</f>
        <v>3.6960855502086228E-2</v>
      </c>
      <c r="BT87" s="425">
        <f t="shared" ref="BT87:BT150" si="33">Q87+R87+S87+T87+U87+V87+W87+(AE87*D87)</f>
        <v>48992557.644021735</v>
      </c>
    </row>
    <row r="88" spans="1:72" x14ac:dyDescent="0.2">
      <c r="A88" s="309">
        <v>204</v>
      </c>
      <c r="B88" s="278" t="s">
        <v>46</v>
      </c>
      <c r="C88" s="278">
        <v>11</v>
      </c>
      <c r="D88" s="279">
        <v>3194</v>
      </c>
      <c r="E88" s="364">
        <v>21794000</v>
      </c>
      <c r="F88" s="279">
        <v>7393474</v>
      </c>
      <c r="G88" s="278">
        <v>827410.92500000005</v>
      </c>
      <c r="H88" s="279">
        <v>1089808.3904999997</v>
      </c>
      <c r="I88" s="279">
        <v>13229937.68096506</v>
      </c>
      <c r="J88" s="279">
        <v>-550850</v>
      </c>
      <c r="K88" s="279">
        <v>212000</v>
      </c>
      <c r="L88" s="280">
        <v>-6419.94</v>
      </c>
      <c r="M88" s="369">
        <v>414200.93646505714</v>
      </c>
      <c r="N88" s="370">
        <v>129.68094441611055</v>
      </c>
      <c r="P88" s="365">
        <v>5872144.5189529341</v>
      </c>
      <c r="Q88" s="283">
        <v>3428499</v>
      </c>
      <c r="R88" s="279">
        <v>1089808.3904999997</v>
      </c>
      <c r="S88" s="279">
        <v>535880.83969182603</v>
      </c>
      <c r="T88" s="280">
        <v>2520686.4692537878</v>
      </c>
      <c r="U88" s="280">
        <v>-364969.83260501729</v>
      </c>
      <c r="V88" s="279">
        <v>-550850</v>
      </c>
      <c r="W88" s="279">
        <v>212000</v>
      </c>
      <c r="X88" s="279">
        <v>37222.720195697781</v>
      </c>
      <c r="Y88" s="354">
        <v>1036133.0680833599</v>
      </c>
      <c r="Z88" s="355">
        <v>324.39983346379455</v>
      </c>
      <c r="AB88" s="366">
        <v>621932.13161830278</v>
      </c>
      <c r="AC88" s="349">
        <v>194.71888904768403</v>
      </c>
      <c r="AE88" s="374">
        <v>-190.27462698650666</v>
      </c>
      <c r="AF88" s="350">
        <v>-169.718889047684</v>
      </c>
      <c r="AG88" s="350">
        <v>-144.718889047684</v>
      </c>
      <c r="AH88" s="350">
        <v>-119.718889047684</v>
      </c>
      <c r="AI88" s="350">
        <v>-94.718889047684002</v>
      </c>
      <c r="AJ88" s="408">
        <v>-803</v>
      </c>
      <c r="AK88" s="387">
        <v>-20991</v>
      </c>
      <c r="AL88" s="287">
        <v>-5</v>
      </c>
      <c r="AM88" s="287">
        <v>-798</v>
      </c>
      <c r="AN88" s="287">
        <v>-5074</v>
      </c>
      <c r="AO88" s="287">
        <v>-15917</v>
      </c>
      <c r="AP88" s="287">
        <v>7393</v>
      </c>
      <c r="AQ88" s="287">
        <v>3965</v>
      </c>
      <c r="AR88" s="287">
        <v>3428</v>
      </c>
      <c r="AS88" s="287">
        <v>827</v>
      </c>
      <c r="AT88" s="287">
        <v>291</v>
      </c>
      <c r="AU88" s="287">
        <v>536</v>
      </c>
      <c r="AV88" s="353">
        <f t="shared" si="17"/>
        <v>12672.667740965062</v>
      </c>
      <c r="AW88" s="353">
        <f t="shared" si="18"/>
        <v>11675.538262911194</v>
      </c>
      <c r="AX88" s="353">
        <f t="shared" si="19"/>
        <v>997.12947805386818</v>
      </c>
      <c r="AY88" s="390">
        <v>607737</v>
      </c>
      <c r="AZ88" s="390">
        <v>-607737</v>
      </c>
      <c r="BA88" s="401">
        <f t="shared" si="20"/>
        <v>1089.8083904999999</v>
      </c>
      <c r="BB88" s="401">
        <v>-1140</v>
      </c>
      <c r="BC88" s="401">
        <v>0</v>
      </c>
      <c r="BD88" s="401">
        <v>0</v>
      </c>
      <c r="BE88" s="401">
        <v>-390</v>
      </c>
      <c r="BG88" s="426">
        <f t="shared" si="21"/>
        <v>0.3330126534072731</v>
      </c>
      <c r="BH88" s="426">
        <f t="shared" si="22"/>
        <v>3.72677725778729E-2</v>
      </c>
      <c r="BI88" s="426">
        <f t="shared" si="23"/>
        <v>4.9086530070426238E-2</v>
      </c>
      <c r="BJ88" s="426">
        <f t="shared" si="24"/>
        <v>0.5710842604466646</v>
      </c>
      <c r="BK88" s="426">
        <f t="shared" si="25"/>
        <v>9.5487834977632836E-3</v>
      </c>
      <c r="BL88" s="425">
        <f t="shared" si="26"/>
        <v>22201780.996465057</v>
      </c>
      <c r="BN88" s="423">
        <f t="shared" si="27"/>
        <v>0.54739343582816524</v>
      </c>
      <c r="BO88" s="423">
        <f t="shared" si="28"/>
        <v>8.5558623185653798E-2</v>
      </c>
      <c r="BP88" s="423">
        <f t="shared" si="29"/>
        <v>0.17399858050714254</v>
      </c>
      <c r="BQ88" s="423">
        <f t="shared" si="30"/>
        <v>0.25623267274721739</v>
      </c>
      <c r="BR88" s="423">
        <f t="shared" si="31"/>
        <v>3.3847875818418215E-2</v>
      </c>
      <c r="BS88" s="423">
        <f t="shared" si="32"/>
        <v>-9.7031188086597109E-2</v>
      </c>
      <c r="BT88" s="425">
        <f t="shared" si="33"/>
        <v>6263317.7082456937</v>
      </c>
    </row>
    <row r="89" spans="1:72" x14ac:dyDescent="0.2">
      <c r="A89" s="309">
        <v>205</v>
      </c>
      <c r="B89" s="278" t="s">
        <v>254</v>
      </c>
      <c r="C89" s="278">
        <v>18</v>
      </c>
      <c r="D89" s="279">
        <v>37622</v>
      </c>
      <c r="E89" s="364">
        <v>271732000</v>
      </c>
      <c r="F89" s="279">
        <v>121654260</v>
      </c>
      <c r="G89" s="278">
        <v>4680610.95</v>
      </c>
      <c r="H89" s="279">
        <v>10086065.808</v>
      </c>
      <c r="I89" s="279">
        <v>78738725.617749125</v>
      </c>
      <c r="J89" s="279">
        <v>23272095</v>
      </c>
      <c r="K89" s="279">
        <v>4862000</v>
      </c>
      <c r="L89" s="280">
        <v>-75620.219999999987</v>
      </c>
      <c r="M89" s="369">
        <v>-28362622.40425086</v>
      </c>
      <c r="N89" s="370">
        <v>-753.88396162487004</v>
      </c>
      <c r="P89" s="365">
        <v>135050595.625</v>
      </c>
      <c r="Q89" s="283">
        <v>53470743</v>
      </c>
      <c r="R89" s="279">
        <v>10086065.808</v>
      </c>
      <c r="S89" s="279">
        <v>3031443.8090804219</v>
      </c>
      <c r="T89" s="280">
        <v>21557256.938592102</v>
      </c>
      <c r="U89" s="280">
        <v>-6421688.0888104849</v>
      </c>
      <c r="V89" s="279">
        <v>23272095</v>
      </c>
      <c r="W89" s="279">
        <v>4862000</v>
      </c>
      <c r="X89" s="279">
        <v>468285.17835359741</v>
      </c>
      <c r="Y89" s="354">
        <v>-24724393.979784369</v>
      </c>
      <c r="Z89" s="355">
        <v>-657.17914995971421</v>
      </c>
      <c r="AB89" s="366">
        <v>3638228.4244664907</v>
      </c>
      <c r="AC89" s="349">
        <v>96.704811665155773</v>
      </c>
      <c r="AE89" s="374">
        <v>-92.260549603978461</v>
      </c>
      <c r="AF89" s="350">
        <v>-71.70481166515583</v>
      </c>
      <c r="AG89" s="350">
        <v>-46.70481166515583</v>
      </c>
      <c r="AH89" s="350">
        <v>-21.70481166515583</v>
      </c>
      <c r="AI89" s="350">
        <v>0</v>
      </c>
      <c r="AJ89" s="408">
        <v>-14130</v>
      </c>
      <c r="AK89" s="387">
        <v>-257602</v>
      </c>
      <c r="AL89" s="287">
        <v>-336</v>
      </c>
      <c r="AM89" s="287">
        <v>-13794</v>
      </c>
      <c r="AN89" s="287">
        <v>-121257</v>
      </c>
      <c r="AO89" s="287">
        <v>-136345</v>
      </c>
      <c r="AP89" s="287">
        <v>121654</v>
      </c>
      <c r="AQ89" s="287">
        <v>68183</v>
      </c>
      <c r="AR89" s="287">
        <v>53471</v>
      </c>
      <c r="AS89" s="287">
        <v>4681</v>
      </c>
      <c r="AT89" s="287">
        <v>1650</v>
      </c>
      <c r="AU89" s="287">
        <v>3031</v>
      </c>
      <c r="AV89" s="353">
        <f t="shared" si="17"/>
        <v>101935.20039774913</v>
      </c>
      <c r="AW89" s="353">
        <f t="shared" si="18"/>
        <v>66998.562945168378</v>
      </c>
      <c r="AX89" s="353">
        <f t="shared" si="19"/>
        <v>34936.637452580741</v>
      </c>
      <c r="AY89" s="390">
        <v>3471026</v>
      </c>
      <c r="AZ89" s="390">
        <v>-3471026</v>
      </c>
      <c r="BA89" s="401">
        <f t="shared" si="20"/>
        <v>10086.065808000001</v>
      </c>
      <c r="BB89" s="401">
        <v>-20100</v>
      </c>
      <c r="BC89" s="401">
        <v>400</v>
      </c>
      <c r="BD89" s="401">
        <v>200</v>
      </c>
      <c r="BE89" s="401">
        <v>-14264</v>
      </c>
      <c r="BG89" s="426">
        <f t="shared" si="21"/>
        <v>0.50003033909379779</v>
      </c>
      <c r="BH89" s="426">
        <f t="shared" si="22"/>
        <v>1.9238516435796355E-2</v>
      </c>
      <c r="BI89" s="426">
        <f t="shared" si="23"/>
        <v>4.145632800772122E-2</v>
      </c>
      <c r="BJ89" s="426">
        <f t="shared" si="24"/>
        <v>0.41929074431696572</v>
      </c>
      <c r="BK89" s="426">
        <f t="shared" si="25"/>
        <v>1.9984072145718897E-2</v>
      </c>
      <c r="BL89" s="425">
        <f t="shared" si="26"/>
        <v>243293757.37574914</v>
      </c>
      <c r="BN89" s="423">
        <f t="shared" si="27"/>
        <v>0.5026065050401215</v>
      </c>
      <c r="BO89" s="423">
        <f t="shared" si="28"/>
        <v>2.849452415702217E-2</v>
      </c>
      <c r="BP89" s="423">
        <f t="shared" si="29"/>
        <v>9.4805532912896853E-2</v>
      </c>
      <c r="BQ89" s="423">
        <f t="shared" si="30"/>
        <v>0.36101876673556893</v>
      </c>
      <c r="BR89" s="423">
        <f t="shared" si="31"/>
        <v>4.5701119722706504E-2</v>
      </c>
      <c r="BS89" s="423">
        <f t="shared" si="32"/>
        <v>-3.2626448568315904E-2</v>
      </c>
      <c r="BT89" s="425">
        <f t="shared" si="33"/>
        <v>106386890.06966116</v>
      </c>
    </row>
    <row r="90" spans="1:72" x14ac:dyDescent="0.2">
      <c r="A90" s="309">
        <v>208</v>
      </c>
      <c r="B90" s="278" t="s">
        <v>47</v>
      </c>
      <c r="C90" s="278">
        <v>17</v>
      </c>
      <c r="D90" s="279">
        <v>12621</v>
      </c>
      <c r="E90" s="364">
        <v>67934000</v>
      </c>
      <c r="F90" s="279">
        <v>32896429</v>
      </c>
      <c r="G90" s="278">
        <v>2127259.2149999999</v>
      </c>
      <c r="H90" s="279">
        <v>3397813.4305000002</v>
      </c>
      <c r="I90" s="279">
        <v>30978961.820729338</v>
      </c>
      <c r="J90" s="279">
        <v>-709149</v>
      </c>
      <c r="K90" s="279">
        <v>349000</v>
      </c>
      <c r="L90" s="280">
        <v>-25368.21</v>
      </c>
      <c r="M90" s="369">
        <v>1131682.6762293493</v>
      </c>
      <c r="N90" s="370">
        <v>89.666641013338833</v>
      </c>
      <c r="P90" s="365">
        <v>31992691.516809337</v>
      </c>
      <c r="Q90" s="283">
        <v>13680554</v>
      </c>
      <c r="R90" s="279">
        <v>3397813.4305000002</v>
      </c>
      <c r="S90" s="279">
        <v>1377740.3946852339</v>
      </c>
      <c r="T90" s="280">
        <v>11581413.908623412</v>
      </c>
      <c r="U90" s="280">
        <v>2170519.6473459741</v>
      </c>
      <c r="V90" s="279">
        <v>-709149</v>
      </c>
      <c r="W90" s="279">
        <v>349000</v>
      </c>
      <c r="X90" s="279">
        <v>150804.21369898107</v>
      </c>
      <c r="Y90" s="354">
        <v>6005.0780442655087</v>
      </c>
      <c r="Z90" s="355">
        <v>0.47580049475204095</v>
      </c>
      <c r="AB90" s="366">
        <v>-1125677.5981850838</v>
      </c>
      <c r="AC90" s="349">
        <v>-89.190840518586782</v>
      </c>
      <c r="AE90" s="374">
        <v>93.635102579762943</v>
      </c>
      <c r="AF90" s="350">
        <v>64.190840518585617</v>
      </c>
      <c r="AG90" s="350">
        <v>39.190840518585617</v>
      </c>
      <c r="AH90" s="350">
        <v>14.190840518585617</v>
      </c>
      <c r="AI90" s="350">
        <v>0</v>
      </c>
      <c r="AJ90" s="408">
        <v>-4970</v>
      </c>
      <c r="AK90" s="387">
        <v>-62964</v>
      </c>
      <c r="AL90" s="287">
        <v>-52</v>
      </c>
      <c r="AM90" s="287">
        <v>-4918</v>
      </c>
      <c r="AN90" s="287">
        <v>-27075</v>
      </c>
      <c r="AO90" s="287">
        <v>-35889</v>
      </c>
      <c r="AP90" s="287">
        <v>32896</v>
      </c>
      <c r="AQ90" s="287">
        <v>19215</v>
      </c>
      <c r="AR90" s="287">
        <v>13681</v>
      </c>
      <c r="AS90" s="287">
        <v>2127</v>
      </c>
      <c r="AT90" s="287">
        <v>749</v>
      </c>
      <c r="AU90" s="287">
        <v>1378</v>
      </c>
      <c r="AV90" s="353">
        <f t="shared" si="17"/>
        <v>30244.444610729337</v>
      </c>
      <c r="AW90" s="353">
        <f t="shared" si="18"/>
        <v>16019.891425100761</v>
      </c>
      <c r="AX90" s="353">
        <f t="shared" si="19"/>
        <v>14224.553185628576</v>
      </c>
      <c r="AY90" s="390">
        <v>1181769</v>
      </c>
      <c r="AZ90" s="390">
        <v>1181769</v>
      </c>
      <c r="BA90" s="401">
        <f t="shared" si="20"/>
        <v>3397.8134305000003</v>
      </c>
      <c r="BB90" s="401">
        <v>-13917</v>
      </c>
      <c r="BC90" s="401">
        <v>2626</v>
      </c>
      <c r="BD90" s="401">
        <v>650</v>
      </c>
      <c r="BE90" s="401">
        <v>-5140</v>
      </c>
      <c r="BG90" s="426">
        <f t="shared" si="21"/>
        <v>0.47648144789507135</v>
      </c>
      <c r="BH90" s="426">
        <f t="shared" si="22"/>
        <v>3.0811841334247338E-2</v>
      </c>
      <c r="BI90" s="426">
        <f t="shared" si="23"/>
        <v>4.9214918222338339E-2</v>
      </c>
      <c r="BJ90" s="426">
        <f t="shared" si="24"/>
        <v>0.43843677501694511</v>
      </c>
      <c r="BK90" s="426">
        <f t="shared" si="25"/>
        <v>5.0550175313977055E-3</v>
      </c>
      <c r="BL90" s="425">
        <f t="shared" si="26"/>
        <v>69040314.466229349</v>
      </c>
      <c r="BN90" s="423">
        <f t="shared" si="27"/>
        <v>0.41418996082100351</v>
      </c>
      <c r="BO90" s="423">
        <f t="shared" si="28"/>
        <v>4.1712217216948302E-2</v>
      </c>
      <c r="BP90" s="423">
        <f t="shared" si="29"/>
        <v>0.10287158046785785</v>
      </c>
      <c r="BQ90" s="423">
        <f t="shared" si="30"/>
        <v>0.39488096931116612</v>
      </c>
      <c r="BR90" s="423">
        <f t="shared" si="31"/>
        <v>1.056626042531101E-2</v>
      </c>
      <c r="BS90" s="423">
        <f t="shared" si="32"/>
        <v>3.577901175771319E-2</v>
      </c>
      <c r="BT90" s="425">
        <f t="shared" si="33"/>
        <v>33029661.01081381</v>
      </c>
    </row>
    <row r="91" spans="1:72" x14ac:dyDescent="0.2">
      <c r="A91" s="309">
        <v>211</v>
      </c>
      <c r="B91" s="278" t="s">
        <v>48</v>
      </c>
      <c r="C91" s="278">
        <v>6</v>
      </c>
      <c r="D91" s="279">
        <v>30607</v>
      </c>
      <c r="E91" s="364">
        <v>158060000</v>
      </c>
      <c r="F91" s="279">
        <v>112221397</v>
      </c>
      <c r="G91" s="278">
        <v>3379823.05</v>
      </c>
      <c r="H91" s="279">
        <v>7032287.6529999999</v>
      </c>
      <c r="I91" s="279">
        <v>42083372.597447708</v>
      </c>
      <c r="J91" s="279">
        <v>-3868164</v>
      </c>
      <c r="K91" s="279">
        <v>1277000</v>
      </c>
      <c r="L91" s="280">
        <v>-61520.069999999992</v>
      </c>
      <c r="M91" s="369">
        <v>4127236.3704477022</v>
      </c>
      <c r="N91" s="370">
        <v>134.84615840976582</v>
      </c>
      <c r="P91" s="365">
        <v>76561652.838850573</v>
      </c>
      <c r="Q91" s="283">
        <v>48585149</v>
      </c>
      <c r="R91" s="279">
        <v>7032287.6529999999</v>
      </c>
      <c r="S91" s="279">
        <v>2188975.706410679</v>
      </c>
      <c r="T91" s="280">
        <v>20644112.729620777</v>
      </c>
      <c r="U91" s="280">
        <v>2631248.50701391</v>
      </c>
      <c r="V91" s="279">
        <v>-3868164</v>
      </c>
      <c r="W91" s="279">
        <v>1277000</v>
      </c>
      <c r="X91" s="279">
        <v>388103.75773937529</v>
      </c>
      <c r="Y91" s="354">
        <v>2317060.5149341822</v>
      </c>
      <c r="Z91" s="355">
        <v>75.703614040388871</v>
      </c>
      <c r="AB91" s="366">
        <v>-1810175.8555135201</v>
      </c>
      <c r="AC91" s="349">
        <v>-59.142544369376942</v>
      </c>
      <c r="AE91" s="374">
        <v>63.58680643055429</v>
      </c>
      <c r="AF91" s="350">
        <v>34.142544369376949</v>
      </c>
      <c r="AG91" s="350">
        <v>9.1425443693769495</v>
      </c>
      <c r="AH91" s="350">
        <v>0</v>
      </c>
      <c r="AI91" s="350">
        <v>0</v>
      </c>
      <c r="AJ91" s="408">
        <v>-11984</v>
      </c>
      <c r="AK91" s="387">
        <v>-146076</v>
      </c>
      <c r="AL91" s="287">
        <v>-251</v>
      </c>
      <c r="AM91" s="287">
        <v>-11733</v>
      </c>
      <c r="AN91" s="287">
        <v>-64829</v>
      </c>
      <c r="AO91" s="287">
        <v>-81247</v>
      </c>
      <c r="AP91" s="287">
        <v>112221</v>
      </c>
      <c r="AQ91" s="287">
        <v>63636</v>
      </c>
      <c r="AR91" s="287">
        <v>48585</v>
      </c>
      <c r="AS91" s="287">
        <v>3380</v>
      </c>
      <c r="AT91" s="287">
        <v>1191</v>
      </c>
      <c r="AU91" s="287">
        <v>2189</v>
      </c>
      <c r="AV91" s="353">
        <f t="shared" si="17"/>
        <v>38153.68852744771</v>
      </c>
      <c r="AW91" s="353">
        <f t="shared" si="18"/>
        <v>16800.289906393049</v>
      </c>
      <c r="AX91" s="353">
        <f t="shared" si="19"/>
        <v>21353.398621054661</v>
      </c>
      <c r="AY91" s="390">
        <v>1946201</v>
      </c>
      <c r="AZ91" s="390">
        <v>1946201</v>
      </c>
      <c r="BA91" s="401">
        <f t="shared" si="20"/>
        <v>7032.2876530000003</v>
      </c>
      <c r="BB91" s="401">
        <v>-15954</v>
      </c>
      <c r="BC91" s="401">
        <v>10</v>
      </c>
      <c r="BD91" s="401">
        <v>300</v>
      </c>
      <c r="BE91" s="401">
        <v>-3369</v>
      </c>
      <c r="BG91" s="426">
        <f t="shared" si="21"/>
        <v>0.69218751695156033</v>
      </c>
      <c r="BH91" s="426">
        <f t="shared" si="22"/>
        <v>2.0846927477788831E-2</v>
      </c>
      <c r="BI91" s="426">
        <f t="shared" si="23"/>
        <v>4.337552248631503E-2</v>
      </c>
      <c r="BJ91" s="426">
        <f t="shared" si="24"/>
        <v>0.23571342948843568</v>
      </c>
      <c r="BK91" s="426">
        <f t="shared" si="25"/>
        <v>7.876603595900188E-3</v>
      </c>
      <c r="BL91" s="425">
        <f t="shared" si="26"/>
        <v>162125716.3004477</v>
      </c>
      <c r="BN91" s="423">
        <f t="shared" si="27"/>
        <v>0.60401635032248169</v>
      </c>
      <c r="BO91" s="423">
        <f t="shared" si="28"/>
        <v>2.7213606304485233E-2</v>
      </c>
      <c r="BP91" s="423">
        <f t="shared" si="29"/>
        <v>8.7426236411931355E-2</v>
      </c>
      <c r="BQ91" s="423">
        <f t="shared" si="30"/>
        <v>0.24127258403304752</v>
      </c>
      <c r="BR91" s="423">
        <f t="shared" si="31"/>
        <v>1.5875815866321807E-2</v>
      </c>
      <c r="BS91" s="423">
        <f t="shared" si="32"/>
        <v>2.4195407061732267E-2</v>
      </c>
      <c r="BT91" s="425">
        <f t="shared" si="33"/>
        <v>80436810.980465353</v>
      </c>
    </row>
    <row r="92" spans="1:72" x14ac:dyDescent="0.2">
      <c r="A92" s="309">
        <v>213</v>
      </c>
      <c r="B92" s="278" t="s">
        <v>49</v>
      </c>
      <c r="C92" s="278">
        <v>10</v>
      </c>
      <c r="D92" s="279">
        <v>5628</v>
      </c>
      <c r="E92" s="364">
        <v>36555000</v>
      </c>
      <c r="F92" s="279">
        <v>14205025</v>
      </c>
      <c r="G92" s="278">
        <v>2301678.08</v>
      </c>
      <c r="H92" s="279">
        <v>1884816.0445000001</v>
      </c>
      <c r="I92" s="279">
        <v>19175442.998415697</v>
      </c>
      <c r="J92" s="279">
        <v>-527912</v>
      </c>
      <c r="K92" s="279">
        <v>89000</v>
      </c>
      <c r="L92" s="280">
        <v>-11312.279999999999</v>
      </c>
      <c r="M92" s="369">
        <v>584362.40291570011</v>
      </c>
      <c r="N92" s="370">
        <v>103.83127272844708</v>
      </c>
      <c r="P92" s="365">
        <v>13964993.340160232</v>
      </c>
      <c r="Q92" s="283">
        <v>6294099</v>
      </c>
      <c r="R92" s="279">
        <v>1884816.0445000001</v>
      </c>
      <c r="S92" s="279">
        <v>1490704.4914963744</v>
      </c>
      <c r="T92" s="280">
        <v>2581053.8822213262</v>
      </c>
      <c r="U92" s="280">
        <v>1502613.5004448551</v>
      </c>
      <c r="V92" s="279">
        <v>-527912</v>
      </c>
      <c r="W92" s="279">
        <v>89000</v>
      </c>
      <c r="X92" s="279">
        <v>68120.665568728073</v>
      </c>
      <c r="Y92" s="354">
        <v>-582497.75592894852</v>
      </c>
      <c r="Z92" s="355">
        <v>-103.49995663272007</v>
      </c>
      <c r="AB92" s="366">
        <v>-1166860.1588446486</v>
      </c>
      <c r="AC92" s="349">
        <v>-207.33122936116715</v>
      </c>
      <c r="AE92" s="374">
        <v>211.77549142234449</v>
      </c>
      <c r="AF92" s="350">
        <v>182.33122936116715</v>
      </c>
      <c r="AG92" s="350">
        <v>157.33122936116715</v>
      </c>
      <c r="AH92" s="350">
        <v>132.33122936116715</v>
      </c>
      <c r="AI92" s="350">
        <v>107.33122936116715</v>
      </c>
      <c r="AJ92" s="408">
        <v>-1720</v>
      </c>
      <c r="AK92" s="387">
        <v>-34835</v>
      </c>
      <c r="AL92" s="287">
        <v>-76</v>
      </c>
      <c r="AM92" s="287">
        <v>-1644</v>
      </c>
      <c r="AN92" s="287">
        <v>-12321</v>
      </c>
      <c r="AO92" s="287">
        <v>-22514</v>
      </c>
      <c r="AP92" s="287">
        <v>14205</v>
      </c>
      <c r="AQ92" s="287">
        <v>7911</v>
      </c>
      <c r="AR92" s="287">
        <v>6294</v>
      </c>
      <c r="AS92" s="287">
        <v>2302</v>
      </c>
      <c r="AT92" s="287">
        <v>811</v>
      </c>
      <c r="AU92" s="287">
        <v>1491</v>
      </c>
      <c r="AV92" s="353">
        <f t="shared" si="17"/>
        <v>18636.218718415697</v>
      </c>
      <c r="AW92" s="353">
        <f t="shared" si="18"/>
        <v>13888.59087002456</v>
      </c>
      <c r="AX92" s="353">
        <f t="shared" si="19"/>
        <v>4747.6278483911365</v>
      </c>
      <c r="AY92" s="390">
        <v>1191872</v>
      </c>
      <c r="AZ92" s="390">
        <v>1191872</v>
      </c>
      <c r="BA92" s="401">
        <f t="shared" si="20"/>
        <v>1884.8160445000001</v>
      </c>
      <c r="BB92" s="401">
        <v>-4148</v>
      </c>
      <c r="BC92" s="401">
        <v>468</v>
      </c>
      <c r="BD92" s="401">
        <v>0</v>
      </c>
      <c r="BE92" s="401">
        <v>-1959</v>
      </c>
      <c r="BG92" s="426">
        <f t="shared" si="21"/>
        <v>0.38259550267178066</v>
      </c>
      <c r="BH92" s="426">
        <f t="shared" si="22"/>
        <v>6.1992969530586466E-2</v>
      </c>
      <c r="BI92" s="426">
        <f t="shared" si="23"/>
        <v>5.0765284960027517E-2</v>
      </c>
      <c r="BJ92" s="426">
        <f t="shared" si="24"/>
        <v>0.50224913338248023</v>
      </c>
      <c r="BK92" s="426">
        <f t="shared" si="25"/>
        <v>2.397109455125104E-3</v>
      </c>
      <c r="BL92" s="425">
        <f t="shared" si="26"/>
        <v>37128050.1229157</v>
      </c>
      <c r="BN92" s="423">
        <f t="shared" si="27"/>
        <v>0.43388885031521557</v>
      </c>
      <c r="BO92" s="423">
        <f t="shared" si="28"/>
        <v>0.10276293048061207</v>
      </c>
      <c r="BP92" s="423">
        <f t="shared" si="29"/>
        <v>0.12993133196725651</v>
      </c>
      <c r="BQ92" s="423">
        <f t="shared" si="30"/>
        <v>0.24511889866796963</v>
      </c>
      <c r="BR92" s="423">
        <f t="shared" si="31"/>
        <v>6.1352876206831487E-3</v>
      </c>
      <c r="BS92" s="423">
        <f t="shared" si="32"/>
        <v>8.2162700948263098E-2</v>
      </c>
      <c r="BT92" s="425">
        <f t="shared" si="33"/>
        <v>14506247.38438751</v>
      </c>
    </row>
    <row r="93" spans="1:72" x14ac:dyDescent="0.2">
      <c r="A93" s="309">
        <v>214</v>
      </c>
      <c r="B93" s="278" t="s">
        <v>50</v>
      </c>
      <c r="C93" s="278">
        <v>4</v>
      </c>
      <c r="D93" s="279">
        <v>11769</v>
      </c>
      <c r="E93" s="364">
        <v>67241000</v>
      </c>
      <c r="F93" s="279">
        <v>35372712</v>
      </c>
      <c r="G93" s="278">
        <v>2294661.3849999998</v>
      </c>
      <c r="H93" s="279">
        <v>3217435.5839999998</v>
      </c>
      <c r="I93" s="279">
        <v>26457798.838549972</v>
      </c>
      <c r="J93" s="279">
        <v>813569</v>
      </c>
      <c r="K93" s="279">
        <v>877000</v>
      </c>
      <c r="L93" s="280">
        <v>-23655.69</v>
      </c>
      <c r="M93" s="369">
        <v>1815832.4975499683</v>
      </c>
      <c r="N93" s="370">
        <v>154.28944664372236</v>
      </c>
      <c r="P93" s="365">
        <v>28079779.377588309</v>
      </c>
      <c r="Q93" s="283">
        <v>16199077</v>
      </c>
      <c r="R93" s="279">
        <v>3217435.5839999998</v>
      </c>
      <c r="S93" s="279">
        <v>1486160.0598302567</v>
      </c>
      <c r="T93" s="280">
        <v>7143476.9663669402</v>
      </c>
      <c r="U93" s="280">
        <v>-346547.75640576048</v>
      </c>
      <c r="V93" s="279">
        <v>813569</v>
      </c>
      <c r="W93" s="279">
        <v>877000</v>
      </c>
      <c r="X93" s="279">
        <v>144340.2876750603</v>
      </c>
      <c r="Y93" s="354">
        <v>1454731.7638781853</v>
      </c>
      <c r="Z93" s="355">
        <v>123.6070833442251</v>
      </c>
      <c r="AB93" s="366">
        <v>-361100.733671783</v>
      </c>
      <c r="AC93" s="349">
        <v>-30.68236329949724</v>
      </c>
      <c r="AE93" s="374">
        <v>35.126625360674595</v>
      </c>
      <c r="AF93" s="350">
        <v>5.6823632994972542</v>
      </c>
      <c r="AG93" s="350">
        <v>0</v>
      </c>
      <c r="AH93" s="350">
        <v>0</v>
      </c>
      <c r="AI93" s="350">
        <v>0</v>
      </c>
      <c r="AJ93" s="408">
        <v>-2941</v>
      </c>
      <c r="AK93" s="387">
        <v>-64300</v>
      </c>
      <c r="AL93" s="287">
        <v>0</v>
      </c>
      <c r="AM93" s="287">
        <v>-2941</v>
      </c>
      <c r="AN93" s="287">
        <v>-25139</v>
      </c>
      <c r="AO93" s="287">
        <v>-39161</v>
      </c>
      <c r="AP93" s="287">
        <v>35373</v>
      </c>
      <c r="AQ93" s="287">
        <v>19174</v>
      </c>
      <c r="AR93" s="287">
        <v>16199</v>
      </c>
      <c r="AS93" s="287">
        <v>2295</v>
      </c>
      <c r="AT93" s="287">
        <v>809</v>
      </c>
      <c r="AU93" s="287">
        <v>1486</v>
      </c>
      <c r="AV93" s="353">
        <f t="shared" si="17"/>
        <v>27247.71214854997</v>
      </c>
      <c r="AW93" s="353">
        <f t="shared" si="18"/>
        <v>19223.80868471901</v>
      </c>
      <c r="AX93" s="353">
        <f t="shared" si="19"/>
        <v>8023.9034638309595</v>
      </c>
      <c r="AY93" s="390">
        <v>413405</v>
      </c>
      <c r="AZ93" s="390">
        <v>413405</v>
      </c>
      <c r="BA93" s="401">
        <f t="shared" si="20"/>
        <v>3217.4355839999998</v>
      </c>
      <c r="BB93" s="401">
        <v>-9871</v>
      </c>
      <c r="BC93" s="401">
        <v>750</v>
      </c>
      <c r="BD93" s="401">
        <v>100</v>
      </c>
      <c r="BE93" s="401">
        <v>-5610</v>
      </c>
      <c r="BG93" s="426">
        <f t="shared" si="21"/>
        <v>0.5124016253606829</v>
      </c>
      <c r="BH93" s="426">
        <f t="shared" si="22"/>
        <v>3.3239979544864851E-2</v>
      </c>
      <c r="BI93" s="426">
        <f t="shared" si="23"/>
        <v>4.6607091441982107E-2</v>
      </c>
      <c r="BJ93" s="426">
        <f t="shared" si="24"/>
        <v>0.39504726712167443</v>
      </c>
      <c r="BK93" s="426">
        <f t="shared" si="25"/>
        <v>1.2704036530795798E-2</v>
      </c>
      <c r="BL93" s="425">
        <f t="shared" si="26"/>
        <v>69033176.807549968</v>
      </c>
      <c r="BN93" s="423">
        <f t="shared" si="27"/>
        <v>0.54352796260029734</v>
      </c>
      <c r="BO93" s="423">
        <f t="shared" si="28"/>
        <v>4.9865158948097815E-2</v>
      </c>
      <c r="BP93" s="423">
        <f t="shared" si="29"/>
        <v>0.1079546820951106</v>
      </c>
      <c r="BQ93" s="423">
        <f t="shared" si="30"/>
        <v>0.2553552024250153</v>
      </c>
      <c r="BR93" s="423">
        <f t="shared" si="31"/>
        <v>2.9425998975155236E-2</v>
      </c>
      <c r="BS93" s="423">
        <f t="shared" si="32"/>
        <v>1.3870994956323737E-2</v>
      </c>
      <c r="BT93" s="425">
        <f t="shared" si="33"/>
        <v>29803576.107661214</v>
      </c>
    </row>
    <row r="94" spans="1:72" x14ac:dyDescent="0.2">
      <c r="A94" s="309">
        <v>216</v>
      </c>
      <c r="B94" s="278" t="s">
        <v>51</v>
      </c>
      <c r="C94" s="278">
        <v>13</v>
      </c>
      <c r="D94" s="279">
        <v>1462</v>
      </c>
      <c r="E94" s="364">
        <v>9797000</v>
      </c>
      <c r="F94" s="279">
        <v>3283745</v>
      </c>
      <c r="G94" s="278">
        <v>466699.73</v>
      </c>
      <c r="H94" s="279">
        <v>449152.36450000003</v>
      </c>
      <c r="I94" s="279">
        <v>6248702.0005906671</v>
      </c>
      <c r="J94" s="279">
        <v>-307891</v>
      </c>
      <c r="K94" s="279">
        <v>29000</v>
      </c>
      <c r="L94" s="280">
        <v>258427.17026237783</v>
      </c>
      <c r="M94" s="369">
        <v>113980.92482828896</v>
      </c>
      <c r="N94" s="370">
        <v>77.962328883918573</v>
      </c>
      <c r="P94" s="365">
        <v>3183173.1703470033</v>
      </c>
      <c r="Q94" s="283">
        <v>1500614</v>
      </c>
      <c r="R94" s="279">
        <v>449152.36450000003</v>
      </c>
      <c r="S94" s="279">
        <v>302262.67944957153</v>
      </c>
      <c r="T94" s="280">
        <v>1360497.380722306</v>
      </c>
      <c r="U94" s="280">
        <v>-30676.669694650602</v>
      </c>
      <c r="V94" s="279">
        <v>-307891</v>
      </c>
      <c r="W94" s="279">
        <v>29000</v>
      </c>
      <c r="X94" s="279">
        <v>17214.298568846923</v>
      </c>
      <c r="Y94" s="354">
        <v>136999.88319907058</v>
      </c>
      <c r="Z94" s="355">
        <v>93.707170450800675</v>
      </c>
      <c r="AB94" s="366">
        <v>23018.95837078162</v>
      </c>
      <c r="AC94" s="349">
        <v>15.744841566882092</v>
      </c>
      <c r="AE94" s="374">
        <v>-11.300579505704775</v>
      </c>
      <c r="AF94" s="350">
        <v>0</v>
      </c>
      <c r="AG94" s="350">
        <v>0</v>
      </c>
      <c r="AH94" s="350">
        <v>0</v>
      </c>
      <c r="AI94" s="350">
        <v>0</v>
      </c>
      <c r="AJ94" s="408">
        <v>-853</v>
      </c>
      <c r="AK94" s="387">
        <v>-8944</v>
      </c>
      <c r="AL94" s="287">
        <v>0</v>
      </c>
      <c r="AM94" s="287">
        <v>-853</v>
      </c>
      <c r="AN94" s="287">
        <v>-2330</v>
      </c>
      <c r="AO94" s="287">
        <v>-6614</v>
      </c>
      <c r="AP94" s="287">
        <v>3284</v>
      </c>
      <c r="AQ94" s="287">
        <v>1783</v>
      </c>
      <c r="AR94" s="287">
        <v>1501</v>
      </c>
      <c r="AS94" s="287">
        <v>467</v>
      </c>
      <c r="AT94" s="287">
        <v>165</v>
      </c>
      <c r="AU94" s="287">
        <v>302</v>
      </c>
      <c r="AV94" s="353">
        <f t="shared" si="17"/>
        <v>6199.2381708530447</v>
      </c>
      <c r="AW94" s="353">
        <f t="shared" si="18"/>
        <v>5193.8299070627299</v>
      </c>
      <c r="AX94" s="353">
        <f t="shared" si="19"/>
        <v>1005.4082637903149</v>
      </c>
      <c r="AY94" s="390">
        <v>16521</v>
      </c>
      <c r="AZ94" s="390">
        <v>-16521</v>
      </c>
      <c r="BA94" s="401">
        <f t="shared" si="20"/>
        <v>449.15236450000003</v>
      </c>
      <c r="BB94" s="401">
        <v>-3040</v>
      </c>
      <c r="BC94" s="401">
        <v>500</v>
      </c>
      <c r="BD94" s="401">
        <v>0</v>
      </c>
      <c r="BE94" s="401">
        <v>-1275</v>
      </c>
      <c r="BG94" s="426">
        <f t="shared" si="21"/>
        <v>0.32290424076748819</v>
      </c>
      <c r="BH94" s="426">
        <f t="shared" si="22"/>
        <v>4.5892516618081407E-2</v>
      </c>
      <c r="BI94" s="426">
        <f t="shared" si="23"/>
        <v>4.416701152123402E-2</v>
      </c>
      <c r="BJ94" s="426">
        <f t="shared" si="24"/>
        <v>0.58418454103131368</v>
      </c>
      <c r="BK94" s="426">
        <f t="shared" si="25"/>
        <v>2.8516900618827459E-3</v>
      </c>
      <c r="BL94" s="425">
        <f t="shared" si="26"/>
        <v>10169408.095090667</v>
      </c>
      <c r="BN94" s="423">
        <f t="shared" si="27"/>
        <v>0.4566081319932393</v>
      </c>
      <c r="BO94" s="423">
        <f t="shared" si="28"/>
        <v>9.1972750777175302E-2</v>
      </c>
      <c r="BP94" s="423">
        <f t="shared" si="29"/>
        <v>0.13666847179533947</v>
      </c>
      <c r="BQ94" s="423">
        <f t="shared" si="30"/>
        <v>0.31095366055543167</v>
      </c>
      <c r="BR94" s="423">
        <f t="shared" si="31"/>
        <v>8.8241452017667026E-3</v>
      </c>
      <c r="BS94" s="423">
        <f t="shared" si="32"/>
        <v>-5.027160322952375E-3</v>
      </c>
      <c r="BT94" s="425">
        <f t="shared" si="33"/>
        <v>3286437.3077398865</v>
      </c>
    </row>
    <row r="95" spans="1:72" x14ac:dyDescent="0.2">
      <c r="A95" s="309">
        <v>217</v>
      </c>
      <c r="B95" s="278" t="s">
        <v>52</v>
      </c>
      <c r="C95" s="278">
        <v>16</v>
      </c>
      <c r="D95" s="279">
        <v>5590</v>
      </c>
      <c r="E95" s="364">
        <v>31770000</v>
      </c>
      <c r="F95" s="279">
        <v>15220934</v>
      </c>
      <c r="G95" s="278">
        <v>982870.80999999994</v>
      </c>
      <c r="H95" s="279">
        <v>1308250.9519999998</v>
      </c>
      <c r="I95" s="279">
        <v>13637070.09459522</v>
      </c>
      <c r="J95" s="279">
        <v>-102141</v>
      </c>
      <c r="K95" s="279">
        <v>3000</v>
      </c>
      <c r="L95" s="280">
        <v>-11235.9</v>
      </c>
      <c r="M95" s="369">
        <v>-708779.24340477807</v>
      </c>
      <c r="N95" s="370">
        <v>-126.79414014396745</v>
      </c>
      <c r="P95" s="365">
        <v>12449876.138717949</v>
      </c>
      <c r="Q95" s="283">
        <v>6579853</v>
      </c>
      <c r="R95" s="279">
        <v>1308250.9519999998</v>
      </c>
      <c r="S95" s="279">
        <v>636565.96626565582</v>
      </c>
      <c r="T95" s="280">
        <v>5358608.4548525065</v>
      </c>
      <c r="U95" s="280">
        <v>-1019173.5511804641</v>
      </c>
      <c r="V95" s="279">
        <v>-102141</v>
      </c>
      <c r="W95" s="279">
        <v>3000</v>
      </c>
      <c r="X95" s="279">
        <v>68228.333986150872</v>
      </c>
      <c r="Y95" s="354">
        <v>383316.01720589958</v>
      </c>
      <c r="Z95" s="355">
        <v>68.571738319481142</v>
      </c>
      <c r="AB95" s="366">
        <v>1092095.2606106778</v>
      </c>
      <c r="AC95" s="349">
        <v>195.36587846344861</v>
      </c>
      <c r="AE95" s="374">
        <v>-190.92161640227192</v>
      </c>
      <c r="AF95" s="350">
        <v>-170.36587846344926</v>
      </c>
      <c r="AG95" s="350">
        <v>-145.36587846344926</v>
      </c>
      <c r="AH95" s="350">
        <v>-120.36587846344926</v>
      </c>
      <c r="AI95" s="350">
        <v>-95.365878463449263</v>
      </c>
      <c r="AJ95" s="408">
        <v>-1053</v>
      </c>
      <c r="AK95" s="387">
        <v>-30717</v>
      </c>
      <c r="AL95" s="287">
        <v>-27</v>
      </c>
      <c r="AM95" s="287">
        <v>-1026</v>
      </c>
      <c r="AN95" s="287">
        <v>-11424</v>
      </c>
      <c r="AO95" s="287">
        <v>-19293</v>
      </c>
      <c r="AP95" s="287">
        <v>15221</v>
      </c>
      <c r="AQ95" s="287">
        <v>8641</v>
      </c>
      <c r="AR95" s="287">
        <v>6580</v>
      </c>
      <c r="AS95" s="287">
        <v>983</v>
      </c>
      <c r="AT95" s="287">
        <v>346</v>
      </c>
      <c r="AU95" s="287">
        <v>637</v>
      </c>
      <c r="AV95" s="353">
        <f t="shared" si="17"/>
        <v>13523.69319459522</v>
      </c>
      <c r="AW95" s="353">
        <f t="shared" si="18"/>
        <v>10353.651126611878</v>
      </c>
      <c r="AX95" s="353">
        <f t="shared" si="19"/>
        <v>3170.0420679833423</v>
      </c>
      <c r="AY95" s="390">
        <v>1067252</v>
      </c>
      <c r="AZ95" s="390">
        <v>-1067252</v>
      </c>
      <c r="BA95" s="401">
        <f t="shared" si="20"/>
        <v>1308.2509519999999</v>
      </c>
      <c r="BB95" s="401">
        <v>-1526</v>
      </c>
      <c r="BC95" s="401">
        <v>0</v>
      </c>
      <c r="BD95" s="401">
        <v>0</v>
      </c>
      <c r="BE95" s="401">
        <v>-759</v>
      </c>
      <c r="BG95" s="426">
        <f t="shared" si="21"/>
        <v>0.49020745324991594</v>
      </c>
      <c r="BH95" s="426">
        <f t="shared" si="22"/>
        <v>3.1654469866552341E-2</v>
      </c>
      <c r="BI95" s="426">
        <f t="shared" si="23"/>
        <v>4.2133706603793036E-2</v>
      </c>
      <c r="BJ95" s="426">
        <f t="shared" si="24"/>
        <v>0.43590775187512892</v>
      </c>
      <c r="BK95" s="426">
        <f t="shared" si="25"/>
        <v>9.6618404609713683E-5</v>
      </c>
      <c r="BL95" s="425">
        <f t="shared" si="26"/>
        <v>31049984.856595222</v>
      </c>
      <c r="BN95" s="423">
        <f t="shared" si="27"/>
        <v>0.56249059711290617</v>
      </c>
      <c r="BO95" s="423">
        <f t="shared" si="28"/>
        <v>5.4417989348169764E-2</v>
      </c>
      <c r="BP95" s="423">
        <f t="shared" si="29"/>
        <v>0.11183819139485456</v>
      </c>
      <c r="BQ95" s="423">
        <f t="shared" si="30"/>
        <v>0.36223270915313222</v>
      </c>
      <c r="BR95" s="423">
        <f t="shared" si="31"/>
        <v>2.5646040896942811E-4</v>
      </c>
      <c r="BS95" s="423">
        <f t="shared" si="32"/>
        <v>-9.1235947418032301E-2</v>
      </c>
      <c r="BT95" s="425">
        <f t="shared" si="33"/>
        <v>11697711.986249</v>
      </c>
    </row>
    <row r="96" spans="1:72" x14ac:dyDescent="0.2">
      <c r="A96" s="309">
        <v>272</v>
      </c>
      <c r="B96" s="278" t="s">
        <v>264</v>
      </c>
      <c r="C96" s="278">
        <v>16</v>
      </c>
      <c r="D96" s="279">
        <v>47570</v>
      </c>
      <c r="E96" s="364">
        <v>275724000</v>
      </c>
      <c r="F96" s="279">
        <v>157859471</v>
      </c>
      <c r="G96" s="278">
        <v>13476697.425000001</v>
      </c>
      <c r="H96" s="279">
        <v>15434771.941500001</v>
      </c>
      <c r="I96" s="279">
        <v>89366978.751149684</v>
      </c>
      <c r="J96" s="279">
        <v>-2376843</v>
      </c>
      <c r="K96" s="279">
        <v>-1814000</v>
      </c>
      <c r="L96" s="280">
        <v>-95615.7</v>
      </c>
      <c r="M96" s="369">
        <v>-3681308.1823503254</v>
      </c>
      <c r="N96" s="370">
        <v>-77.387180625401001</v>
      </c>
      <c r="P96" s="365">
        <v>123922037</v>
      </c>
      <c r="Q96" s="283">
        <v>72570115</v>
      </c>
      <c r="R96" s="279">
        <v>15434771.941500001</v>
      </c>
      <c r="S96" s="279">
        <v>8728315.8998434432</v>
      </c>
      <c r="T96" s="280">
        <v>33663464.170262039</v>
      </c>
      <c r="U96" s="280">
        <v>-4596634.9487327244</v>
      </c>
      <c r="V96" s="279">
        <v>-2376843</v>
      </c>
      <c r="W96" s="279">
        <v>-1814000</v>
      </c>
      <c r="X96" s="279">
        <v>592300.02794857614</v>
      </c>
      <c r="Y96" s="354">
        <v>-1720547.9091786593</v>
      </c>
      <c r="Z96" s="355">
        <v>-36.168759915464776</v>
      </c>
      <c r="AB96" s="366">
        <v>1960760.2731716661</v>
      </c>
      <c r="AC96" s="349">
        <v>41.218420709936225</v>
      </c>
      <c r="AE96" s="374">
        <v>-36.774158648758899</v>
      </c>
      <c r="AF96" s="350">
        <v>-16.218420709936225</v>
      </c>
      <c r="AG96" s="350">
        <v>0</v>
      </c>
      <c r="AH96" s="350">
        <v>0</v>
      </c>
      <c r="AI96" s="350">
        <v>0</v>
      </c>
      <c r="AJ96" s="408">
        <v>-14810</v>
      </c>
      <c r="AK96" s="387">
        <v>-260914</v>
      </c>
      <c r="AL96" s="287">
        <v>0</v>
      </c>
      <c r="AM96" s="287">
        <v>-14810</v>
      </c>
      <c r="AN96" s="287">
        <v>-109112</v>
      </c>
      <c r="AO96" s="287">
        <v>-151802</v>
      </c>
      <c r="AP96" s="287">
        <v>157859</v>
      </c>
      <c r="AQ96" s="287">
        <v>85289</v>
      </c>
      <c r="AR96" s="287">
        <v>72570</v>
      </c>
      <c r="AS96" s="287">
        <v>13477</v>
      </c>
      <c r="AT96" s="287">
        <v>4749</v>
      </c>
      <c r="AU96" s="287">
        <v>8728</v>
      </c>
      <c r="AV96" s="353">
        <f t="shared" si="17"/>
        <v>86894.520051149681</v>
      </c>
      <c r="AW96" s="353">
        <f t="shared" si="18"/>
        <v>61953.88055654183</v>
      </c>
      <c r="AX96" s="353">
        <f t="shared" si="19"/>
        <v>24940.639494607851</v>
      </c>
      <c r="AY96" s="390">
        <v>1749347</v>
      </c>
      <c r="AZ96" s="390">
        <v>-1749347</v>
      </c>
      <c r="BA96" s="401">
        <f t="shared" si="20"/>
        <v>15434.771941500001</v>
      </c>
      <c r="BB96" s="401">
        <v>-22241</v>
      </c>
      <c r="BC96" s="401">
        <v>1900</v>
      </c>
      <c r="BD96" s="401">
        <v>2148</v>
      </c>
      <c r="BE96" s="401">
        <v>-5370</v>
      </c>
      <c r="BG96" s="426">
        <f t="shared" si="21"/>
        <v>0.58047864773404245</v>
      </c>
      <c r="BH96" s="426">
        <f t="shared" si="22"/>
        <v>4.9556324036996502E-2</v>
      </c>
      <c r="BI96" s="426">
        <f t="shared" si="23"/>
        <v>5.6756528372537508E-2</v>
      </c>
      <c r="BJ96" s="426">
        <f t="shared" si="24"/>
        <v>0.31987891538688962</v>
      </c>
      <c r="BK96" s="426">
        <f t="shared" si="25"/>
        <v>-6.6704155304660373E-3</v>
      </c>
      <c r="BL96" s="425">
        <f t="shared" si="26"/>
        <v>271947076.11764967</v>
      </c>
      <c r="BN96" s="423">
        <f t="shared" si="27"/>
        <v>0.60545812163339541</v>
      </c>
      <c r="BO96" s="423">
        <f t="shared" si="28"/>
        <v>7.2821019365094164E-2</v>
      </c>
      <c r="BP96" s="423">
        <f t="shared" si="29"/>
        <v>0.12877350445896943</v>
      </c>
      <c r="BQ96" s="423">
        <f t="shared" si="30"/>
        <v>0.22267663381969754</v>
      </c>
      <c r="BR96" s="423">
        <f t="shared" si="31"/>
        <v>-1.5134343285014487E-2</v>
      </c>
      <c r="BS96" s="423">
        <f t="shared" si="32"/>
        <v>-1.4594935992142163E-2</v>
      </c>
      <c r="BT96" s="425">
        <f t="shared" si="33"/>
        <v>119859842.33595131</v>
      </c>
    </row>
    <row r="97" spans="1:72" x14ac:dyDescent="0.2">
      <c r="A97" s="309">
        <v>72</v>
      </c>
      <c r="B97" s="278" t="s">
        <v>227</v>
      </c>
      <c r="C97" s="278">
        <v>17</v>
      </c>
      <c r="D97" s="279">
        <v>993</v>
      </c>
      <c r="E97" s="364">
        <v>7388000</v>
      </c>
      <c r="F97" s="279">
        <v>3059907</v>
      </c>
      <c r="G97" s="278">
        <v>94724.684999999998</v>
      </c>
      <c r="H97" s="279">
        <v>327893.61719999998</v>
      </c>
      <c r="I97" s="279">
        <v>3660055.8461876735</v>
      </c>
      <c r="J97" s="279">
        <v>-183669</v>
      </c>
      <c r="K97" s="279">
        <v>50000</v>
      </c>
      <c r="L97" s="280">
        <v>-1995.9299999999998</v>
      </c>
      <c r="M97" s="369">
        <v>-377091.9216123267</v>
      </c>
      <c r="N97" s="370">
        <v>-379.75017282208125</v>
      </c>
      <c r="P97" s="365">
        <v>2884396.2030354133</v>
      </c>
      <c r="Q97" s="283">
        <v>1247563</v>
      </c>
      <c r="R97" s="279">
        <v>327893.61719999998</v>
      </c>
      <c r="S97" s="279">
        <v>61349.375749835199</v>
      </c>
      <c r="T97" s="280">
        <v>1605608.3442308088</v>
      </c>
      <c r="U97" s="280">
        <v>-336268.30626583064</v>
      </c>
      <c r="V97" s="279">
        <v>-183669</v>
      </c>
      <c r="W97" s="279">
        <v>50000</v>
      </c>
      <c r="X97" s="279">
        <v>12229.143230938567</v>
      </c>
      <c r="Y97" s="354">
        <v>-99690.028889661189</v>
      </c>
      <c r="Z97" s="355">
        <v>-100.39277833802738</v>
      </c>
      <c r="AB97" s="366">
        <v>277401.89272266551</v>
      </c>
      <c r="AC97" s="349">
        <v>279.35739448405388</v>
      </c>
      <c r="AE97" s="374">
        <v>-274.91313242287566</v>
      </c>
      <c r="AF97" s="350">
        <v>-254.35739448405297</v>
      </c>
      <c r="AG97" s="350">
        <v>-229.35739448405297</v>
      </c>
      <c r="AH97" s="350">
        <v>-204.35739448405297</v>
      </c>
      <c r="AI97" s="350">
        <v>-179.35739448405297</v>
      </c>
      <c r="AJ97" s="408">
        <v>-398</v>
      </c>
      <c r="AK97" s="387">
        <v>-6990</v>
      </c>
      <c r="AL97" s="287">
        <v>-12</v>
      </c>
      <c r="AM97" s="287">
        <v>-386</v>
      </c>
      <c r="AN97" s="287">
        <v>-2498</v>
      </c>
      <c r="AO97" s="287">
        <v>-4492</v>
      </c>
      <c r="AP97" s="287">
        <v>3060</v>
      </c>
      <c r="AQ97" s="287">
        <v>1812</v>
      </c>
      <c r="AR97" s="287">
        <v>1248</v>
      </c>
      <c r="AS97" s="287">
        <v>95</v>
      </c>
      <c r="AT97" s="287">
        <v>34</v>
      </c>
      <c r="AU97" s="287">
        <v>61</v>
      </c>
      <c r="AV97" s="353">
        <f t="shared" si="17"/>
        <v>3474.3909161876736</v>
      </c>
      <c r="AW97" s="353">
        <f t="shared" si="18"/>
        <v>2661.708618718611</v>
      </c>
      <c r="AX97" s="353">
        <f t="shared" si="19"/>
        <v>812.68229746906275</v>
      </c>
      <c r="AY97" s="390">
        <v>272989</v>
      </c>
      <c r="AZ97" s="390">
        <v>-272989</v>
      </c>
      <c r="BA97" s="401">
        <f t="shared" si="20"/>
        <v>327.89361719999999</v>
      </c>
      <c r="BB97" s="401">
        <v>-639</v>
      </c>
      <c r="BC97" s="401">
        <v>0</v>
      </c>
      <c r="BD97" s="401">
        <v>15</v>
      </c>
      <c r="BE97" s="401">
        <v>753</v>
      </c>
      <c r="BG97" s="426">
        <f t="shared" si="21"/>
        <v>0.43657374143345479</v>
      </c>
      <c r="BH97" s="426">
        <f t="shared" si="22"/>
        <v>1.3514891183475658E-2</v>
      </c>
      <c r="BI97" s="426">
        <f t="shared" si="23"/>
        <v>4.6782383664978375E-2</v>
      </c>
      <c r="BJ97" s="426">
        <f t="shared" si="24"/>
        <v>0.49599520904073252</v>
      </c>
      <c r="BK97" s="426">
        <f t="shared" si="25"/>
        <v>7.1337746773587358E-3</v>
      </c>
      <c r="BL97" s="425">
        <f t="shared" si="26"/>
        <v>7008912.1483876733</v>
      </c>
      <c r="BN97" s="423">
        <f t="shared" si="27"/>
        <v>0.49912736330159657</v>
      </c>
      <c r="BO97" s="423">
        <f t="shared" si="28"/>
        <v>2.454477421838749E-2</v>
      </c>
      <c r="BP97" s="423">
        <f t="shared" si="29"/>
        <v>0.13118429818490851</v>
      </c>
      <c r="BQ97" s="423">
        <f t="shared" si="30"/>
        <v>0.43435732110712422</v>
      </c>
      <c r="BR97" s="423">
        <f t="shared" si="31"/>
        <v>2.000409451472978E-2</v>
      </c>
      <c r="BS97" s="423">
        <f t="shared" si="32"/>
        <v>-0.1092178513267467</v>
      </c>
      <c r="BT97" s="425">
        <f t="shared" si="33"/>
        <v>2499488.2904188982</v>
      </c>
    </row>
    <row r="98" spans="1:72" x14ac:dyDescent="0.2">
      <c r="A98" s="309">
        <v>226</v>
      </c>
      <c r="B98" s="278" t="s">
        <v>53</v>
      </c>
      <c r="C98" s="278">
        <v>13</v>
      </c>
      <c r="D98" s="279">
        <v>4268</v>
      </c>
      <c r="E98" s="364">
        <v>26731000</v>
      </c>
      <c r="F98" s="279">
        <v>9969165</v>
      </c>
      <c r="G98" s="278">
        <v>1131075.6100000001</v>
      </c>
      <c r="H98" s="279">
        <v>993002.52029999997</v>
      </c>
      <c r="I98" s="279">
        <v>15397757.880207714</v>
      </c>
      <c r="J98" s="279">
        <v>32668</v>
      </c>
      <c r="K98" s="279">
        <v>96000</v>
      </c>
      <c r="L98" s="280">
        <v>787457.81299079373</v>
      </c>
      <c r="M98" s="369">
        <v>101211.19751692028</v>
      </c>
      <c r="N98" s="370">
        <v>23.713963804339333</v>
      </c>
      <c r="P98" s="365">
        <v>9925556.5270014331</v>
      </c>
      <c r="Q98" s="283">
        <v>4215552</v>
      </c>
      <c r="R98" s="279">
        <v>993002.52029999997</v>
      </c>
      <c r="S98" s="279">
        <v>732552.26554054068</v>
      </c>
      <c r="T98" s="280">
        <v>3606720.9644253021</v>
      </c>
      <c r="U98" s="280">
        <v>219967.74069528779</v>
      </c>
      <c r="V98" s="279">
        <v>32668</v>
      </c>
      <c r="W98" s="279">
        <v>96000</v>
      </c>
      <c r="X98" s="279">
        <v>50633.206022937455</v>
      </c>
      <c r="Y98" s="354">
        <v>21540.169982636347</v>
      </c>
      <c r="Z98" s="355">
        <v>5.04690018337309</v>
      </c>
      <c r="AB98" s="366">
        <v>-79671.02753428393</v>
      </c>
      <c r="AC98" s="349">
        <v>-18.667063620966243</v>
      </c>
      <c r="AE98" s="374">
        <v>23.111325682143576</v>
      </c>
      <c r="AF98" s="350">
        <v>0</v>
      </c>
      <c r="AG98" s="350">
        <v>0</v>
      </c>
      <c r="AH98" s="350">
        <v>0</v>
      </c>
      <c r="AI98" s="350">
        <v>0</v>
      </c>
      <c r="AJ98" s="408">
        <v>-2072</v>
      </c>
      <c r="AK98" s="387">
        <v>-24659</v>
      </c>
      <c r="AL98" s="287">
        <v>0</v>
      </c>
      <c r="AM98" s="287">
        <v>-2072</v>
      </c>
      <c r="AN98" s="287">
        <v>-7854</v>
      </c>
      <c r="AO98" s="287">
        <v>-16805</v>
      </c>
      <c r="AP98" s="287">
        <v>9969</v>
      </c>
      <c r="AQ98" s="287">
        <v>5753</v>
      </c>
      <c r="AR98" s="287">
        <v>4216</v>
      </c>
      <c r="AS98" s="287">
        <v>1131</v>
      </c>
      <c r="AT98" s="287">
        <v>398</v>
      </c>
      <c r="AU98" s="287">
        <v>733</v>
      </c>
      <c r="AV98" s="353">
        <f t="shared" si="17"/>
        <v>16217.883693198508</v>
      </c>
      <c r="AW98" s="353">
        <f t="shared" si="18"/>
        <v>12259.887850066529</v>
      </c>
      <c r="AX98" s="353">
        <f t="shared" si="19"/>
        <v>3957.9958431319792</v>
      </c>
      <c r="AY98" s="390">
        <v>98639</v>
      </c>
      <c r="AZ98" s="390">
        <v>98639</v>
      </c>
      <c r="BA98" s="401">
        <f t="shared" si="20"/>
        <v>993.00252030000001</v>
      </c>
      <c r="BB98" s="401">
        <v>-2245</v>
      </c>
      <c r="BC98" s="401">
        <v>298</v>
      </c>
      <c r="BD98" s="401">
        <v>570</v>
      </c>
      <c r="BE98" s="401">
        <v>1006</v>
      </c>
      <c r="BG98" s="426">
        <f t="shared" si="21"/>
        <v>0.36094440509795028</v>
      </c>
      <c r="BH98" s="426">
        <f t="shared" si="22"/>
        <v>4.0951816242609212E-2</v>
      </c>
      <c r="BI98" s="426">
        <f t="shared" si="23"/>
        <v>3.5952730639973236E-2</v>
      </c>
      <c r="BJ98" s="426">
        <f t="shared" si="24"/>
        <v>0.55867526415096846</v>
      </c>
      <c r="BK98" s="426">
        <f t="shared" si="25"/>
        <v>3.4757838684988389E-3</v>
      </c>
      <c r="BL98" s="425">
        <f t="shared" si="26"/>
        <v>27619669.010507714</v>
      </c>
      <c r="BN98" s="423">
        <f t="shared" si="27"/>
        <v>0.42176175237865982</v>
      </c>
      <c r="BO98" s="423">
        <f t="shared" si="28"/>
        <v>7.3291119934788082E-2</v>
      </c>
      <c r="BP98" s="423">
        <f t="shared" si="29"/>
        <v>9.9348906875814533E-2</v>
      </c>
      <c r="BQ98" s="423">
        <f t="shared" si="30"/>
        <v>0.38612477013828572</v>
      </c>
      <c r="BR98" s="423">
        <f t="shared" si="31"/>
        <v>9.6047037798018715E-3</v>
      </c>
      <c r="BS98" s="423">
        <f t="shared" si="32"/>
        <v>9.8687468926498371E-3</v>
      </c>
      <c r="BT98" s="425">
        <f t="shared" si="33"/>
        <v>9995102.6289725211</v>
      </c>
    </row>
    <row r="99" spans="1:72" x14ac:dyDescent="0.2">
      <c r="A99" s="309">
        <v>230</v>
      </c>
      <c r="B99" s="278" t="s">
        <v>54</v>
      </c>
      <c r="C99" s="278">
        <v>4</v>
      </c>
      <c r="D99" s="279">
        <v>2475</v>
      </c>
      <c r="E99" s="364">
        <v>15222000</v>
      </c>
      <c r="F99" s="279">
        <v>5267057</v>
      </c>
      <c r="G99" s="278">
        <v>582067.78</v>
      </c>
      <c r="H99" s="279">
        <v>463118.93200000003</v>
      </c>
      <c r="I99" s="279">
        <v>8672083.8054637164</v>
      </c>
      <c r="J99" s="279">
        <v>-457175</v>
      </c>
      <c r="K99" s="279">
        <v>413000</v>
      </c>
      <c r="L99" s="280">
        <v>217577.86118459885</v>
      </c>
      <c r="M99" s="369">
        <v>-499425.34372088127</v>
      </c>
      <c r="N99" s="370">
        <v>-201.78801766500254</v>
      </c>
      <c r="P99" s="365">
        <v>5904711.9883449879</v>
      </c>
      <c r="Q99" s="283">
        <v>2215689</v>
      </c>
      <c r="R99" s="279">
        <v>463118.93200000003</v>
      </c>
      <c r="S99" s="279">
        <v>376981.93398154259</v>
      </c>
      <c r="T99" s="280">
        <v>2067386.1738355074</v>
      </c>
      <c r="U99" s="280">
        <v>220587.77518224728</v>
      </c>
      <c r="V99" s="279">
        <v>-457175</v>
      </c>
      <c r="W99" s="279">
        <v>413000</v>
      </c>
      <c r="X99" s="279">
        <v>28882.808071808715</v>
      </c>
      <c r="Y99" s="354">
        <v>-576240.3652738817</v>
      </c>
      <c r="Z99" s="355">
        <v>-232.82439000964916</v>
      </c>
      <c r="AB99" s="366">
        <v>-76815.021553000435</v>
      </c>
      <c r="AC99" s="349">
        <v>-31.03637234464664</v>
      </c>
      <c r="AE99" s="374">
        <v>35.480634405823963</v>
      </c>
      <c r="AF99" s="350">
        <v>6.0363723446466224</v>
      </c>
      <c r="AG99" s="350">
        <v>0</v>
      </c>
      <c r="AH99" s="350">
        <v>0</v>
      </c>
      <c r="AI99" s="350">
        <v>0</v>
      </c>
      <c r="AJ99" s="408">
        <v>-987</v>
      </c>
      <c r="AK99" s="387">
        <v>-14235</v>
      </c>
      <c r="AL99" s="287">
        <v>0</v>
      </c>
      <c r="AM99" s="287">
        <v>-987</v>
      </c>
      <c r="AN99" s="287">
        <v>-4918</v>
      </c>
      <c r="AO99" s="287">
        <v>-9317</v>
      </c>
      <c r="AP99" s="287">
        <v>5267</v>
      </c>
      <c r="AQ99" s="287">
        <v>3051</v>
      </c>
      <c r="AR99" s="287">
        <v>2216</v>
      </c>
      <c r="AS99" s="287">
        <v>582</v>
      </c>
      <c r="AT99" s="287">
        <v>205</v>
      </c>
      <c r="AU99" s="287">
        <v>377</v>
      </c>
      <c r="AV99" s="353">
        <f t="shared" si="17"/>
        <v>8432.4866666483158</v>
      </c>
      <c r="AW99" s="353">
        <f t="shared" si="18"/>
        <v>6513.8731474761462</v>
      </c>
      <c r="AX99" s="353">
        <f t="shared" si="19"/>
        <v>1918.6135191721692</v>
      </c>
      <c r="AY99" s="390">
        <v>87815</v>
      </c>
      <c r="AZ99" s="390">
        <v>87815</v>
      </c>
      <c r="BA99" s="401">
        <f t="shared" si="20"/>
        <v>463.11893200000003</v>
      </c>
      <c r="BB99" s="401">
        <v>-3522</v>
      </c>
      <c r="BC99" s="401">
        <v>218</v>
      </c>
      <c r="BD99" s="401">
        <v>0</v>
      </c>
      <c r="BE99" s="401">
        <v>-2560</v>
      </c>
      <c r="BG99" s="426">
        <f t="shared" si="21"/>
        <v>0.35254372362285297</v>
      </c>
      <c r="BH99" s="426">
        <f t="shared" si="22"/>
        <v>3.8959962377868244E-2</v>
      </c>
      <c r="BI99" s="426">
        <f t="shared" si="23"/>
        <v>3.0998273374964209E-2</v>
      </c>
      <c r="BJ99" s="426">
        <f t="shared" si="24"/>
        <v>0.54985441385964529</v>
      </c>
      <c r="BK99" s="426">
        <f t="shared" si="25"/>
        <v>2.7643626764669204E-2</v>
      </c>
      <c r="BL99" s="425">
        <f t="shared" si="26"/>
        <v>14940152.517463718</v>
      </c>
      <c r="BN99" s="423">
        <f t="shared" si="27"/>
        <v>0.41127215498766345</v>
      </c>
      <c r="BO99" s="423">
        <f t="shared" si="28"/>
        <v>6.9974699689354464E-2</v>
      </c>
      <c r="BP99" s="423">
        <f t="shared" si="29"/>
        <v>8.5963292311883654E-2</v>
      </c>
      <c r="BQ99" s="423">
        <f t="shared" si="30"/>
        <v>0.33982956502996647</v>
      </c>
      <c r="BR99" s="423">
        <f t="shared" si="31"/>
        <v>7.6660307475419603E-2</v>
      </c>
      <c r="BS99" s="423">
        <f t="shared" si="32"/>
        <v>1.6299980505712366E-2</v>
      </c>
      <c r="BT99" s="425">
        <f t="shared" si="33"/>
        <v>5387403.3851537118</v>
      </c>
    </row>
    <row r="100" spans="1:72" x14ac:dyDescent="0.2">
      <c r="A100" s="309">
        <v>231</v>
      </c>
      <c r="B100" s="278" t="s">
        <v>257</v>
      </c>
      <c r="C100" s="278">
        <v>15</v>
      </c>
      <c r="D100" s="279">
        <v>1285</v>
      </c>
      <c r="E100" s="364">
        <v>9000000</v>
      </c>
      <c r="F100" s="279">
        <v>5085449</v>
      </c>
      <c r="G100" s="278">
        <v>1009855.225</v>
      </c>
      <c r="H100" s="279">
        <v>667000.19299999997</v>
      </c>
      <c r="I100" s="279">
        <v>2283715.4358885838</v>
      </c>
      <c r="J100" s="279">
        <v>-121625</v>
      </c>
      <c r="K100" s="279">
        <v>-33000</v>
      </c>
      <c r="L100" s="280">
        <v>-2582.85</v>
      </c>
      <c r="M100" s="369">
        <v>-106022.29611141756</v>
      </c>
      <c r="N100" s="370">
        <v>-82.507623433009769</v>
      </c>
      <c r="P100" s="365">
        <v>3131061.5471714288</v>
      </c>
      <c r="Q100" s="283">
        <v>2377199</v>
      </c>
      <c r="R100" s="279">
        <v>667000.19299999997</v>
      </c>
      <c r="S100" s="279">
        <v>654042.68857119314</v>
      </c>
      <c r="T100" s="280">
        <v>92234.476422764463</v>
      </c>
      <c r="U100" s="280">
        <v>-406172.22351739515</v>
      </c>
      <c r="V100" s="279">
        <v>-121625</v>
      </c>
      <c r="W100" s="279">
        <v>-33000</v>
      </c>
      <c r="X100" s="279">
        <v>17615.127016944563</v>
      </c>
      <c r="Y100" s="354">
        <v>116232.71432207804</v>
      </c>
      <c r="Z100" s="355">
        <v>90.453474180605483</v>
      </c>
      <c r="AB100" s="366">
        <v>222255.0104334956</v>
      </c>
      <c r="AC100" s="349">
        <v>172.96109761361524</v>
      </c>
      <c r="AE100" s="374">
        <v>-168.51683555243793</v>
      </c>
      <c r="AF100" s="350">
        <v>-147.96109761361527</v>
      </c>
      <c r="AG100" s="350">
        <v>-122.96109761361527</v>
      </c>
      <c r="AH100" s="350">
        <v>-97.961097613615266</v>
      </c>
      <c r="AI100" s="350">
        <v>-72.961097613615266</v>
      </c>
      <c r="AJ100" s="408">
        <v>-940</v>
      </c>
      <c r="AK100" s="387">
        <v>-8060</v>
      </c>
      <c r="AL100" s="287">
        <v>-8</v>
      </c>
      <c r="AM100" s="287">
        <v>-932</v>
      </c>
      <c r="AN100" s="287">
        <v>-2199</v>
      </c>
      <c r="AO100" s="287">
        <v>-5861</v>
      </c>
      <c r="AP100" s="287">
        <v>5085</v>
      </c>
      <c r="AQ100" s="287">
        <v>2708</v>
      </c>
      <c r="AR100" s="287">
        <v>2377</v>
      </c>
      <c r="AS100" s="287">
        <v>1010</v>
      </c>
      <c r="AT100" s="287">
        <v>356</v>
      </c>
      <c r="AU100" s="287">
        <v>654</v>
      </c>
      <c r="AV100" s="353">
        <f t="shared" si="17"/>
        <v>2159.5075858885839</v>
      </c>
      <c r="AW100" s="353">
        <f t="shared" si="18"/>
        <v>2811.6144666680975</v>
      </c>
      <c r="AX100" s="353">
        <f t="shared" si="19"/>
        <v>-652.1068807795134</v>
      </c>
      <c r="AY100" s="390">
        <v>216544</v>
      </c>
      <c r="AZ100" s="390">
        <v>-216544</v>
      </c>
      <c r="BA100" s="401">
        <f t="shared" si="20"/>
        <v>667.00019299999997</v>
      </c>
      <c r="BB100" s="401">
        <v>-1558</v>
      </c>
      <c r="BC100" s="401">
        <v>0</v>
      </c>
      <c r="BD100" s="401">
        <v>190</v>
      </c>
      <c r="BE100" s="401">
        <v>-833</v>
      </c>
      <c r="BG100" s="426">
        <f t="shared" si="21"/>
        <v>0.57195176725009778</v>
      </c>
      <c r="BH100" s="426">
        <f t="shared" si="22"/>
        <v>0.11357669315049569</v>
      </c>
      <c r="BI100" s="426">
        <f t="shared" si="23"/>
        <v>7.5016373016916757E-2</v>
      </c>
      <c r="BJ100" s="426">
        <f t="shared" si="24"/>
        <v>0.2431666202455299</v>
      </c>
      <c r="BK100" s="426">
        <f t="shared" si="25"/>
        <v>-3.7114536630400243E-3</v>
      </c>
      <c r="BL100" s="425">
        <f t="shared" si="26"/>
        <v>8891394.8538885824</v>
      </c>
      <c r="BN100" s="423">
        <f t="shared" si="27"/>
        <v>0.78894540051322226</v>
      </c>
      <c r="BO100" s="423">
        <f t="shared" si="28"/>
        <v>0.21706385156966021</v>
      </c>
      <c r="BP100" s="423">
        <f t="shared" si="29"/>
        <v>0.22136419139027971</v>
      </c>
      <c r="BQ100" s="423">
        <f t="shared" si="30"/>
        <v>-0.14455467378002967</v>
      </c>
      <c r="BR100" s="423">
        <f t="shared" si="31"/>
        <v>-1.0952048279061339E-2</v>
      </c>
      <c r="BS100" s="423">
        <f t="shared" si="32"/>
        <v>-7.1866721414071161E-2</v>
      </c>
      <c r="BT100" s="425">
        <f t="shared" si="33"/>
        <v>3013135.0007916796</v>
      </c>
    </row>
    <row r="101" spans="1:72" x14ac:dyDescent="0.2">
      <c r="A101" s="309">
        <v>232</v>
      </c>
      <c r="B101" s="278" t="s">
        <v>55</v>
      </c>
      <c r="C101" s="278">
        <v>14</v>
      </c>
      <c r="D101" s="279">
        <v>13875</v>
      </c>
      <c r="E101" s="364">
        <v>86155000</v>
      </c>
      <c r="F101" s="279">
        <v>38622507</v>
      </c>
      <c r="G101" s="278">
        <v>3305988.9550000001</v>
      </c>
      <c r="H101" s="279">
        <v>3477048.3568999995</v>
      </c>
      <c r="I101" s="279">
        <v>39481635.594599247</v>
      </c>
      <c r="J101" s="279">
        <v>-433517</v>
      </c>
      <c r="K101" s="279">
        <v>2280000</v>
      </c>
      <c r="L101" s="280">
        <v>-27888.749999999996</v>
      </c>
      <c r="M101" s="369">
        <v>606551.65649923682</v>
      </c>
      <c r="N101" s="370">
        <v>43.715434702647698</v>
      </c>
      <c r="P101" s="365">
        <v>32709204.012657806</v>
      </c>
      <c r="Q101" s="283">
        <v>18453044</v>
      </c>
      <c r="R101" s="279">
        <v>3477048.3568999995</v>
      </c>
      <c r="S101" s="279">
        <v>2141156.3271506261</v>
      </c>
      <c r="T101" s="280">
        <v>10127758.703727299</v>
      </c>
      <c r="U101" s="280">
        <v>-1376625.1590214057</v>
      </c>
      <c r="V101" s="279">
        <v>-433517</v>
      </c>
      <c r="W101" s="279">
        <v>2280000</v>
      </c>
      <c r="X101" s="279">
        <v>167087.34759244113</v>
      </c>
      <c r="Y101" s="354">
        <v>2126748.5636911541</v>
      </c>
      <c r="Z101" s="355">
        <v>153.27917576152461</v>
      </c>
      <c r="AB101" s="366">
        <v>1520196.9071919173</v>
      </c>
      <c r="AC101" s="349">
        <v>109.56374105887693</v>
      </c>
      <c r="AE101" s="374">
        <v>-105.11947899769959</v>
      </c>
      <c r="AF101" s="350">
        <v>-84.563741058876914</v>
      </c>
      <c r="AG101" s="350">
        <v>-59.563741058876914</v>
      </c>
      <c r="AH101" s="350">
        <v>-34.563741058876914</v>
      </c>
      <c r="AI101" s="350">
        <v>-9.5637410588769143</v>
      </c>
      <c r="AJ101" s="408">
        <v>-4472</v>
      </c>
      <c r="AK101" s="387">
        <v>-81683</v>
      </c>
      <c r="AL101" s="287">
        <v>-1</v>
      </c>
      <c r="AM101" s="287">
        <v>-4471</v>
      </c>
      <c r="AN101" s="287">
        <v>-28238</v>
      </c>
      <c r="AO101" s="287">
        <v>-53445</v>
      </c>
      <c r="AP101" s="287">
        <v>38623</v>
      </c>
      <c r="AQ101" s="287">
        <v>20170</v>
      </c>
      <c r="AR101" s="287">
        <v>18453</v>
      </c>
      <c r="AS101" s="287">
        <v>3306</v>
      </c>
      <c r="AT101" s="287">
        <v>1165</v>
      </c>
      <c r="AU101" s="287">
        <v>2141</v>
      </c>
      <c r="AV101" s="353">
        <f t="shared" si="17"/>
        <v>39020.229844599249</v>
      </c>
      <c r="AW101" s="353">
        <f t="shared" si="18"/>
        <v>32161.146070986437</v>
      </c>
      <c r="AX101" s="353">
        <f t="shared" si="19"/>
        <v>6859.0837736128124</v>
      </c>
      <c r="AY101" s="390">
        <v>1458533</v>
      </c>
      <c r="AZ101" s="390">
        <v>-1458533</v>
      </c>
      <c r="BA101" s="401">
        <f t="shared" si="20"/>
        <v>3477.0483568999998</v>
      </c>
      <c r="BB101" s="401">
        <v>-4798</v>
      </c>
      <c r="BC101" s="401">
        <v>0</v>
      </c>
      <c r="BD101" s="401">
        <v>0</v>
      </c>
      <c r="BE101" s="401">
        <v>-1634</v>
      </c>
      <c r="BG101" s="426">
        <f t="shared" si="21"/>
        <v>0.44530007964307811</v>
      </c>
      <c r="BH101" s="426">
        <f t="shared" si="22"/>
        <v>3.8116561023877518E-2</v>
      </c>
      <c r="BI101" s="426">
        <f t="shared" si="23"/>
        <v>4.0088798747590457E-2</v>
      </c>
      <c r="BJ101" s="426">
        <f t="shared" si="24"/>
        <v>0.45020718929735465</v>
      </c>
      <c r="BK101" s="426">
        <f t="shared" si="25"/>
        <v>2.6287371288099399E-2</v>
      </c>
      <c r="BL101" s="425">
        <f t="shared" si="26"/>
        <v>86733662.906499237</v>
      </c>
      <c r="BN101" s="423">
        <f t="shared" si="27"/>
        <v>0.55564165229372386</v>
      </c>
      <c r="BO101" s="423">
        <f t="shared" si="28"/>
        <v>6.447259538519147E-2</v>
      </c>
      <c r="BP101" s="423">
        <f t="shared" si="29"/>
        <v>0.10469778829623413</v>
      </c>
      <c r="BQ101" s="423">
        <f t="shared" si="30"/>
        <v>0.25045267328501453</v>
      </c>
      <c r="BR101" s="423">
        <f t="shared" si="31"/>
        <v>6.8653332600826747E-2</v>
      </c>
      <c r="BS101" s="423">
        <f t="shared" si="32"/>
        <v>-4.3918041860990721E-2</v>
      </c>
      <c r="BT101" s="425">
        <f t="shared" si="33"/>
        <v>33210332.457663435</v>
      </c>
    </row>
    <row r="102" spans="1:72" x14ac:dyDescent="0.2">
      <c r="A102" s="309">
        <v>233</v>
      </c>
      <c r="B102" s="278" t="s">
        <v>56</v>
      </c>
      <c r="C102" s="278">
        <v>14</v>
      </c>
      <c r="D102" s="279">
        <v>16784</v>
      </c>
      <c r="E102" s="364">
        <v>103669000</v>
      </c>
      <c r="F102" s="279">
        <v>48346808</v>
      </c>
      <c r="G102" s="278">
        <v>3168965.0799999996</v>
      </c>
      <c r="H102" s="279">
        <v>4045419.0305000003</v>
      </c>
      <c r="I102" s="279">
        <v>49434734.76959452</v>
      </c>
      <c r="J102" s="279">
        <v>6335</v>
      </c>
      <c r="K102" s="279">
        <v>56000</v>
      </c>
      <c r="L102" s="280">
        <v>-33735.839999999997</v>
      </c>
      <c r="M102" s="369">
        <v>1422997.7200945283</v>
      </c>
      <c r="N102" s="370">
        <v>84.782990949388008</v>
      </c>
      <c r="P102" s="365">
        <v>41508241.957510732</v>
      </c>
      <c r="Q102" s="283">
        <v>22657501</v>
      </c>
      <c r="R102" s="279">
        <v>4045419.0305000003</v>
      </c>
      <c r="S102" s="279">
        <v>2052411.4641397493</v>
      </c>
      <c r="T102" s="280">
        <v>12764993.117254822</v>
      </c>
      <c r="U102" s="280">
        <v>1549608.579310467</v>
      </c>
      <c r="V102" s="279">
        <v>6335</v>
      </c>
      <c r="W102" s="279">
        <v>56000</v>
      </c>
      <c r="X102" s="279">
        <v>203705.8177199479</v>
      </c>
      <c r="Y102" s="354">
        <v>1827732.0514142588</v>
      </c>
      <c r="Z102" s="355">
        <v>108.89728619007738</v>
      </c>
      <c r="AB102" s="366">
        <v>404734.3313197305</v>
      </c>
      <c r="AC102" s="349">
        <v>24.114295240689376</v>
      </c>
      <c r="AE102" s="374">
        <v>-19.670033179512942</v>
      </c>
      <c r="AF102" s="350">
        <v>0</v>
      </c>
      <c r="AG102" s="350">
        <v>0</v>
      </c>
      <c r="AH102" s="350">
        <v>0</v>
      </c>
      <c r="AI102" s="350">
        <v>0</v>
      </c>
      <c r="AJ102" s="408">
        <v>-5301</v>
      </c>
      <c r="AK102" s="387">
        <v>-98368</v>
      </c>
      <c r="AL102" s="287">
        <v>0</v>
      </c>
      <c r="AM102" s="287">
        <v>-5301</v>
      </c>
      <c r="AN102" s="287">
        <v>-36207</v>
      </c>
      <c r="AO102" s="287">
        <v>-62161</v>
      </c>
      <c r="AP102" s="287">
        <v>48347</v>
      </c>
      <c r="AQ102" s="287">
        <v>25689</v>
      </c>
      <c r="AR102" s="287">
        <v>22658</v>
      </c>
      <c r="AS102" s="287">
        <v>3169</v>
      </c>
      <c r="AT102" s="287">
        <v>1117</v>
      </c>
      <c r="AU102" s="287">
        <v>2052</v>
      </c>
      <c r="AV102" s="353">
        <f t="shared" si="17"/>
        <v>49407.333929594519</v>
      </c>
      <c r="AW102" s="353">
        <f t="shared" si="18"/>
        <v>35416.539069914172</v>
      </c>
      <c r="AX102" s="353">
        <f t="shared" si="19"/>
        <v>13990.794859680344</v>
      </c>
      <c r="AY102" s="390">
        <v>330142</v>
      </c>
      <c r="AZ102" s="390">
        <v>-330142</v>
      </c>
      <c r="BA102" s="401">
        <f t="shared" si="20"/>
        <v>4045.4190305000006</v>
      </c>
      <c r="BB102" s="401">
        <v>-7041</v>
      </c>
      <c r="BC102" s="401">
        <v>0</v>
      </c>
      <c r="BD102" s="401">
        <v>50</v>
      </c>
      <c r="BE102" s="401">
        <v>-1859</v>
      </c>
      <c r="BG102" s="426">
        <f t="shared" si="21"/>
        <v>0.46019044228220102</v>
      </c>
      <c r="BH102" s="426">
        <f t="shared" si="22"/>
        <v>3.0163882623689454E-2</v>
      </c>
      <c r="BI102" s="426">
        <f t="shared" si="23"/>
        <v>3.8506434031024925E-2</v>
      </c>
      <c r="BJ102" s="426">
        <f t="shared" si="24"/>
        <v>0.47060620349899546</v>
      </c>
      <c r="BK102" s="426">
        <f t="shared" si="25"/>
        <v>5.3303756408909682E-4</v>
      </c>
      <c r="BL102" s="425">
        <f t="shared" si="26"/>
        <v>105058261.88009453</v>
      </c>
      <c r="BN102" s="423">
        <f t="shared" si="27"/>
        <v>0.529354565528802</v>
      </c>
      <c r="BO102" s="423">
        <f t="shared" si="28"/>
        <v>4.7951156611933041E-2</v>
      </c>
      <c r="BP102" s="423">
        <f t="shared" si="29"/>
        <v>9.45144406381037E-2</v>
      </c>
      <c r="BQ102" s="423">
        <f t="shared" si="30"/>
        <v>0.33458470212473107</v>
      </c>
      <c r="BR102" s="423">
        <f t="shared" si="31"/>
        <v>1.3083462147750944E-3</v>
      </c>
      <c r="BS102" s="423">
        <f t="shared" si="32"/>
        <v>-7.7132111183449053E-3</v>
      </c>
      <c r="BT102" s="425">
        <f t="shared" si="33"/>
        <v>42802126.354320094</v>
      </c>
    </row>
    <row r="103" spans="1:72" x14ac:dyDescent="0.2">
      <c r="A103" s="309">
        <v>236</v>
      </c>
      <c r="B103" s="278" t="s">
        <v>259</v>
      </c>
      <c r="C103" s="278">
        <v>16</v>
      </c>
      <c r="D103" s="279">
        <v>4305</v>
      </c>
      <c r="E103" s="364">
        <v>24710000</v>
      </c>
      <c r="F103" s="279">
        <v>12246844</v>
      </c>
      <c r="G103" s="278">
        <v>1152988.58</v>
      </c>
      <c r="H103" s="279">
        <v>909907.94550000003</v>
      </c>
      <c r="I103" s="279">
        <v>9535535.4308055602</v>
      </c>
      <c r="J103" s="279">
        <v>765638</v>
      </c>
      <c r="K103" s="279">
        <v>-303000</v>
      </c>
      <c r="L103" s="280">
        <v>-8653.0499999999993</v>
      </c>
      <c r="M103" s="369">
        <v>-393432.99369444029</v>
      </c>
      <c r="N103" s="370">
        <v>-91.389777861658601</v>
      </c>
      <c r="P103" s="365">
        <v>10643428.268205129</v>
      </c>
      <c r="Q103" s="283">
        <v>5650910</v>
      </c>
      <c r="R103" s="279">
        <v>909907.94550000003</v>
      </c>
      <c r="S103" s="279">
        <v>746744.4165128544</v>
      </c>
      <c r="T103" s="280">
        <v>3579612.8417380475</v>
      </c>
      <c r="U103" s="280">
        <v>-524905.57579634641</v>
      </c>
      <c r="V103" s="279">
        <v>765638</v>
      </c>
      <c r="W103" s="279">
        <v>-303000</v>
      </c>
      <c r="X103" s="279">
        <v>52081.819570739717</v>
      </c>
      <c r="Y103" s="354">
        <v>233561.17932016589</v>
      </c>
      <c r="Z103" s="355">
        <v>54.25346790247756</v>
      </c>
      <c r="AB103" s="366">
        <v>626994.17301460612</v>
      </c>
      <c r="AC103" s="349">
        <v>145.64324576413614</v>
      </c>
      <c r="AE103" s="374">
        <v>-141.19898370295797</v>
      </c>
      <c r="AF103" s="350">
        <v>-120.64324576413529</v>
      </c>
      <c r="AG103" s="350">
        <v>-95.643245764135287</v>
      </c>
      <c r="AH103" s="350">
        <v>-70.643245764135287</v>
      </c>
      <c r="AI103" s="350">
        <v>-45.643245764135287</v>
      </c>
      <c r="AJ103" s="408">
        <v>-1465</v>
      </c>
      <c r="AK103" s="387">
        <v>-23245</v>
      </c>
      <c r="AL103" s="287">
        <v>-23</v>
      </c>
      <c r="AM103" s="287">
        <v>-1442</v>
      </c>
      <c r="AN103" s="287">
        <v>-9201</v>
      </c>
      <c r="AO103" s="287">
        <v>-14044</v>
      </c>
      <c r="AP103" s="287">
        <v>12247</v>
      </c>
      <c r="AQ103" s="287">
        <v>6596</v>
      </c>
      <c r="AR103" s="287">
        <v>5651</v>
      </c>
      <c r="AS103" s="287">
        <v>1153</v>
      </c>
      <c r="AT103" s="287">
        <v>406</v>
      </c>
      <c r="AU103" s="287">
        <v>747</v>
      </c>
      <c r="AV103" s="353">
        <f t="shared" si="17"/>
        <v>10292.520380805559</v>
      </c>
      <c r="AW103" s="353">
        <f t="shared" si="18"/>
        <v>7080.0367397050923</v>
      </c>
      <c r="AX103" s="353">
        <f t="shared" si="19"/>
        <v>3212.4836411004667</v>
      </c>
      <c r="AY103" s="390">
        <v>607862</v>
      </c>
      <c r="AZ103" s="390">
        <v>-607862</v>
      </c>
      <c r="BA103" s="401">
        <f t="shared" si="20"/>
        <v>909.9079455000001</v>
      </c>
      <c r="BB103" s="401">
        <v>-3795</v>
      </c>
      <c r="BC103" s="401">
        <v>0</v>
      </c>
      <c r="BD103" s="401">
        <v>127</v>
      </c>
      <c r="BE103" s="401">
        <v>-2154</v>
      </c>
      <c r="BG103" s="426">
        <f t="shared" si="21"/>
        <v>0.50382126668763882</v>
      </c>
      <c r="BH103" s="426">
        <f t="shared" si="22"/>
        <v>4.7432641981230587E-2</v>
      </c>
      <c r="BI103" s="426">
        <f t="shared" si="23"/>
        <v>3.7432580481220876E-2</v>
      </c>
      <c r="BJ103" s="426">
        <f t="shared" si="24"/>
        <v>0.4237785870610834</v>
      </c>
      <c r="BK103" s="426">
        <f t="shared" si="25"/>
        <v>-1.2465076211173634E-2</v>
      </c>
      <c r="BL103" s="425">
        <f t="shared" si="26"/>
        <v>24307913.95630556</v>
      </c>
      <c r="BN103" s="423">
        <f t="shared" si="27"/>
        <v>0.55308647903494457</v>
      </c>
      <c r="BO103" s="423">
        <f t="shared" si="28"/>
        <v>7.3088093788097622E-2</v>
      </c>
      <c r="BP103" s="423">
        <f t="shared" si="29"/>
        <v>8.9057829946418407E-2</v>
      </c>
      <c r="BQ103" s="423">
        <f t="shared" si="30"/>
        <v>0.37391876916063327</v>
      </c>
      <c r="BR103" s="423">
        <f t="shared" si="31"/>
        <v>-2.9656321397365768E-2</v>
      </c>
      <c r="BS103" s="423">
        <f t="shared" si="32"/>
        <v>-5.9494850532728093E-2</v>
      </c>
      <c r="BT103" s="425">
        <f t="shared" si="33"/>
        <v>10217046.003113322</v>
      </c>
    </row>
    <row r="104" spans="1:72" x14ac:dyDescent="0.2">
      <c r="A104" s="309">
        <v>239</v>
      </c>
      <c r="B104" s="278" t="s">
        <v>57</v>
      </c>
      <c r="C104" s="278">
        <v>11</v>
      </c>
      <c r="D104" s="279">
        <v>2379</v>
      </c>
      <c r="E104" s="364">
        <v>15027000</v>
      </c>
      <c r="F104" s="279">
        <v>6067915</v>
      </c>
      <c r="G104" s="278">
        <v>558349.21499999997</v>
      </c>
      <c r="H104" s="279">
        <v>573615.18400000001</v>
      </c>
      <c r="I104" s="279">
        <v>8054824.4767879518</v>
      </c>
      <c r="J104" s="279">
        <v>-333669</v>
      </c>
      <c r="K104" s="279">
        <v>147000</v>
      </c>
      <c r="L104" s="280">
        <v>30856.33881068795</v>
      </c>
      <c r="M104" s="369">
        <v>10178.536977263102</v>
      </c>
      <c r="N104" s="370">
        <v>4.2784938954447673</v>
      </c>
      <c r="P104" s="365">
        <v>5187335.6414925382</v>
      </c>
      <c r="Q104" s="283">
        <v>2667768</v>
      </c>
      <c r="R104" s="279">
        <v>573615.18400000001</v>
      </c>
      <c r="S104" s="279">
        <v>361620.37161338166</v>
      </c>
      <c r="T104" s="280">
        <v>1332208.9224074984</v>
      </c>
      <c r="U104" s="280">
        <v>343896.43891549518</v>
      </c>
      <c r="V104" s="279">
        <v>-333669</v>
      </c>
      <c r="W104" s="279">
        <v>147000</v>
      </c>
      <c r="X104" s="279">
        <v>28727.224063473554</v>
      </c>
      <c r="Y104" s="354">
        <v>-66168.5004926892</v>
      </c>
      <c r="Z104" s="355">
        <v>-27.813577340348548</v>
      </c>
      <c r="AB104" s="366">
        <v>-76347.037469952309</v>
      </c>
      <c r="AC104" s="349">
        <v>-32.09207123579332</v>
      </c>
      <c r="AE104" s="374">
        <v>36.536333296970646</v>
      </c>
      <c r="AF104" s="350">
        <v>7.0920712357933127</v>
      </c>
      <c r="AG104" s="350">
        <v>0</v>
      </c>
      <c r="AH104" s="350">
        <v>0</v>
      </c>
      <c r="AI104" s="350">
        <v>0</v>
      </c>
      <c r="AJ104" s="408">
        <v>-586</v>
      </c>
      <c r="AK104" s="387">
        <v>-14441</v>
      </c>
      <c r="AL104" s="287">
        <v>-84</v>
      </c>
      <c r="AM104" s="287">
        <v>-502</v>
      </c>
      <c r="AN104" s="287">
        <v>-4685</v>
      </c>
      <c r="AO104" s="287">
        <v>-9756</v>
      </c>
      <c r="AP104" s="287">
        <v>6068</v>
      </c>
      <c r="AQ104" s="287">
        <v>3400</v>
      </c>
      <c r="AR104" s="287">
        <v>2668</v>
      </c>
      <c r="AS104" s="287">
        <v>558</v>
      </c>
      <c r="AT104" s="287">
        <v>196</v>
      </c>
      <c r="AU104" s="287">
        <v>362</v>
      </c>
      <c r="AV104" s="353">
        <f t="shared" si="17"/>
        <v>7752.0118155986402</v>
      </c>
      <c r="AW104" s="353">
        <f t="shared" si="18"/>
        <v>6322.6555173621537</v>
      </c>
      <c r="AX104" s="353">
        <f t="shared" si="19"/>
        <v>1429.3562982364865</v>
      </c>
      <c r="AY104" s="390">
        <v>86920</v>
      </c>
      <c r="AZ104" s="390">
        <v>86920</v>
      </c>
      <c r="BA104" s="401">
        <f t="shared" si="20"/>
        <v>573.615184</v>
      </c>
      <c r="BB104" s="401">
        <v>-1055</v>
      </c>
      <c r="BC104" s="401">
        <v>0</v>
      </c>
      <c r="BD104" s="401">
        <v>30</v>
      </c>
      <c r="BE104" s="401">
        <v>-401</v>
      </c>
      <c r="BG104" s="426">
        <f t="shared" si="21"/>
        <v>0.40270115181046068</v>
      </c>
      <c r="BH104" s="426">
        <f t="shared" si="22"/>
        <v>3.7055211220487855E-2</v>
      </c>
      <c r="BI104" s="426">
        <f t="shared" si="23"/>
        <v>3.8068347248234255E-2</v>
      </c>
      <c r="BJ104" s="426">
        <f t="shared" si="24"/>
        <v>0.51241953847576227</v>
      </c>
      <c r="BK104" s="426">
        <f t="shared" si="25"/>
        <v>9.7557512450549694E-3</v>
      </c>
      <c r="BL104" s="425">
        <f t="shared" si="26"/>
        <v>15068034.875787951</v>
      </c>
      <c r="BN104" s="423">
        <f t="shared" si="27"/>
        <v>0.51507678077572117</v>
      </c>
      <c r="BO104" s="423">
        <f t="shared" si="28"/>
        <v>6.9819510869588597E-2</v>
      </c>
      <c r="BP104" s="423">
        <f t="shared" si="29"/>
        <v>0.11075020855591378</v>
      </c>
      <c r="BQ104" s="423">
        <f t="shared" si="30"/>
        <v>0.25918962945298102</v>
      </c>
      <c r="BR104" s="423">
        <f t="shared" si="31"/>
        <v>2.8381885821417385E-2</v>
      </c>
      <c r="BS104" s="423">
        <f t="shared" si="32"/>
        <v>1.6781984524377996E-2</v>
      </c>
      <c r="BT104" s="425">
        <f t="shared" si="33"/>
        <v>5179359.8538498683</v>
      </c>
    </row>
    <row r="105" spans="1:72" x14ac:dyDescent="0.2">
      <c r="A105" s="309">
        <v>240</v>
      </c>
      <c r="B105" s="278" t="s">
        <v>58</v>
      </c>
      <c r="C105" s="278">
        <v>19</v>
      </c>
      <c r="D105" s="279">
        <v>21758</v>
      </c>
      <c r="E105" s="364">
        <v>132009000</v>
      </c>
      <c r="F105" s="279">
        <v>74736369</v>
      </c>
      <c r="G105" s="278">
        <v>6922513.8999999994</v>
      </c>
      <c r="H105" s="279">
        <v>6759880.0533999987</v>
      </c>
      <c r="I105" s="279">
        <v>45104655.104918346</v>
      </c>
      <c r="J105" s="279">
        <v>1309770</v>
      </c>
      <c r="K105" s="279">
        <v>-1692000</v>
      </c>
      <c r="L105" s="280">
        <v>-43733.579999999994</v>
      </c>
      <c r="M105" s="369">
        <v>1175921.6383183468</v>
      </c>
      <c r="N105" s="370">
        <v>54.045483882633825</v>
      </c>
      <c r="P105" s="365">
        <v>48477406.997106716</v>
      </c>
      <c r="Q105" s="283">
        <v>33056807</v>
      </c>
      <c r="R105" s="279">
        <v>6759880.0533999987</v>
      </c>
      <c r="S105" s="279">
        <v>4483434.3485497683</v>
      </c>
      <c r="T105" s="280">
        <v>7956699.2294971952</v>
      </c>
      <c r="U105" s="280">
        <v>-1274487.1219859177</v>
      </c>
      <c r="V105" s="279">
        <v>1309770</v>
      </c>
      <c r="W105" s="279">
        <v>-1692000</v>
      </c>
      <c r="X105" s="279">
        <v>278069.21884258051</v>
      </c>
      <c r="Y105" s="354">
        <v>2400765.7311969027</v>
      </c>
      <c r="Z105" s="355">
        <v>110.33944899333132</v>
      </c>
      <c r="AB105" s="366">
        <v>1224844.0928785559</v>
      </c>
      <c r="AC105" s="349">
        <v>56.293965110697485</v>
      </c>
      <c r="AE105" s="374">
        <v>-51.849703049520159</v>
      </c>
      <c r="AF105" s="350">
        <v>-31.293965110697492</v>
      </c>
      <c r="AG105" s="350">
        <v>-6.2939651106974921</v>
      </c>
      <c r="AH105" s="350">
        <v>0</v>
      </c>
      <c r="AI105" s="350">
        <v>0</v>
      </c>
      <c r="AJ105" s="408">
        <v>-4200</v>
      </c>
      <c r="AK105" s="387">
        <v>-127809</v>
      </c>
      <c r="AL105" s="287">
        <v>-120</v>
      </c>
      <c r="AM105" s="287">
        <v>-4080</v>
      </c>
      <c r="AN105" s="287">
        <v>-44397</v>
      </c>
      <c r="AO105" s="287">
        <v>-83412</v>
      </c>
      <c r="AP105" s="287">
        <v>74736</v>
      </c>
      <c r="AQ105" s="287">
        <v>41679</v>
      </c>
      <c r="AR105" s="287">
        <v>33057</v>
      </c>
      <c r="AS105" s="287">
        <v>6923</v>
      </c>
      <c r="AT105" s="287">
        <v>2440</v>
      </c>
      <c r="AU105" s="287">
        <v>4483</v>
      </c>
      <c r="AV105" s="353">
        <f t="shared" si="17"/>
        <v>46370.691524918351</v>
      </c>
      <c r="AW105" s="353">
        <f t="shared" si="18"/>
        <v>39506.855256358533</v>
      </c>
      <c r="AX105" s="353">
        <f t="shared" si="19"/>
        <v>6863.8362685598177</v>
      </c>
      <c r="AY105" s="390">
        <v>1128146</v>
      </c>
      <c r="AZ105" s="390">
        <v>-1128146</v>
      </c>
      <c r="BA105" s="401">
        <f t="shared" si="20"/>
        <v>6759.8800533999993</v>
      </c>
      <c r="BB105" s="401">
        <v>-6488</v>
      </c>
      <c r="BC105" s="401">
        <v>248</v>
      </c>
      <c r="BD105" s="401">
        <v>1350</v>
      </c>
      <c r="BE105" s="401">
        <v>-829</v>
      </c>
      <c r="BG105" s="426">
        <f t="shared" si="21"/>
        <v>0.56133169674934902</v>
      </c>
      <c r="BH105" s="426">
        <f t="shared" si="22"/>
        <v>5.1993781946483818E-2</v>
      </c>
      <c r="BI105" s="426">
        <f t="shared" si="23"/>
        <v>5.077226778567609E-2</v>
      </c>
      <c r="BJ105" s="426">
        <f t="shared" si="24"/>
        <v>0.34861056733689316</v>
      </c>
      <c r="BK105" s="426">
        <f t="shared" si="25"/>
        <v>-1.2708313818402102E-2</v>
      </c>
      <c r="BL105" s="425">
        <f t="shared" si="26"/>
        <v>133141188.05831835</v>
      </c>
      <c r="BN105" s="423">
        <f t="shared" si="27"/>
        <v>0.6681928218843316</v>
      </c>
      <c r="BO105" s="423">
        <f t="shared" si="28"/>
        <v>9.0625771844528413E-2</v>
      </c>
      <c r="BP105" s="423">
        <f t="shared" si="29"/>
        <v>0.13664064192530609</v>
      </c>
      <c r="BQ105" s="423">
        <f t="shared" si="30"/>
        <v>0.16154570152123429</v>
      </c>
      <c r="BR105" s="423">
        <f t="shared" si="31"/>
        <v>-3.4201193558358163E-2</v>
      </c>
      <c r="BS105" s="423">
        <f t="shared" si="32"/>
        <v>-2.2803743617042099E-2</v>
      </c>
      <c r="BT105" s="425">
        <f t="shared" si="33"/>
        <v>49471957.670509577</v>
      </c>
    </row>
    <row r="106" spans="1:72" x14ac:dyDescent="0.2">
      <c r="A106" s="309">
        <v>320</v>
      </c>
      <c r="B106" s="278" t="s">
        <v>85</v>
      </c>
      <c r="C106" s="278">
        <v>19</v>
      </c>
      <c r="D106" s="279">
        <v>7766</v>
      </c>
      <c r="E106" s="364">
        <v>55077000</v>
      </c>
      <c r="F106" s="279">
        <v>24276703</v>
      </c>
      <c r="G106" s="278">
        <v>1087113.8900000001</v>
      </c>
      <c r="H106" s="279">
        <v>4414902.949</v>
      </c>
      <c r="I106" s="279">
        <v>25880017.100258786</v>
      </c>
      <c r="J106" s="279">
        <v>-24182</v>
      </c>
      <c r="K106" s="279">
        <v>634000</v>
      </c>
      <c r="L106" s="280">
        <v>426918.51728090667</v>
      </c>
      <c r="M106" s="369">
        <v>764636.42197787738</v>
      </c>
      <c r="N106" s="370">
        <v>98.459492914998378</v>
      </c>
      <c r="P106" s="365">
        <v>18238220.198242985</v>
      </c>
      <c r="Q106" s="283">
        <v>10803107</v>
      </c>
      <c r="R106" s="279">
        <v>4414902.949</v>
      </c>
      <c r="S106" s="279">
        <v>704080.02434080432</v>
      </c>
      <c r="T106" s="280">
        <v>3926914.0843761428</v>
      </c>
      <c r="U106" s="280">
        <v>-1527565.7498098342</v>
      </c>
      <c r="V106" s="279">
        <v>-24182</v>
      </c>
      <c r="W106" s="279">
        <v>634000</v>
      </c>
      <c r="X106" s="279">
        <v>96181.391404567767</v>
      </c>
      <c r="Y106" s="354">
        <v>789217.50106869638</v>
      </c>
      <c r="Z106" s="355">
        <v>101.62471041317234</v>
      </c>
      <c r="AB106" s="366">
        <v>24581.079090818996</v>
      </c>
      <c r="AC106" s="349">
        <v>3.1652174981739627</v>
      </c>
      <c r="AE106" s="374">
        <v>1.2790445630033673</v>
      </c>
      <c r="AF106" s="350">
        <v>0</v>
      </c>
      <c r="AG106" s="350">
        <v>0</v>
      </c>
      <c r="AH106" s="350">
        <v>0</v>
      </c>
      <c r="AI106" s="350">
        <v>0</v>
      </c>
      <c r="AJ106" s="408">
        <v>-2184</v>
      </c>
      <c r="AK106" s="387">
        <v>-52893</v>
      </c>
      <c r="AL106" s="287">
        <v>-75</v>
      </c>
      <c r="AM106" s="287">
        <v>-2109</v>
      </c>
      <c r="AN106" s="287">
        <v>-16129</v>
      </c>
      <c r="AO106" s="287">
        <v>-36764</v>
      </c>
      <c r="AP106" s="287">
        <v>24277</v>
      </c>
      <c r="AQ106" s="287">
        <v>13474</v>
      </c>
      <c r="AR106" s="287">
        <v>10803</v>
      </c>
      <c r="AS106" s="287">
        <v>1087</v>
      </c>
      <c r="AT106" s="287">
        <v>383</v>
      </c>
      <c r="AU106" s="287">
        <v>704</v>
      </c>
      <c r="AV106" s="353">
        <f t="shared" si="17"/>
        <v>26282.753617539693</v>
      </c>
      <c r="AW106" s="353">
        <f t="shared" si="18"/>
        <v>23897.654222897101</v>
      </c>
      <c r="AX106" s="353">
        <f t="shared" si="19"/>
        <v>2385.0993946425929</v>
      </c>
      <c r="AY106" s="390">
        <v>9933</v>
      </c>
      <c r="AZ106" s="390">
        <v>9933</v>
      </c>
      <c r="BA106" s="401">
        <f t="shared" si="20"/>
        <v>4414.9029490000003</v>
      </c>
      <c r="BB106" s="401">
        <v>-2935</v>
      </c>
      <c r="BC106" s="401">
        <v>170</v>
      </c>
      <c r="BD106" s="401">
        <v>0</v>
      </c>
      <c r="BE106" s="401">
        <v>-581</v>
      </c>
      <c r="BG106" s="426">
        <f t="shared" si="21"/>
        <v>0.43144351274359904</v>
      </c>
      <c r="BH106" s="426">
        <f t="shared" si="22"/>
        <v>1.9320096120711228E-2</v>
      </c>
      <c r="BI106" s="426">
        <f t="shared" si="23"/>
        <v>7.8461281860993826E-2</v>
      </c>
      <c r="BJ106" s="426">
        <f t="shared" si="24"/>
        <v>0.45950771488924574</v>
      </c>
      <c r="BK106" s="426">
        <f t="shared" si="25"/>
        <v>1.1267394385450191E-2</v>
      </c>
      <c r="BL106" s="425">
        <f t="shared" si="26"/>
        <v>56268554.939258784</v>
      </c>
      <c r="BN106" s="423">
        <f t="shared" si="27"/>
        <v>0.57034998120343328</v>
      </c>
      <c r="BO106" s="423">
        <f t="shared" si="28"/>
        <v>3.7171901439881187E-2</v>
      </c>
      <c r="BP106" s="423">
        <f t="shared" si="29"/>
        <v>0.23308477958953217</v>
      </c>
      <c r="BQ106" s="423">
        <f t="shared" si="30"/>
        <v>0.12539689501130755</v>
      </c>
      <c r="BR106" s="423">
        <f t="shared" si="31"/>
        <v>3.3472026897722724E-2</v>
      </c>
      <c r="BS106" s="423">
        <f t="shared" si="32"/>
        <v>5.244158581231528E-4</v>
      </c>
      <c r="BT106" s="425">
        <f t="shared" si="33"/>
        <v>18941189.367983397</v>
      </c>
    </row>
    <row r="107" spans="1:72" x14ac:dyDescent="0.2">
      <c r="A107" s="309">
        <v>241</v>
      </c>
      <c r="B107" s="278" t="s">
        <v>59</v>
      </c>
      <c r="C107" s="278">
        <v>19</v>
      </c>
      <c r="D107" s="279">
        <v>8388</v>
      </c>
      <c r="E107" s="364">
        <v>47736000</v>
      </c>
      <c r="F107" s="279">
        <v>30750529</v>
      </c>
      <c r="G107" s="278">
        <v>782670.64</v>
      </c>
      <c r="H107" s="279">
        <v>3858879.2568999995</v>
      </c>
      <c r="I107" s="279">
        <v>13409430.477169495</v>
      </c>
      <c r="J107" s="279">
        <v>-718511</v>
      </c>
      <c r="K107" s="279">
        <v>100000</v>
      </c>
      <c r="L107" s="280">
        <v>-16859.879999999997</v>
      </c>
      <c r="M107" s="369">
        <v>463858.25406949699</v>
      </c>
      <c r="N107" s="370">
        <v>55.300221038328203</v>
      </c>
      <c r="P107" s="365">
        <v>22298616.503764663</v>
      </c>
      <c r="Q107" s="283">
        <v>13515612</v>
      </c>
      <c r="R107" s="279">
        <v>3858879.2568999995</v>
      </c>
      <c r="S107" s="279">
        <v>506904.35319709952</v>
      </c>
      <c r="T107" s="280">
        <v>5415014.9687587461</v>
      </c>
      <c r="U107" s="280">
        <v>76972.428545103234</v>
      </c>
      <c r="V107" s="279">
        <v>-718511</v>
      </c>
      <c r="W107" s="279">
        <v>100000</v>
      </c>
      <c r="X107" s="279">
        <v>107355.77300081153</v>
      </c>
      <c r="Y107" s="354">
        <v>563611.27663709223</v>
      </c>
      <c r="Z107" s="355">
        <v>67.192569937660025</v>
      </c>
      <c r="AB107" s="366">
        <v>99753.022567595239</v>
      </c>
      <c r="AC107" s="349">
        <v>11.892348899331813</v>
      </c>
      <c r="AE107" s="374">
        <v>-7.448086838154488</v>
      </c>
      <c r="AF107" s="350">
        <v>0</v>
      </c>
      <c r="AG107" s="350">
        <v>0</v>
      </c>
      <c r="AH107" s="350">
        <v>0</v>
      </c>
      <c r="AI107" s="350">
        <v>0</v>
      </c>
      <c r="AJ107" s="408">
        <v>-1947</v>
      </c>
      <c r="AK107" s="387">
        <v>-45789</v>
      </c>
      <c r="AL107" s="287">
        <v>-514</v>
      </c>
      <c r="AM107" s="287">
        <v>-1433</v>
      </c>
      <c r="AN107" s="287">
        <v>-20866</v>
      </c>
      <c r="AO107" s="287">
        <v>-24923</v>
      </c>
      <c r="AP107" s="287">
        <v>30751</v>
      </c>
      <c r="AQ107" s="287">
        <v>17235</v>
      </c>
      <c r="AR107" s="287">
        <v>13516</v>
      </c>
      <c r="AS107" s="287">
        <v>783</v>
      </c>
      <c r="AT107" s="287">
        <v>276</v>
      </c>
      <c r="AU107" s="287">
        <v>507</v>
      </c>
      <c r="AV107" s="353">
        <f t="shared" si="17"/>
        <v>12674.059597169495</v>
      </c>
      <c r="AW107" s="353">
        <f t="shared" si="18"/>
        <v>7963.0577522640842</v>
      </c>
      <c r="AX107" s="353">
        <f t="shared" si="19"/>
        <v>4711.0018449054105</v>
      </c>
      <c r="AY107" s="390">
        <v>62475</v>
      </c>
      <c r="AZ107" s="390">
        <v>-62475</v>
      </c>
      <c r="BA107" s="401">
        <f t="shared" si="20"/>
        <v>3858.8792568999997</v>
      </c>
      <c r="BB107" s="401">
        <v>-1500</v>
      </c>
      <c r="BC107" s="401">
        <v>0</v>
      </c>
      <c r="BD107" s="401">
        <v>0</v>
      </c>
      <c r="BE107" s="401">
        <v>289</v>
      </c>
      <c r="BG107" s="426">
        <f t="shared" si="21"/>
        <v>0.63820289391846818</v>
      </c>
      <c r="BH107" s="426">
        <f t="shared" si="22"/>
        <v>1.6243709740181043E-2</v>
      </c>
      <c r="BI107" s="426">
        <f t="shared" si="23"/>
        <v>8.0087985121671493E-2</v>
      </c>
      <c r="BJ107" s="426">
        <f t="shared" si="24"/>
        <v>0.26338999035807886</v>
      </c>
      <c r="BK107" s="426">
        <f t="shared" si="25"/>
        <v>2.0754208616003589E-3</v>
      </c>
      <c r="BL107" s="425">
        <f t="shared" si="26"/>
        <v>48182998.374069497</v>
      </c>
      <c r="BN107" s="423">
        <f t="shared" si="27"/>
        <v>0.59560088469279404</v>
      </c>
      <c r="BO107" s="423">
        <f t="shared" si="28"/>
        <v>2.2338069576044429E-2</v>
      </c>
      <c r="BP107" s="423">
        <f t="shared" si="29"/>
        <v>0.17005163357251682</v>
      </c>
      <c r="BQ107" s="423">
        <f t="shared" si="30"/>
        <v>0.2103557549073134</v>
      </c>
      <c r="BR107" s="423">
        <f t="shared" si="31"/>
        <v>4.4067622294335917E-3</v>
      </c>
      <c r="BS107" s="423">
        <f t="shared" si="32"/>
        <v>-2.753104978102145E-3</v>
      </c>
      <c r="BT107" s="425">
        <f t="shared" si="33"/>
        <v>22692397.455002505</v>
      </c>
    </row>
    <row r="108" spans="1:72" x14ac:dyDescent="0.2">
      <c r="A108" s="309">
        <v>244</v>
      </c>
      <c r="B108" s="278" t="s">
        <v>60</v>
      </c>
      <c r="C108" s="278">
        <v>17</v>
      </c>
      <c r="D108" s="279">
        <v>17066</v>
      </c>
      <c r="E108" s="364">
        <v>86892000</v>
      </c>
      <c r="F108" s="279">
        <v>58478296</v>
      </c>
      <c r="G108" s="278">
        <v>2940480.0449999999</v>
      </c>
      <c r="H108" s="279">
        <v>3451036.6573000001</v>
      </c>
      <c r="I108" s="279">
        <v>24886621.338547572</v>
      </c>
      <c r="J108" s="279">
        <v>-923081</v>
      </c>
      <c r="K108" s="279">
        <v>-684000</v>
      </c>
      <c r="L108" s="280">
        <v>-34302.659999999996</v>
      </c>
      <c r="M108" s="369">
        <v>1291655.7008475696</v>
      </c>
      <c r="N108" s="370">
        <v>75.685907702306906</v>
      </c>
      <c r="P108" s="365">
        <v>44780600.789932549</v>
      </c>
      <c r="Q108" s="283">
        <v>24378579</v>
      </c>
      <c r="R108" s="279">
        <v>3451036.6573000001</v>
      </c>
      <c r="S108" s="279">
        <v>1904430.8795072511</v>
      </c>
      <c r="T108" s="280">
        <v>17739361.345401973</v>
      </c>
      <c r="U108" s="280">
        <v>296928.52584649372</v>
      </c>
      <c r="V108" s="279">
        <v>-923081</v>
      </c>
      <c r="W108" s="279">
        <v>-684000</v>
      </c>
      <c r="X108" s="279">
        <v>212109.77672243526</v>
      </c>
      <c r="Y108" s="354">
        <v>1594764.3948456123</v>
      </c>
      <c r="Z108" s="355">
        <v>93.446876529099512</v>
      </c>
      <c r="AB108" s="366">
        <v>303108.69399804273</v>
      </c>
      <c r="AC108" s="349">
        <v>17.760968826792613</v>
      </c>
      <c r="AE108" s="374">
        <v>-13.31670676561528</v>
      </c>
      <c r="AF108" s="350">
        <v>0</v>
      </c>
      <c r="AG108" s="350">
        <v>0</v>
      </c>
      <c r="AH108" s="350">
        <v>0</v>
      </c>
      <c r="AI108" s="350">
        <v>0</v>
      </c>
      <c r="AJ108" s="408">
        <v>-4730</v>
      </c>
      <c r="AK108" s="387">
        <v>-82162</v>
      </c>
      <c r="AL108" s="287">
        <v>-81</v>
      </c>
      <c r="AM108" s="287">
        <v>-4649</v>
      </c>
      <c r="AN108" s="287">
        <v>-40132</v>
      </c>
      <c r="AO108" s="287">
        <v>-42030</v>
      </c>
      <c r="AP108" s="287">
        <v>58478</v>
      </c>
      <c r="AQ108" s="287">
        <v>34099</v>
      </c>
      <c r="AR108" s="287">
        <v>24379</v>
      </c>
      <c r="AS108" s="287">
        <v>2940</v>
      </c>
      <c r="AT108" s="287">
        <v>1036</v>
      </c>
      <c r="AU108" s="287">
        <v>1904</v>
      </c>
      <c r="AV108" s="353">
        <f t="shared" si="17"/>
        <v>23929.237678547572</v>
      </c>
      <c r="AW108" s="353">
        <f t="shared" si="18"/>
        <v>7043.2917249610982</v>
      </c>
      <c r="AX108" s="353">
        <f t="shared" si="19"/>
        <v>16885.945953586473</v>
      </c>
      <c r="AY108" s="390">
        <v>227263</v>
      </c>
      <c r="AZ108" s="390">
        <v>-227263</v>
      </c>
      <c r="BA108" s="401">
        <f t="shared" si="20"/>
        <v>3451.0366573000001</v>
      </c>
      <c r="BB108" s="401">
        <v>-17639</v>
      </c>
      <c r="BC108" s="401">
        <v>100</v>
      </c>
      <c r="BD108" s="401">
        <v>2400</v>
      </c>
      <c r="BE108" s="401">
        <v>-11909</v>
      </c>
      <c r="BG108" s="426">
        <f t="shared" si="21"/>
        <v>0.66340017235182336</v>
      </c>
      <c r="BH108" s="426">
        <f t="shared" si="22"/>
        <v>3.3357931097207368E-2</v>
      </c>
      <c r="BI108" s="426">
        <f t="shared" si="23"/>
        <v>3.9149880722332955E-2</v>
      </c>
      <c r="BJ108" s="426">
        <f t="shared" si="24"/>
        <v>0.27185157362916884</v>
      </c>
      <c r="BK108" s="426">
        <f t="shared" si="25"/>
        <v>-7.7595578005324774E-3</v>
      </c>
      <c r="BL108" s="425">
        <f t="shared" si="26"/>
        <v>88149353.04084757</v>
      </c>
      <c r="BN108" s="423">
        <f t="shared" si="27"/>
        <v>0.53070757108596522</v>
      </c>
      <c r="BO108" s="423">
        <f t="shared" si="28"/>
        <v>4.1458359257297225E-2</v>
      </c>
      <c r="BP108" s="423">
        <f t="shared" si="29"/>
        <v>7.5127072916116713E-2</v>
      </c>
      <c r="BQ108" s="423">
        <f t="shared" si="30"/>
        <v>0.37254466363880628</v>
      </c>
      <c r="BR108" s="423">
        <f t="shared" si="31"/>
        <v>-1.4890284565921593E-2</v>
      </c>
      <c r="BS108" s="423">
        <f t="shared" si="32"/>
        <v>-4.9473823322641001E-3</v>
      </c>
      <c r="BT108" s="425">
        <f t="shared" si="33"/>
        <v>45935992.490393735</v>
      </c>
    </row>
    <row r="109" spans="1:72" x14ac:dyDescent="0.2">
      <c r="A109" s="309">
        <v>245</v>
      </c>
      <c r="B109" s="278" t="s">
        <v>261</v>
      </c>
      <c r="C109" s="278">
        <v>1</v>
      </c>
      <c r="D109" s="279">
        <v>35293</v>
      </c>
      <c r="E109" s="364">
        <v>172262000</v>
      </c>
      <c r="F109" s="279">
        <v>134313525</v>
      </c>
      <c r="G109" s="278">
        <v>9568009.7249999996</v>
      </c>
      <c r="H109" s="279">
        <v>9820145.3125999998</v>
      </c>
      <c r="I109" s="279">
        <v>24735338.795880623</v>
      </c>
      <c r="J109" s="279">
        <v>-3376370</v>
      </c>
      <c r="K109" s="279">
        <v>1235000</v>
      </c>
      <c r="L109" s="280">
        <v>-70938.929999999993</v>
      </c>
      <c r="M109" s="369">
        <v>4104587.7634805967</v>
      </c>
      <c r="N109" s="370">
        <v>116.30033614259476</v>
      </c>
      <c r="P109" s="365">
        <v>73519655.357664227</v>
      </c>
      <c r="Q109" s="283">
        <v>50103853</v>
      </c>
      <c r="R109" s="279">
        <v>9820145.3125999998</v>
      </c>
      <c r="S109" s="279">
        <v>6196815.7909113383</v>
      </c>
      <c r="T109" s="280">
        <v>12097286.036725791</v>
      </c>
      <c r="U109" s="280">
        <v>1251301.1565213271</v>
      </c>
      <c r="V109" s="279">
        <v>-3376370</v>
      </c>
      <c r="W109" s="279">
        <v>1235000</v>
      </c>
      <c r="X109" s="279">
        <v>472679.2724975844</v>
      </c>
      <c r="Y109" s="354">
        <v>4281055.21159181</v>
      </c>
      <c r="Z109" s="355">
        <v>121.30040550794237</v>
      </c>
      <c r="AB109" s="366">
        <v>176467.44811121328</v>
      </c>
      <c r="AC109" s="349">
        <v>5.0000693653476125</v>
      </c>
      <c r="AE109" s="374">
        <v>-0.5558073041702869</v>
      </c>
      <c r="AF109" s="350">
        <v>0</v>
      </c>
      <c r="AG109" s="350">
        <v>0</v>
      </c>
      <c r="AH109" s="350">
        <v>0</v>
      </c>
      <c r="AI109" s="350">
        <v>0</v>
      </c>
      <c r="AJ109" s="408">
        <v>-11700</v>
      </c>
      <c r="AK109" s="387">
        <v>-160562</v>
      </c>
      <c r="AL109" s="287">
        <v>-831</v>
      </c>
      <c r="AM109" s="287">
        <v>-10869</v>
      </c>
      <c r="AN109" s="287">
        <v>-62651</v>
      </c>
      <c r="AO109" s="287">
        <v>-97911</v>
      </c>
      <c r="AP109" s="287">
        <v>134314</v>
      </c>
      <c r="AQ109" s="287">
        <v>84210</v>
      </c>
      <c r="AR109" s="287">
        <v>50104</v>
      </c>
      <c r="AS109" s="287">
        <v>9568</v>
      </c>
      <c r="AT109" s="287">
        <v>3371</v>
      </c>
      <c r="AU109" s="287">
        <v>6197</v>
      </c>
      <c r="AV109" s="353">
        <f t="shared" si="17"/>
        <v>21288.029865880624</v>
      </c>
      <c r="AW109" s="353">
        <f t="shared" si="18"/>
        <v>11335.428779819587</v>
      </c>
      <c r="AX109" s="353">
        <f t="shared" si="19"/>
        <v>9952.6010860610368</v>
      </c>
      <c r="AY109" s="390">
        <v>19616</v>
      </c>
      <c r="AZ109" s="390">
        <v>-19616</v>
      </c>
      <c r="BA109" s="401">
        <f t="shared" si="20"/>
        <v>9820.1453125999997</v>
      </c>
      <c r="BB109" s="401">
        <v>-32463</v>
      </c>
      <c r="BC109" s="401">
        <v>0</v>
      </c>
      <c r="BD109" s="401">
        <v>4500</v>
      </c>
      <c r="BE109" s="401">
        <v>-16576</v>
      </c>
      <c r="BG109" s="426">
        <f t="shared" si="21"/>
        <v>0.76186522973613113</v>
      </c>
      <c r="BH109" s="426">
        <f t="shared" si="22"/>
        <v>5.4272523390735683E-2</v>
      </c>
      <c r="BI109" s="426">
        <f t="shared" si="23"/>
        <v>5.5702709497246761E-2</v>
      </c>
      <c r="BJ109" s="426">
        <f t="shared" si="24"/>
        <v>0.12115425954758054</v>
      </c>
      <c r="BK109" s="426">
        <f t="shared" si="25"/>
        <v>7.0052778283059879E-3</v>
      </c>
      <c r="BL109" s="425">
        <f t="shared" si="26"/>
        <v>176295648.8334806</v>
      </c>
      <c r="BN109" s="423">
        <f t="shared" si="27"/>
        <v>0.64810348106525639</v>
      </c>
      <c r="BO109" s="423">
        <f t="shared" si="28"/>
        <v>8.0157066675287186E-2</v>
      </c>
      <c r="BP109" s="423">
        <f t="shared" si="29"/>
        <v>0.12702556750800623</v>
      </c>
      <c r="BQ109" s="423">
        <f t="shared" si="30"/>
        <v>0.12899264806804894</v>
      </c>
      <c r="BR109" s="423">
        <f t="shared" si="31"/>
        <v>1.5974975000736802E-2</v>
      </c>
      <c r="BS109" s="423">
        <f t="shared" si="32"/>
        <v>-2.5373831733557285E-4</v>
      </c>
      <c r="BT109" s="425">
        <f t="shared" si="33"/>
        <v>77308415.189572379</v>
      </c>
    </row>
    <row r="110" spans="1:72" x14ac:dyDescent="0.2">
      <c r="A110" s="309">
        <v>249</v>
      </c>
      <c r="B110" s="278" t="s">
        <v>61</v>
      </c>
      <c r="C110" s="278">
        <v>13</v>
      </c>
      <c r="D110" s="279">
        <v>10117</v>
      </c>
      <c r="E110" s="364">
        <v>62974000</v>
      </c>
      <c r="F110" s="279">
        <v>29378005</v>
      </c>
      <c r="G110" s="278">
        <v>2129468.585</v>
      </c>
      <c r="H110" s="279">
        <v>2458695.1895999997</v>
      </c>
      <c r="I110" s="279">
        <v>28255362.37867086</v>
      </c>
      <c r="J110" s="279">
        <v>80979</v>
      </c>
      <c r="K110" s="279">
        <v>302000</v>
      </c>
      <c r="L110" s="280">
        <v>-20335.169999999998</v>
      </c>
      <c r="M110" s="369">
        <v>-349154.67672914447</v>
      </c>
      <c r="N110" s="370">
        <v>-34.511681005154145</v>
      </c>
      <c r="P110" s="365">
        <v>26322030.875</v>
      </c>
      <c r="Q110" s="283">
        <v>12632275</v>
      </c>
      <c r="R110" s="279">
        <v>2458695.1895999997</v>
      </c>
      <c r="S110" s="279">
        <v>1379171.3149390244</v>
      </c>
      <c r="T110" s="280">
        <v>5215428.3657259867</v>
      </c>
      <c r="U110" s="280">
        <v>1762871.9138689979</v>
      </c>
      <c r="V110" s="279">
        <v>80979</v>
      </c>
      <c r="W110" s="279">
        <v>302000</v>
      </c>
      <c r="X110" s="279">
        <v>124394.02063266734</v>
      </c>
      <c r="Y110" s="354">
        <v>-2366216.0702333264</v>
      </c>
      <c r="Z110" s="355">
        <v>-233.8851507594471</v>
      </c>
      <c r="AB110" s="366">
        <v>-2017061.3935041819</v>
      </c>
      <c r="AC110" s="349">
        <v>-199.37346975429296</v>
      </c>
      <c r="AE110" s="374">
        <v>203.81773181547103</v>
      </c>
      <c r="AF110" s="350">
        <v>174.37346975429369</v>
      </c>
      <c r="AG110" s="350">
        <v>149.37346975429369</v>
      </c>
      <c r="AH110" s="350">
        <v>124.37346975429369</v>
      </c>
      <c r="AI110" s="350">
        <v>99.373469754293694</v>
      </c>
      <c r="AJ110" s="408">
        <v>-4378</v>
      </c>
      <c r="AK110" s="387">
        <v>-58596</v>
      </c>
      <c r="AL110" s="287">
        <v>-60</v>
      </c>
      <c r="AM110" s="287">
        <v>-4318</v>
      </c>
      <c r="AN110" s="287">
        <v>-22004</v>
      </c>
      <c r="AO110" s="287">
        <v>-36592</v>
      </c>
      <c r="AP110" s="287">
        <v>29378</v>
      </c>
      <c r="AQ110" s="287">
        <v>16746</v>
      </c>
      <c r="AR110" s="287">
        <v>12632</v>
      </c>
      <c r="AS110" s="287">
        <v>2129</v>
      </c>
      <c r="AT110" s="287">
        <v>750</v>
      </c>
      <c r="AU110" s="287">
        <v>1379</v>
      </c>
      <c r="AV110" s="353">
        <f t="shared" si="17"/>
        <v>28316.00620867086</v>
      </c>
      <c r="AW110" s="353">
        <f t="shared" si="18"/>
        <v>19194.702936298752</v>
      </c>
      <c r="AX110" s="353">
        <f t="shared" si="19"/>
        <v>9121.3032723721062</v>
      </c>
      <c r="AY110" s="390">
        <v>2062024</v>
      </c>
      <c r="AZ110" s="390">
        <v>2062024</v>
      </c>
      <c r="BA110" s="401">
        <f t="shared" si="20"/>
        <v>2458.6951895999996</v>
      </c>
      <c r="BB110" s="401">
        <v>-7470</v>
      </c>
      <c r="BC110" s="401">
        <v>0</v>
      </c>
      <c r="BD110" s="401">
        <v>303</v>
      </c>
      <c r="BE110" s="401">
        <v>-4005</v>
      </c>
      <c r="BG110" s="426">
        <f t="shared" si="21"/>
        <v>0.46926339537000766</v>
      </c>
      <c r="BH110" s="426">
        <f t="shared" si="22"/>
        <v>3.4014619390624577E-2</v>
      </c>
      <c r="BI110" s="426">
        <f t="shared" si="23"/>
        <v>3.9273451442723921E-2</v>
      </c>
      <c r="BJ110" s="426">
        <f t="shared" si="24"/>
        <v>0.45262460019728135</v>
      </c>
      <c r="BK110" s="426">
        <f t="shared" si="25"/>
        <v>4.823933599362595E-3</v>
      </c>
      <c r="BL110" s="425">
        <f t="shared" si="26"/>
        <v>62604510.153270856</v>
      </c>
      <c r="BN110" s="423">
        <f t="shared" si="27"/>
        <v>0.4878561006013401</v>
      </c>
      <c r="BO110" s="423">
        <f t="shared" si="28"/>
        <v>5.3263338533033458E-2</v>
      </c>
      <c r="BP110" s="423">
        <f t="shared" si="29"/>
        <v>9.4954348901170091E-2</v>
      </c>
      <c r="BQ110" s="423">
        <f t="shared" si="30"/>
        <v>0.27262804699858473</v>
      </c>
      <c r="BR110" s="423">
        <f t="shared" si="31"/>
        <v>1.1663183581865081E-2</v>
      </c>
      <c r="BS110" s="423">
        <f t="shared" si="32"/>
        <v>7.9634981384006598E-2</v>
      </c>
      <c r="BT110" s="425">
        <f t="shared" si="33"/>
        <v>25893444.776911128</v>
      </c>
    </row>
    <row r="111" spans="1:72" x14ac:dyDescent="0.2">
      <c r="A111" s="309">
        <v>250</v>
      </c>
      <c r="B111" s="278" t="s">
        <v>62</v>
      </c>
      <c r="C111" s="278">
        <v>6</v>
      </c>
      <c r="D111" s="279">
        <v>2038</v>
      </c>
      <c r="E111" s="364">
        <v>13745000</v>
      </c>
      <c r="F111" s="279">
        <v>5075363</v>
      </c>
      <c r="G111" s="278">
        <v>589395.55999999994</v>
      </c>
      <c r="H111" s="279">
        <v>504703.98580000002</v>
      </c>
      <c r="I111" s="279">
        <v>7164680.7326069614</v>
      </c>
      <c r="J111" s="279">
        <v>-189353</v>
      </c>
      <c r="K111" s="279">
        <v>-71000</v>
      </c>
      <c r="L111" s="280">
        <v>-4096.3799999999992</v>
      </c>
      <c r="M111" s="369">
        <v>-667113.34159303911</v>
      </c>
      <c r="N111" s="370">
        <v>-327.33726280325766</v>
      </c>
      <c r="P111" s="365">
        <v>5110718.2765164431</v>
      </c>
      <c r="Q111" s="283">
        <v>2389000</v>
      </c>
      <c r="R111" s="279">
        <v>504703.98580000002</v>
      </c>
      <c r="S111" s="279">
        <v>381727.84291364532</v>
      </c>
      <c r="T111" s="280">
        <v>1589837.9407880693</v>
      </c>
      <c r="U111" s="280">
        <v>-82098.243386050468</v>
      </c>
      <c r="V111" s="279">
        <v>-189353</v>
      </c>
      <c r="W111" s="279">
        <v>-71000</v>
      </c>
      <c r="X111" s="279">
        <v>24321.427847755531</v>
      </c>
      <c r="Y111" s="354">
        <v>-563578.32255302463</v>
      </c>
      <c r="Z111" s="355">
        <v>-276.53499634593948</v>
      </c>
      <c r="AB111" s="366">
        <v>103535.01904001448</v>
      </c>
      <c r="AC111" s="349">
        <v>50.802266457318197</v>
      </c>
      <c r="AE111" s="374">
        <v>-46.358004396140871</v>
      </c>
      <c r="AF111" s="350">
        <v>-25.802266457318183</v>
      </c>
      <c r="AG111" s="350">
        <v>-0.8022664573181828</v>
      </c>
      <c r="AH111" s="350">
        <v>0</v>
      </c>
      <c r="AI111" s="350">
        <v>0</v>
      </c>
      <c r="AJ111" s="408">
        <v>-745</v>
      </c>
      <c r="AK111" s="387">
        <v>-13000</v>
      </c>
      <c r="AL111" s="287">
        <v>-86</v>
      </c>
      <c r="AM111" s="287">
        <v>-659</v>
      </c>
      <c r="AN111" s="287">
        <v>-4452</v>
      </c>
      <c r="AO111" s="287">
        <v>-8548</v>
      </c>
      <c r="AP111" s="287">
        <v>5075</v>
      </c>
      <c r="AQ111" s="287">
        <v>2686</v>
      </c>
      <c r="AR111" s="287">
        <v>2389</v>
      </c>
      <c r="AS111" s="287">
        <v>589</v>
      </c>
      <c r="AT111" s="287">
        <v>207</v>
      </c>
      <c r="AU111" s="287">
        <v>382</v>
      </c>
      <c r="AV111" s="353">
        <f t="shared" si="17"/>
        <v>6971.231352606962</v>
      </c>
      <c r="AW111" s="353">
        <f t="shared" si="18"/>
        <v>5747.3222681642783</v>
      </c>
      <c r="AX111" s="353">
        <f t="shared" si="19"/>
        <v>1223.9090844426837</v>
      </c>
      <c r="AY111" s="390">
        <v>94478</v>
      </c>
      <c r="AZ111" s="390">
        <v>-94478</v>
      </c>
      <c r="BA111" s="401">
        <f t="shared" si="20"/>
        <v>504.70398580000005</v>
      </c>
      <c r="BB111" s="401">
        <v>-1328</v>
      </c>
      <c r="BC111" s="401">
        <v>0</v>
      </c>
      <c r="BD111" s="401">
        <v>0</v>
      </c>
      <c r="BE111" s="401">
        <v>-1659</v>
      </c>
      <c r="BG111" s="426">
        <f t="shared" si="21"/>
        <v>0.38820899616101479</v>
      </c>
      <c r="BH111" s="426">
        <f t="shared" si="22"/>
        <v>4.5082225387496247E-2</v>
      </c>
      <c r="BI111" s="426">
        <f t="shared" si="23"/>
        <v>3.8604258983225642E-2</v>
      </c>
      <c r="BJ111" s="426">
        <f t="shared" si="24"/>
        <v>0.53353523225224198</v>
      </c>
      <c r="BK111" s="426">
        <f t="shared" si="25"/>
        <v>-5.4307127839786137E-3</v>
      </c>
      <c r="BL111" s="425">
        <f t="shared" si="26"/>
        <v>13073790.278406961</v>
      </c>
      <c r="BN111" s="423">
        <f t="shared" si="27"/>
        <v>0.53947969382899763</v>
      </c>
      <c r="BO111" s="423">
        <f t="shared" si="28"/>
        <v>8.6201096618274201E-2</v>
      </c>
      <c r="BP111" s="423">
        <f t="shared" si="29"/>
        <v>0.11397134856997018</v>
      </c>
      <c r="BQ111" s="423">
        <f t="shared" si="30"/>
        <v>0.29771571865327101</v>
      </c>
      <c r="BR111" s="423">
        <f t="shared" si="31"/>
        <v>-1.6033092616935467E-2</v>
      </c>
      <c r="BS111" s="423">
        <f t="shared" si="32"/>
        <v>-2.1334765053577495E-2</v>
      </c>
      <c r="BT111" s="425">
        <f t="shared" si="33"/>
        <v>4428340.9131563287</v>
      </c>
    </row>
    <row r="112" spans="1:72" x14ac:dyDescent="0.2">
      <c r="A112" s="309">
        <v>322</v>
      </c>
      <c r="B112" s="278" t="s">
        <v>260</v>
      </c>
      <c r="C112" s="278">
        <v>2</v>
      </c>
      <c r="D112" s="279">
        <v>6909</v>
      </c>
      <c r="E112" s="364">
        <v>46083000</v>
      </c>
      <c r="F112" s="279">
        <v>19059696</v>
      </c>
      <c r="G112" s="278">
        <v>870691.42</v>
      </c>
      <c r="H112" s="279">
        <v>3230549.4071</v>
      </c>
      <c r="I112" s="279">
        <v>22725271.456380919</v>
      </c>
      <c r="J112" s="279">
        <v>-584472</v>
      </c>
      <c r="K112" s="279">
        <v>-183000</v>
      </c>
      <c r="L112" s="280">
        <v>764720.55694657913</v>
      </c>
      <c r="M112" s="369">
        <v>-1728984.2734656592</v>
      </c>
      <c r="N112" s="370">
        <v>-250.25101656761603</v>
      </c>
      <c r="P112" s="365">
        <v>18108884.84217687</v>
      </c>
      <c r="Q112" s="283">
        <v>7756726</v>
      </c>
      <c r="R112" s="279">
        <v>3230549.4071</v>
      </c>
      <c r="S112" s="279">
        <v>563911.87880685576</v>
      </c>
      <c r="T112" s="280">
        <v>7287421.6709792428</v>
      </c>
      <c r="U112" s="280">
        <v>-1268400.3262002317</v>
      </c>
      <c r="V112" s="279">
        <v>-584472</v>
      </c>
      <c r="W112" s="279">
        <v>-183000</v>
      </c>
      <c r="X112" s="279">
        <v>83223.54857404498</v>
      </c>
      <c r="Y112" s="354">
        <v>-1222924.6629169583</v>
      </c>
      <c r="Z112" s="355">
        <v>-177.00458285091307</v>
      </c>
      <c r="AB112" s="366">
        <v>506059.6105487009</v>
      </c>
      <c r="AC112" s="349">
        <v>73.246433716702981</v>
      </c>
      <c r="AE112" s="374">
        <v>-68.802171655525626</v>
      </c>
      <c r="AF112" s="350">
        <v>-48.246433716702967</v>
      </c>
      <c r="AG112" s="350">
        <v>-23.246433716702967</v>
      </c>
      <c r="AH112" s="350">
        <v>0</v>
      </c>
      <c r="AI112" s="350">
        <v>0</v>
      </c>
      <c r="AJ112" s="408">
        <v>-3545</v>
      </c>
      <c r="AK112" s="387">
        <v>-42538</v>
      </c>
      <c r="AL112" s="287">
        <v>-299</v>
      </c>
      <c r="AM112" s="287">
        <v>-3246</v>
      </c>
      <c r="AN112" s="287">
        <v>-14863</v>
      </c>
      <c r="AO112" s="287">
        <v>-27675</v>
      </c>
      <c r="AP112" s="287">
        <v>19060</v>
      </c>
      <c r="AQ112" s="287">
        <v>11303</v>
      </c>
      <c r="AR112" s="287">
        <v>7757</v>
      </c>
      <c r="AS112" s="287">
        <v>871</v>
      </c>
      <c r="AT112" s="287">
        <v>307</v>
      </c>
      <c r="AU112" s="287">
        <v>564</v>
      </c>
      <c r="AV112" s="353">
        <f t="shared" si="17"/>
        <v>22905.520013327499</v>
      </c>
      <c r="AW112" s="353">
        <f t="shared" si="18"/>
        <v>17946.324872516514</v>
      </c>
      <c r="AX112" s="353">
        <f t="shared" si="19"/>
        <v>4959.1951408109844</v>
      </c>
      <c r="AY112" s="390">
        <v>475354</v>
      </c>
      <c r="AZ112" s="390">
        <v>-475354</v>
      </c>
      <c r="BA112" s="401">
        <f t="shared" si="20"/>
        <v>3230.5494070999998</v>
      </c>
      <c r="BB112" s="401">
        <v>-7161</v>
      </c>
      <c r="BC112" s="401">
        <v>115</v>
      </c>
      <c r="BD112" s="401">
        <v>209</v>
      </c>
      <c r="BE112" s="401">
        <v>-5726</v>
      </c>
      <c r="BG112" s="426">
        <f t="shared" si="21"/>
        <v>0.42243417192024113</v>
      </c>
      <c r="BH112" s="426">
        <f t="shared" si="22"/>
        <v>1.9297779408746021E-2</v>
      </c>
      <c r="BI112" s="426">
        <f t="shared" si="23"/>
        <v>7.1601061403902475E-2</v>
      </c>
      <c r="BJ112" s="426">
        <f t="shared" si="24"/>
        <v>0.49072295192999921</v>
      </c>
      <c r="BK112" s="426">
        <f t="shared" si="25"/>
        <v>-4.0559646628888588E-3</v>
      </c>
      <c r="BL112" s="425">
        <f t="shared" si="26"/>
        <v>45118736.28348092</v>
      </c>
      <c r="BN112" s="423">
        <f t="shared" si="27"/>
        <v>0.47507468112629192</v>
      </c>
      <c r="BO112" s="423">
        <f t="shared" si="28"/>
        <v>3.453780061426627E-2</v>
      </c>
      <c r="BP112" s="423">
        <f t="shared" si="29"/>
        <v>0.19786082806596028</v>
      </c>
      <c r="BQ112" s="423">
        <f t="shared" si="30"/>
        <v>0.33284878143639302</v>
      </c>
      <c r="BR112" s="423">
        <f t="shared" si="31"/>
        <v>-1.1208165229261859E-2</v>
      </c>
      <c r="BS112" s="423">
        <f t="shared" si="32"/>
        <v>-2.9113926013649642E-2</v>
      </c>
      <c r="BT112" s="425">
        <f t="shared" si="33"/>
        <v>16327382.42671784</v>
      </c>
    </row>
    <row r="113" spans="1:72" x14ac:dyDescent="0.2">
      <c r="A113" s="309">
        <v>256</v>
      </c>
      <c r="B113" s="278" t="s">
        <v>63</v>
      </c>
      <c r="C113" s="278">
        <v>13</v>
      </c>
      <c r="D113" s="279">
        <v>1745</v>
      </c>
      <c r="E113" s="364">
        <v>12099000</v>
      </c>
      <c r="F113" s="279">
        <v>3911148</v>
      </c>
      <c r="G113" s="278">
        <v>474764.38</v>
      </c>
      <c r="H113" s="279">
        <v>367212.57550000004</v>
      </c>
      <c r="I113" s="279">
        <v>6948578.8618050283</v>
      </c>
      <c r="J113" s="279">
        <v>182758</v>
      </c>
      <c r="K113" s="279">
        <v>105000</v>
      </c>
      <c r="L113" s="280">
        <v>331456.32913651143</v>
      </c>
      <c r="M113" s="369">
        <v>-440994.51183148299</v>
      </c>
      <c r="N113" s="370">
        <v>-252.71891795500457</v>
      </c>
      <c r="P113" s="365">
        <v>5195332.5903586801</v>
      </c>
      <c r="Q113" s="283">
        <v>1706057</v>
      </c>
      <c r="R113" s="279">
        <v>367212.57550000004</v>
      </c>
      <c r="S113" s="279">
        <v>307485.82949901122</v>
      </c>
      <c r="T113" s="280">
        <v>2049341.1116943441</v>
      </c>
      <c r="U113" s="280">
        <v>40631.116889309174</v>
      </c>
      <c r="V113" s="279">
        <v>182758</v>
      </c>
      <c r="W113" s="279">
        <v>105000</v>
      </c>
      <c r="X113" s="279">
        <v>20315.524330285487</v>
      </c>
      <c r="Y113" s="354">
        <v>-416531.43244573008</v>
      </c>
      <c r="Z113" s="355">
        <v>-238.69996128695135</v>
      </c>
      <c r="AB113" s="366">
        <v>24463.079385752906</v>
      </c>
      <c r="AC113" s="349">
        <v>14.01895666805324</v>
      </c>
      <c r="AE113" s="374">
        <v>-9.5746946068758803</v>
      </c>
      <c r="AF113" s="350">
        <v>0</v>
      </c>
      <c r="AG113" s="350">
        <v>0</v>
      </c>
      <c r="AH113" s="350">
        <v>0</v>
      </c>
      <c r="AI113" s="350">
        <v>0</v>
      </c>
      <c r="AJ113" s="408">
        <v>-777</v>
      </c>
      <c r="AK113" s="387">
        <v>-11322</v>
      </c>
      <c r="AL113" s="287">
        <v>-21</v>
      </c>
      <c r="AM113" s="287">
        <v>-756</v>
      </c>
      <c r="AN113" s="287">
        <v>-4439</v>
      </c>
      <c r="AO113" s="287">
        <v>-6883</v>
      </c>
      <c r="AP113" s="287">
        <v>3911</v>
      </c>
      <c r="AQ113" s="287">
        <v>2205</v>
      </c>
      <c r="AR113" s="287">
        <v>1706</v>
      </c>
      <c r="AS113" s="287">
        <v>475</v>
      </c>
      <c r="AT113" s="287">
        <v>168</v>
      </c>
      <c r="AU113" s="287">
        <v>307</v>
      </c>
      <c r="AV113" s="353">
        <f t="shared" si="17"/>
        <v>7462.7931909415402</v>
      </c>
      <c r="AW113" s="353">
        <f t="shared" si="18"/>
        <v>5206.7708044468854</v>
      </c>
      <c r="AX113" s="353">
        <f t="shared" si="19"/>
        <v>2256.0223864946552</v>
      </c>
      <c r="AY113" s="390">
        <v>16708</v>
      </c>
      <c r="AZ113" s="390">
        <v>-16708</v>
      </c>
      <c r="BA113" s="401">
        <f t="shared" si="20"/>
        <v>367.21257550000007</v>
      </c>
      <c r="BB113" s="401">
        <v>-435</v>
      </c>
      <c r="BC113" s="401">
        <v>0</v>
      </c>
      <c r="BD113" s="401">
        <v>75</v>
      </c>
      <c r="BE113" s="401">
        <v>61</v>
      </c>
      <c r="BG113" s="426">
        <f t="shared" si="21"/>
        <v>0.32621547652412819</v>
      </c>
      <c r="BH113" s="426">
        <f t="shared" si="22"/>
        <v>3.9598472995238811E-2</v>
      </c>
      <c r="BI113" s="426">
        <f t="shared" si="23"/>
        <v>3.0627944864879804E-2</v>
      </c>
      <c r="BJ113" s="426">
        <f t="shared" si="24"/>
        <v>0.59480041477024348</v>
      </c>
      <c r="BK113" s="426">
        <f t="shared" si="25"/>
        <v>8.7576908455096712E-3</v>
      </c>
      <c r="BL113" s="425">
        <f t="shared" si="26"/>
        <v>11989461.817305028</v>
      </c>
      <c r="BN113" s="423">
        <f t="shared" si="27"/>
        <v>0.35979269274501152</v>
      </c>
      <c r="BO113" s="423">
        <f t="shared" si="28"/>
        <v>6.4846106886453814E-2</v>
      </c>
      <c r="BP113" s="423">
        <f t="shared" si="29"/>
        <v>7.7441961991290942E-2</v>
      </c>
      <c r="BQ113" s="423">
        <f t="shared" si="30"/>
        <v>0.47929918450854703</v>
      </c>
      <c r="BR113" s="423">
        <f t="shared" si="31"/>
        <v>2.2143593524850701E-2</v>
      </c>
      <c r="BS113" s="423">
        <f t="shared" si="32"/>
        <v>-3.5235396561540304E-3</v>
      </c>
      <c r="BT113" s="425">
        <f t="shared" si="33"/>
        <v>4741777.7914936664</v>
      </c>
    </row>
    <row r="114" spans="1:72" x14ac:dyDescent="0.2">
      <c r="A114" s="309">
        <v>260</v>
      </c>
      <c r="B114" s="278" t="s">
        <v>64</v>
      </c>
      <c r="C114" s="278">
        <v>12</v>
      </c>
      <c r="D114" s="279">
        <v>10832</v>
      </c>
      <c r="E114" s="364">
        <v>67414000</v>
      </c>
      <c r="F114" s="279">
        <v>29145213</v>
      </c>
      <c r="G114" s="278">
        <v>2128998.3149999999</v>
      </c>
      <c r="H114" s="279">
        <v>2928693.8810000001</v>
      </c>
      <c r="I114" s="279">
        <v>38615065.753326431</v>
      </c>
      <c r="J114" s="279">
        <v>-590119</v>
      </c>
      <c r="K114" s="279">
        <v>247000</v>
      </c>
      <c r="L114" s="280">
        <v>-21772.319999999996</v>
      </c>
      <c r="M114" s="369">
        <v>5082624.2693264261</v>
      </c>
      <c r="N114" s="370">
        <v>469.22306770000239</v>
      </c>
      <c r="P114" s="365">
        <v>25909776.794520549</v>
      </c>
      <c r="Q114" s="283">
        <v>13484077</v>
      </c>
      <c r="R114" s="279">
        <v>2928693.8810000001</v>
      </c>
      <c r="S114" s="279">
        <v>1378866.7399390242</v>
      </c>
      <c r="T114" s="280">
        <v>6984465.5913148727</v>
      </c>
      <c r="U114" s="280">
        <v>3614376.6426866436</v>
      </c>
      <c r="V114" s="279">
        <v>-590119</v>
      </c>
      <c r="W114" s="279">
        <v>247000</v>
      </c>
      <c r="X114" s="279">
        <v>130309.76360022192</v>
      </c>
      <c r="Y114" s="354">
        <v>2267893.8240202144</v>
      </c>
      <c r="Z114" s="355">
        <v>209.369813886652</v>
      </c>
      <c r="AB114" s="366">
        <v>-2814730.4453062117</v>
      </c>
      <c r="AC114" s="349">
        <v>-259.85325381335042</v>
      </c>
      <c r="AE114" s="374">
        <v>264.29751587452768</v>
      </c>
      <c r="AF114" s="350">
        <v>234.85325381335042</v>
      </c>
      <c r="AG114" s="350">
        <v>209.85325381335042</v>
      </c>
      <c r="AH114" s="350">
        <v>184.85325381335042</v>
      </c>
      <c r="AI114" s="350">
        <v>159.85325381335042</v>
      </c>
      <c r="AJ114" s="408">
        <v>-3176</v>
      </c>
      <c r="AK114" s="387">
        <v>-64238</v>
      </c>
      <c r="AL114" s="287">
        <v>0</v>
      </c>
      <c r="AM114" s="287">
        <v>-3176</v>
      </c>
      <c r="AN114" s="287">
        <v>-22734</v>
      </c>
      <c r="AO114" s="287">
        <v>-41504</v>
      </c>
      <c r="AP114" s="287">
        <v>29145</v>
      </c>
      <c r="AQ114" s="287">
        <v>15661</v>
      </c>
      <c r="AR114" s="287">
        <v>13484</v>
      </c>
      <c r="AS114" s="287">
        <v>2129</v>
      </c>
      <c r="AT114" s="287">
        <v>750</v>
      </c>
      <c r="AU114" s="287">
        <v>1379</v>
      </c>
      <c r="AV114" s="353">
        <f t="shared" si="17"/>
        <v>38003.174433326429</v>
      </c>
      <c r="AW114" s="353">
        <f t="shared" si="18"/>
        <v>25131.580507372026</v>
      </c>
      <c r="AX114" s="353">
        <f t="shared" si="19"/>
        <v>12871.593925954401</v>
      </c>
      <c r="AY114" s="390">
        <v>2862871</v>
      </c>
      <c r="AZ114" s="390">
        <v>2862871</v>
      </c>
      <c r="BA114" s="401">
        <f t="shared" si="20"/>
        <v>2928.6938810000001</v>
      </c>
      <c r="BB114" s="401">
        <v>-4514</v>
      </c>
      <c r="BC114" s="401">
        <v>1222</v>
      </c>
      <c r="BD114" s="401">
        <v>200</v>
      </c>
      <c r="BE114" s="401">
        <v>2868</v>
      </c>
      <c r="BG114" s="426">
        <f t="shared" si="21"/>
        <v>0.4021424289404274</v>
      </c>
      <c r="BH114" s="426">
        <f t="shared" si="22"/>
        <v>2.9375683533490637E-2</v>
      </c>
      <c r="BI114" s="426">
        <f t="shared" si="23"/>
        <v>4.0409794600859743E-2</v>
      </c>
      <c r="BJ114" s="426">
        <f t="shared" si="24"/>
        <v>0.52466401421437925</v>
      </c>
      <c r="BK114" s="426">
        <f t="shared" si="25"/>
        <v>3.4080787108430317E-3</v>
      </c>
      <c r="BL114" s="425">
        <f t="shared" si="26"/>
        <v>72474851.949326426</v>
      </c>
      <c r="BN114" s="423">
        <f t="shared" si="27"/>
        <v>0.43623345168228583</v>
      </c>
      <c r="BO114" s="423">
        <f t="shared" si="28"/>
        <v>4.4608748331346766E-2</v>
      </c>
      <c r="BP114" s="423">
        <f t="shared" si="29"/>
        <v>9.474836435815516E-2</v>
      </c>
      <c r="BQ114" s="423">
        <f t="shared" si="30"/>
        <v>0.32379968486542848</v>
      </c>
      <c r="BR114" s="423">
        <f t="shared" si="31"/>
        <v>7.9908815831832309E-3</v>
      </c>
      <c r="BS114" s="423">
        <f t="shared" si="32"/>
        <v>9.2618869179600535E-2</v>
      </c>
      <c r="BT114" s="425">
        <f t="shared" si="33"/>
        <v>30910231.546893425</v>
      </c>
    </row>
    <row r="115" spans="1:72" x14ac:dyDescent="0.2">
      <c r="A115" s="309">
        <v>261</v>
      </c>
      <c r="B115" s="278" t="s">
        <v>65</v>
      </c>
      <c r="C115" s="278">
        <v>19</v>
      </c>
      <c r="D115" s="279">
        <v>6416</v>
      </c>
      <c r="E115" s="364">
        <v>48304000</v>
      </c>
      <c r="F115" s="279">
        <v>18836831</v>
      </c>
      <c r="G115" s="278">
        <v>1594554.905</v>
      </c>
      <c r="H115" s="279">
        <v>6808638.2228999995</v>
      </c>
      <c r="I115" s="279">
        <v>20178607.808401585</v>
      </c>
      <c r="J115" s="279">
        <v>251739</v>
      </c>
      <c r="K115" s="279">
        <v>951000</v>
      </c>
      <c r="L115" s="280">
        <v>-491560.0370835847</v>
      </c>
      <c r="M115" s="369">
        <v>808930.97338517371</v>
      </c>
      <c r="N115" s="370">
        <v>126.08026393160438</v>
      </c>
      <c r="P115" s="365">
        <v>21786341.568470087</v>
      </c>
      <c r="Q115" s="283">
        <v>7995728</v>
      </c>
      <c r="R115" s="279">
        <v>6808638.2228999995</v>
      </c>
      <c r="S115" s="279">
        <v>1032729.1985250495</v>
      </c>
      <c r="T115" s="280">
        <v>9816613.4482456334</v>
      </c>
      <c r="U115" s="280">
        <v>-1804767.2974895651</v>
      </c>
      <c r="V115" s="279">
        <v>251739</v>
      </c>
      <c r="W115" s="279">
        <v>951000</v>
      </c>
      <c r="X115" s="279">
        <v>80623.993902834685</v>
      </c>
      <c r="Y115" s="354">
        <v>3345962.9976138659</v>
      </c>
      <c r="Z115" s="355">
        <v>521.50296097472972</v>
      </c>
      <c r="AB115" s="366">
        <v>2537032.0242286921</v>
      </c>
      <c r="AC115" s="349">
        <v>395.42269704312531</v>
      </c>
      <c r="AE115" s="374">
        <v>-390.978434981948</v>
      </c>
      <c r="AF115" s="350">
        <v>-370.42269704312537</v>
      </c>
      <c r="AG115" s="350">
        <v>-345.42269704312537</v>
      </c>
      <c r="AH115" s="350">
        <v>-320.42269704312537</v>
      </c>
      <c r="AI115" s="350">
        <v>-295.42269704312537</v>
      </c>
      <c r="AJ115" s="408">
        <v>-2523</v>
      </c>
      <c r="AK115" s="387">
        <v>-45781</v>
      </c>
      <c r="AL115" s="287">
        <v>-50</v>
      </c>
      <c r="AM115" s="287">
        <v>-2473</v>
      </c>
      <c r="AN115" s="287">
        <v>-19313</v>
      </c>
      <c r="AO115" s="287">
        <v>-26468</v>
      </c>
      <c r="AP115" s="287">
        <v>18837</v>
      </c>
      <c r="AQ115" s="287">
        <v>10841</v>
      </c>
      <c r="AR115" s="287">
        <v>7996</v>
      </c>
      <c r="AS115" s="287">
        <v>1595</v>
      </c>
      <c r="AT115" s="287">
        <v>562</v>
      </c>
      <c r="AU115" s="287">
        <v>1033</v>
      </c>
      <c r="AV115" s="353">
        <f t="shared" si="17"/>
        <v>19938.786771317999</v>
      </c>
      <c r="AW115" s="353">
        <f t="shared" si="18"/>
        <v>14183.719259406109</v>
      </c>
      <c r="AX115" s="353">
        <f t="shared" si="19"/>
        <v>5755.0675119118896</v>
      </c>
      <c r="AY115" s="390">
        <v>2508518</v>
      </c>
      <c r="AZ115" s="390">
        <v>-2508518</v>
      </c>
      <c r="BA115" s="401">
        <f t="shared" si="20"/>
        <v>6808.6382228999992</v>
      </c>
      <c r="BB115" s="401">
        <v>-3600</v>
      </c>
      <c r="BC115" s="401">
        <v>57</v>
      </c>
      <c r="BD115" s="401">
        <v>550</v>
      </c>
      <c r="BE115" s="401">
        <v>-903</v>
      </c>
      <c r="BG115" s="426">
        <f t="shared" si="21"/>
        <v>0.38741875511239615</v>
      </c>
      <c r="BH115" s="426">
        <f t="shared" si="22"/>
        <v>3.2795350568971239E-2</v>
      </c>
      <c r="BI115" s="426">
        <f t="shared" si="23"/>
        <v>0.14003385942819124</v>
      </c>
      <c r="BJ115" s="426">
        <f t="shared" si="24"/>
        <v>0.42019273449050198</v>
      </c>
      <c r="BK115" s="426">
        <f t="shared" si="25"/>
        <v>1.9559300399939285E-2</v>
      </c>
      <c r="BL115" s="425">
        <f t="shared" si="26"/>
        <v>48621370.936301589</v>
      </c>
      <c r="BN115" s="423">
        <f t="shared" si="27"/>
        <v>0.35468527746724832</v>
      </c>
      <c r="BO115" s="423">
        <f t="shared" si="28"/>
        <v>4.5811193468235305E-2</v>
      </c>
      <c r="BP115" s="423">
        <f t="shared" si="29"/>
        <v>0.30202674944212693</v>
      </c>
      <c r="BQ115" s="423">
        <f t="shared" si="30"/>
        <v>0.36656724591808892</v>
      </c>
      <c r="BR115" s="423">
        <f t="shared" si="31"/>
        <v>4.2185739543835553E-2</v>
      </c>
      <c r="BS115" s="423">
        <f t="shared" si="32"/>
        <v>-0.11127620583953507</v>
      </c>
      <c r="BT115" s="425">
        <f t="shared" si="33"/>
        <v>22543162.93333694</v>
      </c>
    </row>
    <row r="116" spans="1:72" x14ac:dyDescent="0.2">
      <c r="A116" s="309">
        <v>263</v>
      </c>
      <c r="B116" s="278" t="s">
        <v>66</v>
      </c>
      <c r="C116" s="278">
        <v>11</v>
      </c>
      <c r="D116" s="279">
        <v>8600</v>
      </c>
      <c r="E116" s="364">
        <v>55410000</v>
      </c>
      <c r="F116" s="279">
        <v>20753808</v>
      </c>
      <c r="G116" s="278">
        <v>1617076.405</v>
      </c>
      <c r="H116" s="279">
        <v>1760227.8114</v>
      </c>
      <c r="I116" s="279">
        <v>31835072.31853734</v>
      </c>
      <c r="J116" s="279">
        <v>-580799</v>
      </c>
      <c r="K116" s="279">
        <v>963000</v>
      </c>
      <c r="L116" s="280">
        <v>-17285.999999999996</v>
      </c>
      <c r="M116" s="369">
        <v>955671.53493733704</v>
      </c>
      <c r="N116" s="370">
        <v>111.12459708573687</v>
      </c>
      <c r="P116" s="365">
        <v>19867846.188208953</v>
      </c>
      <c r="Q116" s="283">
        <v>9256249</v>
      </c>
      <c r="R116" s="279">
        <v>1760227.8114</v>
      </c>
      <c r="S116" s="279">
        <v>1047315.4699489124</v>
      </c>
      <c r="T116" s="280">
        <v>7609056.1946355607</v>
      </c>
      <c r="U116" s="280">
        <v>526957.93056083482</v>
      </c>
      <c r="V116" s="279">
        <v>-580799</v>
      </c>
      <c r="W116" s="279">
        <v>963000</v>
      </c>
      <c r="X116" s="279">
        <v>102182.06406819866</v>
      </c>
      <c r="Y116" s="354">
        <v>816343.28240455315</v>
      </c>
      <c r="Z116" s="355">
        <v>94.923637488901534</v>
      </c>
      <c r="AB116" s="366">
        <v>-139328.2525327839</v>
      </c>
      <c r="AC116" s="349">
        <v>-16.200959596835336</v>
      </c>
      <c r="AE116" s="374">
        <v>20.645221658012659</v>
      </c>
      <c r="AF116" s="350">
        <v>0</v>
      </c>
      <c r="AG116" s="350">
        <v>0</v>
      </c>
      <c r="AH116" s="350">
        <v>0</v>
      </c>
      <c r="AI116" s="350">
        <v>0</v>
      </c>
      <c r="AJ116" s="408">
        <v>-3321</v>
      </c>
      <c r="AK116" s="387">
        <v>-52089</v>
      </c>
      <c r="AL116" s="287">
        <v>-4</v>
      </c>
      <c r="AM116" s="287">
        <v>-3317</v>
      </c>
      <c r="AN116" s="287">
        <v>-16551</v>
      </c>
      <c r="AO116" s="287">
        <v>-35538</v>
      </c>
      <c r="AP116" s="287">
        <v>20754</v>
      </c>
      <c r="AQ116" s="287">
        <v>11498</v>
      </c>
      <c r="AR116" s="287">
        <v>9256</v>
      </c>
      <c r="AS116" s="287">
        <v>1617</v>
      </c>
      <c r="AT116" s="287">
        <v>570</v>
      </c>
      <c r="AU116" s="287">
        <v>1047</v>
      </c>
      <c r="AV116" s="353">
        <f t="shared" si="17"/>
        <v>31236.98731853734</v>
      </c>
      <c r="AW116" s="353">
        <f t="shared" si="18"/>
        <v>23504.223287082037</v>
      </c>
      <c r="AX116" s="353">
        <f t="shared" si="19"/>
        <v>7732.7640314553046</v>
      </c>
      <c r="AY116" s="390">
        <v>177549</v>
      </c>
      <c r="AZ116" s="390">
        <v>177549</v>
      </c>
      <c r="BA116" s="401">
        <f t="shared" si="20"/>
        <v>1760.2278114000001</v>
      </c>
      <c r="BB116" s="401">
        <v>-4390</v>
      </c>
      <c r="BC116" s="401">
        <v>405</v>
      </c>
      <c r="BD116" s="401">
        <v>10</v>
      </c>
      <c r="BE116" s="401">
        <v>-675</v>
      </c>
      <c r="BG116" s="426">
        <f t="shared" si="21"/>
        <v>0.3683123802567892</v>
      </c>
      <c r="BH116" s="426">
        <f t="shared" si="22"/>
        <v>2.8697830286501719E-2</v>
      </c>
      <c r="BI116" s="426">
        <f t="shared" si="23"/>
        <v>3.1238300701776398E-2</v>
      </c>
      <c r="BJ116" s="426">
        <f t="shared" si="24"/>
        <v>0.55466138065586545</v>
      </c>
      <c r="BK116" s="426">
        <f t="shared" si="25"/>
        <v>1.7090108099067313E-2</v>
      </c>
      <c r="BL116" s="425">
        <f t="shared" si="26"/>
        <v>56348385.534937337</v>
      </c>
      <c r="BN116" s="423">
        <f t="shared" si="27"/>
        <v>0.44587894175227966</v>
      </c>
      <c r="BO116" s="423">
        <f t="shared" si="28"/>
        <v>5.0449800283204622E-2</v>
      </c>
      <c r="BP116" s="423">
        <f t="shared" si="29"/>
        <v>8.4791205788647572E-2</v>
      </c>
      <c r="BQ116" s="423">
        <f t="shared" si="30"/>
        <v>0.36393914259797744</v>
      </c>
      <c r="BR116" s="423">
        <f t="shared" si="31"/>
        <v>4.6388274657201349E-2</v>
      </c>
      <c r="BS116" s="423">
        <f t="shared" si="32"/>
        <v>8.552634920689469E-3</v>
      </c>
      <c r="BT116" s="425">
        <f t="shared" si="33"/>
        <v>20759556.312804215</v>
      </c>
    </row>
    <row r="117" spans="1:72" x14ac:dyDescent="0.2">
      <c r="A117" s="309">
        <v>265</v>
      </c>
      <c r="B117" s="278" t="s">
        <v>67</v>
      </c>
      <c r="C117" s="278">
        <v>13</v>
      </c>
      <c r="D117" s="279">
        <v>1200</v>
      </c>
      <c r="E117" s="364">
        <v>8801000</v>
      </c>
      <c r="F117" s="279">
        <v>2659279</v>
      </c>
      <c r="G117" s="278">
        <v>510284.80000000005</v>
      </c>
      <c r="H117" s="279">
        <v>385772.15110000002</v>
      </c>
      <c r="I117" s="279">
        <v>5535083.0348093435</v>
      </c>
      <c r="J117" s="279">
        <v>-282462</v>
      </c>
      <c r="K117" s="279">
        <v>4000</v>
      </c>
      <c r="L117" s="280">
        <v>305641.90477304254</v>
      </c>
      <c r="M117" s="369">
        <v>-294684.91886369977</v>
      </c>
      <c r="N117" s="370">
        <v>-245.5707657197498</v>
      </c>
      <c r="P117" s="365">
        <v>3038805.5937446197</v>
      </c>
      <c r="Q117" s="283">
        <v>1216471</v>
      </c>
      <c r="R117" s="279">
        <v>385772.15110000002</v>
      </c>
      <c r="S117" s="279">
        <v>330490.97956493084</v>
      </c>
      <c r="T117" s="280">
        <v>1110692.6955813472</v>
      </c>
      <c r="U117" s="280">
        <v>2542.8718052703975</v>
      </c>
      <c r="V117" s="279">
        <v>-282462</v>
      </c>
      <c r="W117" s="279">
        <v>4000</v>
      </c>
      <c r="X117" s="279">
        <v>14401.528095783573</v>
      </c>
      <c r="Y117" s="354">
        <v>-256896.36759728799</v>
      </c>
      <c r="Z117" s="355">
        <v>-214.08030633107333</v>
      </c>
      <c r="AB117" s="366">
        <v>37788.551266411785</v>
      </c>
      <c r="AC117" s="349">
        <v>31.490459388676488</v>
      </c>
      <c r="AE117" s="374">
        <v>-27.046197327497595</v>
      </c>
      <c r="AF117" s="350">
        <v>-6.4904593886749353</v>
      </c>
      <c r="AG117" s="350">
        <v>0</v>
      </c>
      <c r="AH117" s="350">
        <v>0</v>
      </c>
      <c r="AI117" s="350">
        <v>0</v>
      </c>
      <c r="AJ117" s="408">
        <v>-649</v>
      </c>
      <c r="AK117" s="387">
        <v>-8152</v>
      </c>
      <c r="AL117" s="287">
        <v>0</v>
      </c>
      <c r="AM117" s="287">
        <v>-649</v>
      </c>
      <c r="AN117" s="287">
        <v>-2390</v>
      </c>
      <c r="AO117" s="287">
        <v>-5762</v>
      </c>
      <c r="AP117" s="287">
        <v>2659</v>
      </c>
      <c r="AQ117" s="287">
        <v>1443</v>
      </c>
      <c r="AR117" s="287">
        <v>1216</v>
      </c>
      <c r="AS117" s="287">
        <v>510</v>
      </c>
      <c r="AT117" s="287">
        <v>180</v>
      </c>
      <c r="AU117" s="287">
        <v>330</v>
      </c>
      <c r="AV117" s="353">
        <f t="shared" si="17"/>
        <v>5558.262939582386</v>
      </c>
      <c r="AW117" s="353">
        <f t="shared" si="18"/>
        <v>4759.9448089887655</v>
      </c>
      <c r="AX117" s="353">
        <f t="shared" si="19"/>
        <v>798.31813059362059</v>
      </c>
      <c r="AY117" s="390">
        <v>32455</v>
      </c>
      <c r="AZ117" s="390">
        <v>-32455</v>
      </c>
      <c r="BA117" s="401">
        <f t="shared" si="20"/>
        <v>385.77215110000003</v>
      </c>
      <c r="BB117" s="401">
        <v>-382</v>
      </c>
      <c r="BC117" s="401">
        <v>141</v>
      </c>
      <c r="BD117" s="401">
        <v>0</v>
      </c>
      <c r="BE117" s="401">
        <v>380</v>
      </c>
      <c r="BG117" s="426">
        <f t="shared" si="21"/>
        <v>0.30178075134187438</v>
      </c>
      <c r="BH117" s="426">
        <f t="shared" si="22"/>
        <v>5.7908226381037153E-2</v>
      </c>
      <c r="BI117" s="426">
        <f t="shared" si="23"/>
        <v>4.3778260801416134E-2</v>
      </c>
      <c r="BJ117" s="426">
        <f t="shared" si="24"/>
        <v>0.59607883279599372</v>
      </c>
      <c r="BK117" s="426">
        <f t="shared" si="25"/>
        <v>4.5392867967877662E-4</v>
      </c>
      <c r="BL117" s="425">
        <f t="shared" si="26"/>
        <v>8811956.9859093428</v>
      </c>
      <c r="BN117" s="423">
        <f t="shared" si="27"/>
        <v>0.44477066022871298</v>
      </c>
      <c r="BO117" s="423">
        <f t="shared" si="28"/>
        <v>0.12083534353118847</v>
      </c>
      <c r="BP117" s="423">
        <f t="shared" si="29"/>
        <v>0.14104745147446821</v>
      </c>
      <c r="BQ117" s="423">
        <f t="shared" si="30"/>
        <v>0.30375052760576216</v>
      </c>
      <c r="BR117" s="423">
        <f t="shared" si="31"/>
        <v>1.4624949060971053E-3</v>
      </c>
      <c r="BS117" s="423">
        <f t="shared" si="32"/>
        <v>-1.1866477746228713E-2</v>
      </c>
      <c r="BT117" s="425">
        <f t="shared" si="33"/>
        <v>2735052.2612585509</v>
      </c>
    </row>
    <row r="118" spans="1:72" x14ac:dyDescent="0.2">
      <c r="A118" s="309">
        <v>273</v>
      </c>
      <c r="B118" s="278" t="s">
        <v>68</v>
      </c>
      <c r="C118" s="278">
        <v>19</v>
      </c>
      <c r="D118" s="279">
        <v>3848</v>
      </c>
      <c r="E118" s="364">
        <v>27721000</v>
      </c>
      <c r="F118" s="279">
        <v>10290155</v>
      </c>
      <c r="G118" s="278">
        <v>604142.41499999992</v>
      </c>
      <c r="H118" s="279">
        <v>3604461.6396999997</v>
      </c>
      <c r="I118" s="279">
        <v>14389116.2528993</v>
      </c>
      <c r="J118" s="279">
        <v>-20465</v>
      </c>
      <c r="K118" s="279">
        <v>-134000</v>
      </c>
      <c r="L118" s="280">
        <v>-7734.48</v>
      </c>
      <c r="M118" s="369">
        <v>1020144.7875992986</v>
      </c>
      <c r="N118" s="370">
        <v>265.11039178775951</v>
      </c>
      <c r="P118" s="365">
        <v>10472988.855908185</v>
      </c>
      <c r="Q118" s="283">
        <v>4315406</v>
      </c>
      <c r="R118" s="279">
        <v>3604461.6396999997</v>
      </c>
      <c r="S118" s="279">
        <v>391278.7888843111</v>
      </c>
      <c r="T118" s="280">
        <v>4317643.8553542383</v>
      </c>
      <c r="U118" s="280">
        <v>-1002522.4244621356</v>
      </c>
      <c r="V118" s="279">
        <v>-20465</v>
      </c>
      <c r="W118" s="279">
        <v>-134000</v>
      </c>
      <c r="X118" s="279">
        <v>46087.1772950288</v>
      </c>
      <c r="Y118" s="354">
        <v>1044901.1808632575</v>
      </c>
      <c r="Z118" s="355">
        <v>271.54396592080496</v>
      </c>
      <c r="AB118" s="366">
        <v>24756.39326395886</v>
      </c>
      <c r="AC118" s="349">
        <v>6.4335741330454415</v>
      </c>
      <c r="AE118" s="374">
        <v>-1.9893120718681416</v>
      </c>
      <c r="AF118" s="350">
        <v>0</v>
      </c>
      <c r="AG118" s="350">
        <v>0</v>
      </c>
      <c r="AH118" s="350">
        <v>0</v>
      </c>
      <c r="AI118" s="350">
        <v>0</v>
      </c>
      <c r="AJ118" s="408">
        <v>-1650</v>
      </c>
      <c r="AK118" s="387">
        <v>-26071</v>
      </c>
      <c r="AL118" s="287">
        <v>-289</v>
      </c>
      <c r="AM118" s="287">
        <v>-1361</v>
      </c>
      <c r="AN118" s="287">
        <v>-9112</v>
      </c>
      <c r="AO118" s="287">
        <v>-16959</v>
      </c>
      <c r="AP118" s="287">
        <v>10290</v>
      </c>
      <c r="AQ118" s="287">
        <v>5975</v>
      </c>
      <c r="AR118" s="287">
        <v>4315</v>
      </c>
      <c r="AS118" s="287">
        <v>604</v>
      </c>
      <c r="AT118" s="287">
        <v>213</v>
      </c>
      <c r="AU118" s="287">
        <v>391</v>
      </c>
      <c r="AV118" s="353">
        <f t="shared" si="17"/>
        <v>14360.9167728993</v>
      </c>
      <c r="AW118" s="353">
        <f t="shared" si="18"/>
        <v>11073.915214859746</v>
      </c>
      <c r="AX118" s="353">
        <f t="shared" si="19"/>
        <v>3287.0015580395539</v>
      </c>
      <c r="AY118" s="390">
        <v>7655</v>
      </c>
      <c r="AZ118" s="390">
        <v>-7655</v>
      </c>
      <c r="BA118" s="401">
        <f t="shared" si="20"/>
        <v>3604.4616397</v>
      </c>
      <c r="BB118" s="401">
        <v>-3114</v>
      </c>
      <c r="BC118" s="401">
        <v>50</v>
      </c>
      <c r="BD118" s="401">
        <v>433</v>
      </c>
      <c r="BE118" s="401">
        <v>-569</v>
      </c>
      <c r="BG118" s="426">
        <f t="shared" si="21"/>
        <v>0.35812508469551563</v>
      </c>
      <c r="BH118" s="426">
        <f t="shared" si="22"/>
        <v>2.1025781782687269E-2</v>
      </c>
      <c r="BI118" s="426">
        <f t="shared" si="23"/>
        <v>0.1254449646287446</v>
      </c>
      <c r="BJ118" s="426">
        <f t="shared" si="24"/>
        <v>0.50006772948559941</v>
      </c>
      <c r="BK118" s="426">
        <f t="shared" si="25"/>
        <v>-4.6635605925468655E-3</v>
      </c>
      <c r="BL118" s="425">
        <f t="shared" si="26"/>
        <v>28733410.307599299</v>
      </c>
      <c r="BN118" s="423">
        <f t="shared" si="27"/>
        <v>0.37642622940973269</v>
      </c>
      <c r="BO118" s="423">
        <f t="shared" si="28"/>
        <v>3.4130647069529042E-2</v>
      </c>
      <c r="BP118" s="423">
        <f t="shared" si="29"/>
        <v>0.31441164610798922</v>
      </c>
      <c r="BQ118" s="423">
        <f t="shared" si="30"/>
        <v>0.28738781414338344</v>
      </c>
      <c r="BR118" s="423">
        <f t="shared" si="31"/>
        <v>-1.168861394290692E-2</v>
      </c>
      <c r="BS118" s="423">
        <f t="shared" si="32"/>
        <v>-6.6772278772745785E-4</v>
      </c>
      <c r="BT118" s="425">
        <f t="shared" si="33"/>
        <v>11464147.986623865</v>
      </c>
    </row>
    <row r="119" spans="1:72" x14ac:dyDescent="0.2">
      <c r="A119" s="309">
        <v>275</v>
      </c>
      <c r="B119" s="278" t="s">
        <v>69</v>
      </c>
      <c r="C119" s="278">
        <v>13</v>
      </c>
      <c r="D119" s="279">
        <v>2757</v>
      </c>
      <c r="E119" s="364">
        <v>17884000</v>
      </c>
      <c r="F119" s="279">
        <v>7434648</v>
      </c>
      <c r="G119" s="278">
        <v>670945.55500000005</v>
      </c>
      <c r="H119" s="279">
        <v>774276.31050000014</v>
      </c>
      <c r="I119" s="279">
        <v>9074646.6808583476</v>
      </c>
      <c r="J119" s="279">
        <v>-75114</v>
      </c>
      <c r="K119" s="279">
        <v>71000</v>
      </c>
      <c r="L119" s="280">
        <v>341245.37926852924</v>
      </c>
      <c r="M119" s="369">
        <v>-274842.8329101823</v>
      </c>
      <c r="N119" s="370">
        <v>-99.689094272826367</v>
      </c>
      <c r="P119" s="365">
        <v>6812848.0662460569</v>
      </c>
      <c r="Q119" s="283">
        <v>3440736</v>
      </c>
      <c r="R119" s="279">
        <v>774276.31050000014</v>
      </c>
      <c r="S119" s="279">
        <v>434544.50084871461</v>
      </c>
      <c r="T119" s="280">
        <v>1874304.4860309993</v>
      </c>
      <c r="U119" s="280">
        <v>-89950.718833858351</v>
      </c>
      <c r="V119" s="279">
        <v>-75114</v>
      </c>
      <c r="W119" s="279">
        <v>71000</v>
      </c>
      <c r="X119" s="279">
        <v>33229.298541500029</v>
      </c>
      <c r="Y119" s="354">
        <v>-349822.18915870134</v>
      </c>
      <c r="Z119" s="355">
        <v>-126.88508855955797</v>
      </c>
      <c r="AB119" s="366">
        <v>-74979.356248519034</v>
      </c>
      <c r="AC119" s="349">
        <v>-27.195994286731604</v>
      </c>
      <c r="AE119" s="374">
        <v>31.640256347908931</v>
      </c>
      <c r="AF119" s="350">
        <v>2.1959942867316045</v>
      </c>
      <c r="AG119" s="350">
        <v>0</v>
      </c>
      <c r="AH119" s="350">
        <v>0</v>
      </c>
      <c r="AI119" s="350">
        <v>0</v>
      </c>
      <c r="AJ119" s="408">
        <v>-723</v>
      </c>
      <c r="AK119" s="387">
        <v>-17161</v>
      </c>
      <c r="AL119" s="287">
        <v>0</v>
      </c>
      <c r="AM119" s="287">
        <v>-723</v>
      </c>
      <c r="AN119" s="287">
        <v>-6090</v>
      </c>
      <c r="AO119" s="287">
        <v>-11071</v>
      </c>
      <c r="AP119" s="287">
        <v>7435</v>
      </c>
      <c r="AQ119" s="287">
        <v>3994</v>
      </c>
      <c r="AR119" s="287">
        <v>3441</v>
      </c>
      <c r="AS119" s="287">
        <v>671</v>
      </c>
      <c r="AT119" s="287">
        <v>236</v>
      </c>
      <c r="AU119" s="287">
        <v>435</v>
      </c>
      <c r="AV119" s="353">
        <f t="shared" si="17"/>
        <v>9340.7780601268769</v>
      </c>
      <c r="AW119" s="353">
        <f t="shared" si="18"/>
        <v>7544.3061061785511</v>
      </c>
      <c r="AX119" s="353">
        <f t="shared" si="19"/>
        <v>1796.471953948326</v>
      </c>
      <c r="AY119" s="390">
        <v>87232</v>
      </c>
      <c r="AZ119" s="390">
        <v>87232</v>
      </c>
      <c r="BA119" s="401">
        <f t="shared" si="20"/>
        <v>774.27631050000014</v>
      </c>
      <c r="BB119" s="401">
        <v>-3900</v>
      </c>
      <c r="BC119" s="401">
        <v>33</v>
      </c>
      <c r="BD119" s="401">
        <v>175</v>
      </c>
      <c r="BE119" s="401">
        <v>-3285</v>
      </c>
      <c r="BG119" s="426">
        <f t="shared" si="21"/>
        <v>0.4141772297751779</v>
      </c>
      <c r="BH119" s="426">
        <f t="shared" si="22"/>
        <v>3.737774421867307E-2</v>
      </c>
      <c r="BI119" s="426">
        <f t="shared" si="23"/>
        <v>4.3134203174573373E-2</v>
      </c>
      <c r="BJ119" s="426">
        <f t="shared" si="24"/>
        <v>0.50135547977914907</v>
      </c>
      <c r="BK119" s="426">
        <f t="shared" si="25"/>
        <v>3.9553430524266421E-3</v>
      </c>
      <c r="BL119" s="425">
        <f t="shared" si="26"/>
        <v>17950402.546358347</v>
      </c>
      <c r="BN119" s="423">
        <f t="shared" si="27"/>
        <v>0.52796084288008727</v>
      </c>
      <c r="BO119" s="423">
        <f t="shared" si="28"/>
        <v>6.6678315609507433E-2</v>
      </c>
      <c r="BP119" s="423">
        <f t="shared" si="29"/>
        <v>0.11880817752761742</v>
      </c>
      <c r="BQ119" s="423">
        <f t="shared" si="30"/>
        <v>0.26227285911315679</v>
      </c>
      <c r="BR119" s="423">
        <f t="shared" si="31"/>
        <v>1.0894535310028493E-2</v>
      </c>
      <c r="BS119" s="423">
        <f t="shared" si="32"/>
        <v>1.338526955960259E-2</v>
      </c>
      <c r="BT119" s="425">
        <f t="shared" si="33"/>
        <v>6517028.7652970403</v>
      </c>
    </row>
    <row r="120" spans="1:72" x14ac:dyDescent="0.2">
      <c r="A120" s="309">
        <v>276</v>
      </c>
      <c r="B120" s="278" t="s">
        <v>70</v>
      </c>
      <c r="C120" s="278">
        <v>12</v>
      </c>
      <c r="D120" s="279">
        <v>14827</v>
      </c>
      <c r="E120" s="364">
        <v>74243000</v>
      </c>
      <c r="F120" s="279">
        <v>45183348</v>
      </c>
      <c r="G120" s="278">
        <v>1425672.64</v>
      </c>
      <c r="H120" s="279">
        <v>2689291.8337000003</v>
      </c>
      <c r="I120" s="279">
        <v>24681640.096438155</v>
      </c>
      <c r="J120" s="279">
        <v>-1219292</v>
      </c>
      <c r="K120" s="279">
        <v>-562000</v>
      </c>
      <c r="L120" s="280">
        <v>-29802.269999999997</v>
      </c>
      <c r="M120" s="369">
        <v>-2014537.1598618436</v>
      </c>
      <c r="N120" s="370">
        <v>-135.8695056223001</v>
      </c>
      <c r="P120" s="365">
        <v>34918065.633766234</v>
      </c>
      <c r="Q120" s="283">
        <v>19136113</v>
      </c>
      <c r="R120" s="279">
        <v>2689291.8337000003</v>
      </c>
      <c r="S120" s="279">
        <v>923350.93526697415</v>
      </c>
      <c r="T120" s="280">
        <v>15650585.817205278</v>
      </c>
      <c r="U120" s="280">
        <v>-1777146.5401013664</v>
      </c>
      <c r="V120" s="279">
        <v>-1219292</v>
      </c>
      <c r="W120" s="279">
        <v>-562000</v>
      </c>
      <c r="X120" s="279">
        <v>179499.3467412219</v>
      </c>
      <c r="Y120" s="354">
        <v>102336.75904587656</v>
      </c>
      <c r="Z120" s="355">
        <v>6.9020542959382585</v>
      </c>
      <c r="AB120" s="366">
        <v>2116873.9189077201</v>
      </c>
      <c r="AC120" s="349">
        <v>142.77155991823835</v>
      </c>
      <c r="AE120" s="374">
        <v>-138.32729785706101</v>
      </c>
      <c r="AF120" s="350">
        <v>-117.77155991823835</v>
      </c>
      <c r="AG120" s="350">
        <v>-92.771559918238353</v>
      </c>
      <c r="AH120" s="350">
        <v>-67.771559918238353</v>
      </c>
      <c r="AI120" s="350">
        <v>-42.771559918238353</v>
      </c>
      <c r="AJ120" s="408">
        <v>-3991</v>
      </c>
      <c r="AK120" s="387">
        <v>-70252</v>
      </c>
      <c r="AL120" s="287">
        <v>-86</v>
      </c>
      <c r="AM120" s="287">
        <v>-3905</v>
      </c>
      <c r="AN120" s="287">
        <v>-31013</v>
      </c>
      <c r="AO120" s="287">
        <v>-39239</v>
      </c>
      <c r="AP120" s="287">
        <v>45183</v>
      </c>
      <c r="AQ120" s="287">
        <v>26047</v>
      </c>
      <c r="AR120" s="287">
        <v>19136</v>
      </c>
      <c r="AS120" s="287">
        <v>1426</v>
      </c>
      <c r="AT120" s="287">
        <v>503</v>
      </c>
      <c r="AU120" s="287">
        <v>923</v>
      </c>
      <c r="AV120" s="353">
        <f t="shared" si="17"/>
        <v>23432.545826438156</v>
      </c>
      <c r="AW120" s="353">
        <f t="shared" si="18"/>
        <v>12829.377394660887</v>
      </c>
      <c r="AX120" s="353">
        <f t="shared" si="19"/>
        <v>10603.168431777269</v>
      </c>
      <c r="AY120" s="390">
        <v>2050979</v>
      </c>
      <c r="AZ120" s="390">
        <v>-2050979</v>
      </c>
      <c r="BA120" s="401">
        <f t="shared" si="20"/>
        <v>2689.2918337000006</v>
      </c>
      <c r="BB120" s="401">
        <v>-7094</v>
      </c>
      <c r="BC120" s="401">
        <v>120</v>
      </c>
      <c r="BD120" s="401">
        <v>520</v>
      </c>
      <c r="BE120" s="401">
        <v>-4517</v>
      </c>
      <c r="BG120" s="426">
        <f t="shared" si="21"/>
        <v>0.62581975403970491</v>
      </c>
      <c r="BH120" s="426">
        <f t="shared" si="22"/>
        <v>1.9746524779570045E-2</v>
      </c>
      <c r="BI120" s="426">
        <f t="shared" si="23"/>
        <v>3.724850035254406E-2</v>
      </c>
      <c r="BJ120" s="426">
        <f t="shared" si="24"/>
        <v>0.32496929875375469</v>
      </c>
      <c r="BK120" s="426">
        <f t="shared" si="25"/>
        <v>-7.7840779255736901E-3</v>
      </c>
      <c r="BL120" s="425">
        <f t="shared" si="26"/>
        <v>72198660.570138156</v>
      </c>
      <c r="BN120" s="423">
        <f t="shared" si="27"/>
        <v>0.58359735395684931</v>
      </c>
      <c r="BO120" s="423">
        <f t="shared" si="28"/>
        <v>2.8159593465788387E-2</v>
      </c>
      <c r="BP120" s="423">
        <f t="shared" si="29"/>
        <v>8.2015799037405537E-2</v>
      </c>
      <c r="BQ120" s="423">
        <f t="shared" si="30"/>
        <v>0.38591572214786324</v>
      </c>
      <c r="BR120" s="423">
        <f t="shared" si="31"/>
        <v>-1.7139411380135E-2</v>
      </c>
      <c r="BS120" s="423">
        <f t="shared" si="32"/>
        <v>-6.2549057227771571E-2</v>
      </c>
      <c r="BT120" s="425">
        <f t="shared" si="33"/>
        <v>32789924.200744245</v>
      </c>
    </row>
    <row r="121" spans="1:72" x14ac:dyDescent="0.2">
      <c r="A121" s="309">
        <v>499</v>
      </c>
      <c r="B121" s="278" t="s">
        <v>281</v>
      </c>
      <c r="C121" s="278">
        <v>15</v>
      </c>
      <c r="D121" s="279">
        <v>19302</v>
      </c>
      <c r="E121" s="364">
        <v>103902000</v>
      </c>
      <c r="F121" s="279">
        <v>68783786</v>
      </c>
      <c r="G121" s="278">
        <v>2210114</v>
      </c>
      <c r="H121" s="279">
        <v>4591521.2104999991</v>
      </c>
      <c r="I121" s="279">
        <v>33460055.310765959</v>
      </c>
      <c r="J121" s="279">
        <v>-1909088</v>
      </c>
      <c r="K121" s="279">
        <v>-326000</v>
      </c>
      <c r="L121" s="280">
        <v>-38797.019999999997</v>
      </c>
      <c r="M121" s="369">
        <v>2947185.5412659538</v>
      </c>
      <c r="N121" s="370">
        <v>152.68809145507998</v>
      </c>
      <c r="P121" s="365">
        <v>46218606.25749559</v>
      </c>
      <c r="Q121" s="283">
        <v>29365980</v>
      </c>
      <c r="R121" s="279">
        <v>4591521.2104999991</v>
      </c>
      <c r="S121" s="279">
        <v>1431402.1127224786</v>
      </c>
      <c r="T121" s="280">
        <v>18236138.841358524</v>
      </c>
      <c r="U121" s="280">
        <v>-641026.11050871387</v>
      </c>
      <c r="V121" s="279">
        <v>-1909088</v>
      </c>
      <c r="W121" s="279">
        <v>-326000</v>
      </c>
      <c r="X121" s="279">
        <v>245231.80713950371</v>
      </c>
      <c r="Y121" s="354">
        <v>4775553.6037162021</v>
      </c>
      <c r="Z121" s="355">
        <v>247.41237196747497</v>
      </c>
      <c r="AB121" s="366">
        <v>1828368.0624502483</v>
      </c>
      <c r="AC121" s="349">
        <v>94.724280512394998</v>
      </c>
      <c r="AE121" s="374">
        <v>-90.280018451217643</v>
      </c>
      <c r="AF121" s="350">
        <v>-69.724280512394984</v>
      </c>
      <c r="AG121" s="350">
        <v>-44.724280512394984</v>
      </c>
      <c r="AH121" s="350">
        <v>-19.724280512394984</v>
      </c>
      <c r="AI121" s="350">
        <v>0</v>
      </c>
      <c r="AJ121" s="408">
        <v>-8030</v>
      </c>
      <c r="AK121" s="387">
        <v>-95872</v>
      </c>
      <c r="AL121" s="287">
        <v>-700</v>
      </c>
      <c r="AM121" s="287">
        <v>-7330</v>
      </c>
      <c r="AN121" s="287">
        <v>-38889</v>
      </c>
      <c r="AO121" s="287">
        <v>-56983</v>
      </c>
      <c r="AP121" s="287">
        <v>68784</v>
      </c>
      <c r="AQ121" s="287">
        <v>39418</v>
      </c>
      <c r="AR121" s="287">
        <v>29366</v>
      </c>
      <c r="AS121" s="287">
        <v>2210</v>
      </c>
      <c r="AT121" s="287">
        <v>779</v>
      </c>
      <c r="AU121" s="287">
        <v>1431</v>
      </c>
      <c r="AV121" s="353">
        <f t="shared" si="17"/>
        <v>31512.17029076596</v>
      </c>
      <c r="AW121" s="353">
        <f t="shared" si="18"/>
        <v>17568.730476061552</v>
      </c>
      <c r="AX121" s="353">
        <f t="shared" si="19"/>
        <v>13943.439814704407</v>
      </c>
      <c r="AY121" s="390">
        <v>1742585</v>
      </c>
      <c r="AZ121" s="390">
        <v>-1742585</v>
      </c>
      <c r="BA121" s="401">
        <f t="shared" si="20"/>
        <v>4591.5212104999991</v>
      </c>
      <c r="BB121" s="401">
        <v>-13693</v>
      </c>
      <c r="BC121" s="401">
        <v>0</v>
      </c>
      <c r="BD121" s="401">
        <v>1150</v>
      </c>
      <c r="BE121" s="401">
        <v>-3376</v>
      </c>
      <c r="BG121" s="426">
        <f t="shared" si="21"/>
        <v>0.64398029959702974</v>
      </c>
      <c r="BH121" s="426">
        <f t="shared" si="22"/>
        <v>2.0691938589474993E-2</v>
      </c>
      <c r="BI121" s="426">
        <f t="shared" si="23"/>
        <v>4.2987590196676674E-2</v>
      </c>
      <c r="BJ121" s="426">
        <f t="shared" si="24"/>
        <v>0.29539230918988896</v>
      </c>
      <c r="BK121" s="426">
        <f t="shared" si="25"/>
        <v>-3.0521375730703701E-3</v>
      </c>
      <c r="BL121" s="425">
        <f t="shared" si="26"/>
        <v>106810388.52126595</v>
      </c>
      <c r="BN121" s="423">
        <f t="shared" si="27"/>
        <v>0.59922814312731565</v>
      </c>
      <c r="BO121" s="423">
        <f t="shared" si="28"/>
        <v>2.9208506921111009E-2</v>
      </c>
      <c r="BP121" s="423">
        <f t="shared" si="29"/>
        <v>9.3692385852527288E-2</v>
      </c>
      <c r="BQ121" s="423">
        <f t="shared" si="30"/>
        <v>0.32008151856387163</v>
      </c>
      <c r="BR121" s="423">
        <f t="shared" si="31"/>
        <v>-6.6522000852518772E-3</v>
      </c>
      <c r="BS121" s="423">
        <f t="shared" si="32"/>
        <v>-3.555835437957388E-2</v>
      </c>
      <c r="BT121" s="425">
        <f t="shared" si="33"/>
        <v>49006343.137926891</v>
      </c>
    </row>
    <row r="122" spans="1:72" x14ac:dyDescent="0.2">
      <c r="A122" s="309">
        <v>280</v>
      </c>
      <c r="B122" s="278" t="s">
        <v>71</v>
      </c>
      <c r="C122" s="278">
        <v>15</v>
      </c>
      <c r="D122" s="279">
        <v>2201</v>
      </c>
      <c r="E122" s="364">
        <v>13688000</v>
      </c>
      <c r="F122" s="279">
        <v>5525701</v>
      </c>
      <c r="G122" s="278">
        <v>789421.82</v>
      </c>
      <c r="H122" s="279">
        <v>731293.1155999999</v>
      </c>
      <c r="I122" s="279">
        <v>7223354.6783949183</v>
      </c>
      <c r="J122" s="279">
        <v>-398884</v>
      </c>
      <c r="K122" s="279">
        <v>-16000</v>
      </c>
      <c r="L122" s="280">
        <v>-4424.0099999999993</v>
      </c>
      <c r="M122" s="369">
        <v>171310.62399491877</v>
      </c>
      <c r="N122" s="370">
        <v>77.833086776428345</v>
      </c>
      <c r="P122" s="365">
        <v>5614007.2265428575</v>
      </c>
      <c r="Q122" s="283">
        <v>2541503</v>
      </c>
      <c r="R122" s="279">
        <v>731293.1155999999</v>
      </c>
      <c r="S122" s="279">
        <v>511276.82145682268</v>
      </c>
      <c r="T122" s="280">
        <v>2105967.2338350969</v>
      </c>
      <c r="U122" s="280">
        <v>65931.074107751832</v>
      </c>
      <c r="V122" s="279">
        <v>-398884</v>
      </c>
      <c r="W122" s="279">
        <v>-16000</v>
      </c>
      <c r="X122" s="279">
        <v>26490.29325344379</v>
      </c>
      <c r="Y122" s="354">
        <v>-46429.688289741054</v>
      </c>
      <c r="Z122" s="355">
        <v>-21.094815215693345</v>
      </c>
      <c r="AB122" s="366">
        <v>-217740.31228465983</v>
      </c>
      <c r="AC122" s="349">
        <v>-98.92790199212169</v>
      </c>
      <c r="AE122" s="374">
        <v>103.37216405329816</v>
      </c>
      <c r="AF122" s="350">
        <v>73.927901992120837</v>
      </c>
      <c r="AG122" s="350">
        <v>48.927901992120837</v>
      </c>
      <c r="AH122" s="350">
        <v>23.927901992120837</v>
      </c>
      <c r="AI122" s="350">
        <v>0</v>
      </c>
      <c r="AJ122" s="408">
        <v>-890</v>
      </c>
      <c r="AK122" s="387">
        <v>-12798</v>
      </c>
      <c r="AL122" s="287">
        <v>-145</v>
      </c>
      <c r="AM122" s="287">
        <v>-745</v>
      </c>
      <c r="AN122" s="287">
        <v>-4869</v>
      </c>
      <c r="AO122" s="287">
        <v>-7929</v>
      </c>
      <c r="AP122" s="287">
        <v>5526</v>
      </c>
      <c r="AQ122" s="287">
        <v>2984</v>
      </c>
      <c r="AR122" s="287">
        <v>2542</v>
      </c>
      <c r="AS122" s="287">
        <v>789</v>
      </c>
      <c r="AT122" s="287">
        <v>278</v>
      </c>
      <c r="AU122" s="287">
        <v>511</v>
      </c>
      <c r="AV122" s="353">
        <f t="shared" si="17"/>
        <v>6820.0466683949189</v>
      </c>
      <c r="AW122" s="353">
        <f t="shared" si="18"/>
        <v>4819.5102273707607</v>
      </c>
      <c r="AX122" s="353">
        <f t="shared" si="19"/>
        <v>2000.536441024158</v>
      </c>
      <c r="AY122" s="390">
        <v>227522</v>
      </c>
      <c r="AZ122" s="390">
        <v>227522</v>
      </c>
      <c r="BA122" s="401">
        <f t="shared" si="20"/>
        <v>731.29311559999996</v>
      </c>
      <c r="BB122" s="401">
        <v>-1638</v>
      </c>
      <c r="BC122" s="401">
        <v>127</v>
      </c>
      <c r="BD122" s="401">
        <v>0</v>
      </c>
      <c r="BE122" s="401">
        <v>-611</v>
      </c>
      <c r="BG122" s="426">
        <f t="shared" si="21"/>
        <v>0.39882686549151908</v>
      </c>
      <c r="BH122" s="426">
        <f t="shared" si="22"/>
        <v>5.6977862179153412E-2</v>
      </c>
      <c r="BI122" s="426">
        <f t="shared" si="23"/>
        <v>5.2782324097933472E-2</v>
      </c>
      <c r="BJ122" s="426">
        <f t="shared" si="24"/>
        <v>0.49256777543754654</v>
      </c>
      <c r="BK122" s="426">
        <f t="shared" si="25"/>
        <v>-1.1548272061525416E-3</v>
      </c>
      <c r="BL122" s="425">
        <f t="shared" si="26"/>
        <v>13854886.613994919</v>
      </c>
      <c r="BN122" s="423">
        <f t="shared" si="27"/>
        <v>0.44057463999156599</v>
      </c>
      <c r="BO122" s="423">
        <f t="shared" si="28"/>
        <v>8.8630861954273443E-2</v>
      </c>
      <c r="BP122" s="423">
        <f t="shared" si="29"/>
        <v>0.12677112760983583</v>
      </c>
      <c r="BQ122" s="423">
        <f t="shared" si="30"/>
        <v>0.30735558463704982</v>
      </c>
      <c r="BR122" s="423">
        <f t="shared" si="31"/>
        <v>-2.7736320751402047E-3</v>
      </c>
      <c r="BS122" s="423">
        <f t="shared" si="32"/>
        <v>3.9441417882414856E-2</v>
      </c>
      <c r="BT122" s="425">
        <f t="shared" si="33"/>
        <v>5768609.3780809818</v>
      </c>
    </row>
    <row r="123" spans="1:72" x14ac:dyDescent="0.2">
      <c r="A123" s="309">
        <v>284</v>
      </c>
      <c r="B123" s="278" t="s">
        <v>72</v>
      </c>
      <c r="C123" s="278">
        <v>2</v>
      </c>
      <c r="D123" s="279">
        <v>2399</v>
      </c>
      <c r="E123" s="364">
        <v>14720000</v>
      </c>
      <c r="F123" s="279">
        <v>5914473</v>
      </c>
      <c r="G123" s="278">
        <v>472830.75500000006</v>
      </c>
      <c r="H123" s="279">
        <v>543776.28029999998</v>
      </c>
      <c r="I123" s="279">
        <v>6978893.7863465529</v>
      </c>
      <c r="J123" s="279">
        <v>369489</v>
      </c>
      <c r="K123" s="279">
        <v>37000</v>
      </c>
      <c r="L123" s="280">
        <v>-4821.99</v>
      </c>
      <c r="M123" s="369">
        <v>-398715.18835344748</v>
      </c>
      <c r="N123" s="370">
        <v>-166.20057872173717</v>
      </c>
      <c r="P123" s="365">
        <v>6164762.1051454134</v>
      </c>
      <c r="Q123" s="283">
        <v>2383155</v>
      </c>
      <c r="R123" s="279">
        <v>543776.28029999998</v>
      </c>
      <c r="S123" s="279">
        <v>306233.4982119315</v>
      </c>
      <c r="T123" s="280">
        <v>1850748.2057551546</v>
      </c>
      <c r="U123" s="280">
        <v>111237.02243652055</v>
      </c>
      <c r="V123" s="279">
        <v>369489</v>
      </c>
      <c r="W123" s="279">
        <v>37000</v>
      </c>
      <c r="X123" s="279">
        <v>28730.629153204227</v>
      </c>
      <c r="Y123" s="354">
        <v>-534392.4692886034</v>
      </c>
      <c r="Z123" s="355">
        <v>-222.75634401359042</v>
      </c>
      <c r="AB123" s="366">
        <v>-135677.28093515593</v>
      </c>
      <c r="AC123" s="349">
        <v>-56.555765291853241</v>
      </c>
      <c r="AE123" s="374">
        <v>61.000027353031356</v>
      </c>
      <c r="AF123" s="350">
        <v>31.555765291854016</v>
      </c>
      <c r="AG123" s="350">
        <v>6.5557652918540157</v>
      </c>
      <c r="AH123" s="350">
        <v>0</v>
      </c>
      <c r="AI123" s="350">
        <v>0</v>
      </c>
      <c r="AJ123" s="408">
        <v>-738</v>
      </c>
      <c r="AK123" s="387">
        <v>-13982</v>
      </c>
      <c r="AL123" s="287">
        <v>-120</v>
      </c>
      <c r="AM123" s="287">
        <v>-618</v>
      </c>
      <c r="AN123" s="287">
        <v>-5547</v>
      </c>
      <c r="AO123" s="287">
        <v>-8435</v>
      </c>
      <c r="AP123" s="287">
        <v>5914</v>
      </c>
      <c r="AQ123" s="287">
        <v>3531</v>
      </c>
      <c r="AR123" s="287">
        <v>2383</v>
      </c>
      <c r="AS123" s="287">
        <v>473</v>
      </c>
      <c r="AT123" s="287">
        <v>167</v>
      </c>
      <c r="AU123" s="287">
        <v>306</v>
      </c>
      <c r="AV123" s="353">
        <f t="shared" si="17"/>
        <v>7343.5607963465527</v>
      </c>
      <c r="AW123" s="353">
        <f t="shared" si="18"/>
        <v>4865.7475025349559</v>
      </c>
      <c r="AX123" s="353">
        <f t="shared" si="19"/>
        <v>2477.8132938115973</v>
      </c>
      <c r="AY123" s="390">
        <v>146339</v>
      </c>
      <c r="AZ123" s="390">
        <v>146339</v>
      </c>
      <c r="BA123" s="401">
        <f t="shared" si="20"/>
        <v>543.77628029999994</v>
      </c>
      <c r="BB123" s="401">
        <v>-1524</v>
      </c>
      <c r="BC123" s="401">
        <v>0</v>
      </c>
      <c r="BD123" s="401">
        <v>10</v>
      </c>
      <c r="BE123" s="401">
        <v>-1165</v>
      </c>
      <c r="BG123" s="426">
        <f t="shared" si="21"/>
        <v>0.41312390313739311</v>
      </c>
      <c r="BH123" s="426">
        <f t="shared" si="22"/>
        <v>3.3027065476332461E-2</v>
      </c>
      <c r="BI123" s="426">
        <f t="shared" si="23"/>
        <v>3.7982585997276365E-2</v>
      </c>
      <c r="BJ123" s="426">
        <f t="shared" si="24"/>
        <v>0.51328200812534275</v>
      </c>
      <c r="BK123" s="426">
        <f t="shared" si="25"/>
        <v>2.5844372636553664E-3</v>
      </c>
      <c r="BL123" s="425">
        <f t="shared" si="26"/>
        <v>14316462.821646553</v>
      </c>
      <c r="BN123" s="423">
        <f t="shared" si="27"/>
        <v>0.41460753155529134</v>
      </c>
      <c r="BO123" s="423">
        <f t="shared" si="28"/>
        <v>5.3276733898210839E-2</v>
      </c>
      <c r="BP123" s="423">
        <f t="shared" si="29"/>
        <v>9.4603054057961489E-2</v>
      </c>
      <c r="BQ123" s="423">
        <f t="shared" si="30"/>
        <v>0.40561640960631118</v>
      </c>
      <c r="BR123" s="423">
        <f t="shared" si="31"/>
        <v>6.4370461289952946E-3</v>
      </c>
      <c r="BS123" s="423">
        <f t="shared" si="32"/>
        <v>2.5459224753229964E-2</v>
      </c>
      <c r="BT123" s="425">
        <f t="shared" si="33"/>
        <v>5747978.0723235281</v>
      </c>
    </row>
    <row r="124" spans="1:72" x14ac:dyDescent="0.2">
      <c r="A124" s="309">
        <v>285</v>
      </c>
      <c r="B124" s="278" t="s">
        <v>73</v>
      </c>
      <c r="C124" s="278">
        <v>8</v>
      </c>
      <c r="D124" s="279">
        <v>54319</v>
      </c>
      <c r="E124" s="364">
        <v>319413000</v>
      </c>
      <c r="F124" s="279">
        <v>195957247</v>
      </c>
      <c r="G124" s="278">
        <v>8576169.8399999999</v>
      </c>
      <c r="H124" s="279">
        <v>15431622.192500003</v>
      </c>
      <c r="I124" s="279">
        <v>108173645.27289137</v>
      </c>
      <c r="J124" s="279">
        <v>-1692485</v>
      </c>
      <c r="K124" s="279">
        <v>2269000</v>
      </c>
      <c r="L124" s="280">
        <v>-4431236.3257328589</v>
      </c>
      <c r="M124" s="369">
        <v>13733435.63112423</v>
      </c>
      <c r="N124" s="370">
        <v>252.82931628204182</v>
      </c>
      <c r="P124" s="365">
        <v>115043897.6095238</v>
      </c>
      <c r="Q124" s="283">
        <v>87823211</v>
      </c>
      <c r="R124" s="279">
        <v>15431622.192500003</v>
      </c>
      <c r="S124" s="279">
        <v>5554440.9148319047</v>
      </c>
      <c r="T124" s="280">
        <v>18898422.239220433</v>
      </c>
      <c r="U124" s="280">
        <v>-2691919.34622702</v>
      </c>
      <c r="V124" s="279">
        <v>-1692485</v>
      </c>
      <c r="W124" s="279">
        <v>2269000</v>
      </c>
      <c r="X124" s="279">
        <v>693237.13402652834</v>
      </c>
      <c r="Y124" s="354">
        <v>11241631.524828047</v>
      </c>
      <c r="Z124" s="355">
        <v>206.95578940753782</v>
      </c>
      <c r="AB124" s="366">
        <v>-2491804.1062961835</v>
      </c>
      <c r="AC124" s="349">
        <v>-45.873526874504016</v>
      </c>
      <c r="AE124" s="374">
        <v>50.317788935681307</v>
      </c>
      <c r="AF124" s="350">
        <v>20.873526874503995</v>
      </c>
      <c r="AG124" s="350">
        <v>0</v>
      </c>
      <c r="AH124" s="350">
        <v>0</v>
      </c>
      <c r="AI124" s="350">
        <v>0</v>
      </c>
      <c r="AJ124" s="408">
        <v>-21932</v>
      </c>
      <c r="AK124" s="387">
        <v>-297481</v>
      </c>
      <c r="AL124" s="287">
        <v>-1228</v>
      </c>
      <c r="AM124" s="287">
        <v>-20704</v>
      </c>
      <c r="AN124" s="287">
        <v>-94340</v>
      </c>
      <c r="AO124" s="287">
        <v>-203141</v>
      </c>
      <c r="AP124" s="287">
        <v>195957</v>
      </c>
      <c r="AQ124" s="287">
        <v>108134</v>
      </c>
      <c r="AR124" s="287">
        <v>87823</v>
      </c>
      <c r="AS124" s="287">
        <v>8576</v>
      </c>
      <c r="AT124" s="287">
        <v>3022</v>
      </c>
      <c r="AU124" s="287">
        <v>5554</v>
      </c>
      <c r="AV124" s="353">
        <f t="shared" si="17"/>
        <v>102049.92394715852</v>
      </c>
      <c r="AW124" s="353">
        <f t="shared" si="18"/>
        <v>84802.694076967833</v>
      </c>
      <c r="AX124" s="353">
        <f t="shared" si="19"/>
        <v>17247.229870190688</v>
      </c>
      <c r="AY124" s="390">
        <v>2733212</v>
      </c>
      <c r="AZ124" s="390">
        <v>2733212</v>
      </c>
      <c r="BA124" s="401">
        <f t="shared" si="20"/>
        <v>15431.622192500003</v>
      </c>
      <c r="BB124" s="401">
        <v>-18769</v>
      </c>
      <c r="BC124" s="401">
        <v>717</v>
      </c>
      <c r="BD124" s="401">
        <v>0</v>
      </c>
      <c r="BE124" s="401">
        <v>3799</v>
      </c>
      <c r="BG124" s="426">
        <f t="shared" si="21"/>
        <v>0.59613077647178347</v>
      </c>
      <c r="BH124" s="426">
        <f t="shared" si="22"/>
        <v>2.6089970461123546E-2</v>
      </c>
      <c r="BI124" s="426">
        <f t="shared" si="23"/>
        <v>4.6945265156915737E-2</v>
      </c>
      <c r="BJ124" s="426">
        <f t="shared" si="24"/>
        <v>0.32393135607327223</v>
      </c>
      <c r="BK124" s="426">
        <f t="shared" si="25"/>
        <v>6.902631836905101E-3</v>
      </c>
      <c r="BL124" s="425">
        <f t="shared" si="26"/>
        <v>328715199.30539137</v>
      </c>
      <c r="BN124" s="423">
        <f t="shared" si="27"/>
        <v>0.68437846162975557</v>
      </c>
      <c r="BO124" s="423">
        <f t="shared" si="28"/>
        <v>4.3283998446675236E-2</v>
      </c>
      <c r="BP124" s="423">
        <f t="shared" si="29"/>
        <v>0.12025374313124065</v>
      </c>
      <c r="BQ124" s="423">
        <f t="shared" si="30"/>
        <v>0.11310314351491406</v>
      </c>
      <c r="BR124" s="423">
        <f t="shared" si="31"/>
        <v>1.7681598198885207E-2</v>
      </c>
      <c r="BS124" s="423">
        <f t="shared" si="32"/>
        <v>2.1299055078529208E-2</v>
      </c>
      <c r="BT124" s="425">
        <f t="shared" si="33"/>
        <v>128325503.9775226</v>
      </c>
    </row>
    <row r="125" spans="1:72" x14ac:dyDescent="0.2">
      <c r="A125" s="309">
        <v>286</v>
      </c>
      <c r="B125" s="278" t="s">
        <v>74</v>
      </c>
      <c r="C125" s="278">
        <v>8</v>
      </c>
      <c r="D125" s="279">
        <v>85855</v>
      </c>
      <c r="E125" s="364">
        <v>514357000</v>
      </c>
      <c r="F125" s="279">
        <v>294925502</v>
      </c>
      <c r="G125" s="278">
        <v>17068997.419999998</v>
      </c>
      <c r="H125" s="279">
        <v>28811943.728999998</v>
      </c>
      <c r="I125" s="279">
        <v>155962893.03692868</v>
      </c>
      <c r="J125" s="279">
        <v>13352487</v>
      </c>
      <c r="K125" s="279">
        <v>8629000</v>
      </c>
      <c r="L125" s="280">
        <v>-172568.55</v>
      </c>
      <c r="M125" s="369">
        <v>4566391.7359287022</v>
      </c>
      <c r="N125" s="370">
        <v>53.187254509681466</v>
      </c>
      <c r="P125" s="365">
        <v>219716998</v>
      </c>
      <c r="Q125" s="283">
        <v>126215620</v>
      </c>
      <c r="R125" s="279">
        <v>28811943.728999998</v>
      </c>
      <c r="S125" s="279">
        <v>11054904.39363876</v>
      </c>
      <c r="T125" s="280">
        <v>28280407.706372876</v>
      </c>
      <c r="U125" s="280">
        <v>2614589.0819810014</v>
      </c>
      <c r="V125" s="279">
        <v>13352487</v>
      </c>
      <c r="W125" s="279">
        <v>8629000</v>
      </c>
      <c r="X125" s="279">
        <v>1094407.7910427931</v>
      </c>
      <c r="Y125" s="354">
        <v>336361.7020354569</v>
      </c>
      <c r="Z125" s="355">
        <v>3.9177881548594362</v>
      </c>
      <c r="AB125" s="366">
        <v>-4230030.0338932453</v>
      </c>
      <c r="AC125" s="349">
        <v>-49.269466354822029</v>
      </c>
      <c r="AE125" s="374">
        <v>53.713728415999363</v>
      </c>
      <c r="AF125" s="350">
        <v>24.269466354822029</v>
      </c>
      <c r="AG125" s="350">
        <v>0</v>
      </c>
      <c r="AH125" s="350">
        <v>0</v>
      </c>
      <c r="AI125" s="350">
        <v>0</v>
      </c>
      <c r="AJ125" s="408">
        <v>-21018</v>
      </c>
      <c r="AK125" s="387">
        <v>-493339</v>
      </c>
      <c r="AL125" s="287">
        <v>-1087</v>
      </c>
      <c r="AM125" s="287">
        <v>-19931</v>
      </c>
      <c r="AN125" s="287">
        <v>-199786</v>
      </c>
      <c r="AO125" s="287">
        <v>-293553</v>
      </c>
      <c r="AP125" s="287">
        <v>294926</v>
      </c>
      <c r="AQ125" s="287">
        <v>168710</v>
      </c>
      <c r="AR125" s="287">
        <v>126216</v>
      </c>
      <c r="AS125" s="287">
        <v>17069</v>
      </c>
      <c r="AT125" s="287">
        <v>6014</v>
      </c>
      <c r="AU125" s="287">
        <v>11055</v>
      </c>
      <c r="AV125" s="353">
        <f t="shared" si="17"/>
        <v>169142.81148692867</v>
      </c>
      <c r="AW125" s="353">
        <f t="shared" si="18"/>
        <v>120283.73554541916</v>
      </c>
      <c r="AX125" s="353">
        <f t="shared" si="19"/>
        <v>48859.075941509502</v>
      </c>
      <c r="AY125" s="390">
        <v>4611592</v>
      </c>
      <c r="AZ125" s="390">
        <v>4611592</v>
      </c>
      <c r="BA125" s="401">
        <f t="shared" si="20"/>
        <v>28811.943728999999</v>
      </c>
      <c r="BB125" s="401">
        <v>-46468</v>
      </c>
      <c r="BC125" s="401">
        <v>1700</v>
      </c>
      <c r="BD125" s="401">
        <v>1100</v>
      </c>
      <c r="BE125" s="401">
        <v>-30009</v>
      </c>
      <c r="BG125" s="426">
        <f t="shared" si="21"/>
        <v>0.56853018601243532</v>
      </c>
      <c r="BH125" s="426">
        <f t="shared" si="22"/>
        <v>3.2904039197798426E-2</v>
      </c>
      <c r="BI125" s="426">
        <f t="shared" si="23"/>
        <v>5.5541008209009299E-2</v>
      </c>
      <c r="BJ125" s="426">
        <f t="shared" si="24"/>
        <v>0.32639057610949235</v>
      </c>
      <c r="BK125" s="426">
        <f t="shared" si="25"/>
        <v>1.6634190471264517E-2</v>
      </c>
      <c r="BL125" s="425">
        <f t="shared" si="26"/>
        <v>518750823.1859287</v>
      </c>
      <c r="BN125" s="423">
        <f t="shared" si="27"/>
        <v>0.56454494275321621</v>
      </c>
      <c r="BO125" s="423">
        <f t="shared" si="28"/>
        <v>4.944705233828485E-2</v>
      </c>
      <c r="BP125" s="423">
        <f t="shared" si="29"/>
        <v>0.12887182365460942</v>
      </c>
      <c r="BQ125" s="423">
        <f t="shared" si="30"/>
        <v>0.1979128510581345</v>
      </c>
      <c r="BR125" s="423">
        <f t="shared" si="31"/>
        <v>3.859631883135782E-2</v>
      </c>
      <c r="BS125" s="423">
        <f t="shared" si="32"/>
        <v>2.0627011364397083E-2</v>
      </c>
      <c r="BT125" s="425">
        <f t="shared" si="33"/>
        <v>223570544.06414828</v>
      </c>
    </row>
    <row r="126" spans="1:72" x14ac:dyDescent="0.2">
      <c r="A126" s="309">
        <v>287</v>
      </c>
      <c r="B126" s="278" t="s">
        <v>265</v>
      </c>
      <c r="C126" s="278">
        <v>15</v>
      </c>
      <c r="D126" s="279">
        <v>6793</v>
      </c>
      <c r="E126" s="364">
        <v>42211000</v>
      </c>
      <c r="F126" s="279">
        <v>20603883</v>
      </c>
      <c r="G126" s="278">
        <v>1321372.9849999999</v>
      </c>
      <c r="H126" s="279">
        <v>2126570.6340999999</v>
      </c>
      <c r="I126" s="279">
        <v>20168097.014221977</v>
      </c>
      <c r="J126" s="279">
        <v>675144</v>
      </c>
      <c r="K126" s="279">
        <v>-563000</v>
      </c>
      <c r="L126" s="280">
        <v>-13653.929999999998</v>
      </c>
      <c r="M126" s="369">
        <v>2134721.5633219783</v>
      </c>
      <c r="N126" s="370">
        <v>314.25313754187817</v>
      </c>
      <c r="P126" s="365">
        <v>16672813.67962857</v>
      </c>
      <c r="Q126" s="283">
        <v>9518189</v>
      </c>
      <c r="R126" s="279">
        <v>2126570.6340999999</v>
      </c>
      <c r="S126" s="279">
        <v>855800.23583553056</v>
      </c>
      <c r="T126" s="280">
        <v>4421806.7724455912</v>
      </c>
      <c r="U126" s="280">
        <v>1196070.3691257348</v>
      </c>
      <c r="V126" s="279">
        <v>675144</v>
      </c>
      <c r="W126" s="279">
        <v>-563000</v>
      </c>
      <c r="X126" s="279">
        <v>82899.202080325413</v>
      </c>
      <c r="Y126" s="354">
        <v>1640666.5339586101</v>
      </c>
      <c r="Z126" s="355">
        <v>241.52311702614605</v>
      </c>
      <c r="AB126" s="366">
        <v>-494055.02936336817</v>
      </c>
      <c r="AC126" s="349">
        <v>-72.730020515732107</v>
      </c>
      <c r="AE126" s="374">
        <v>77.174282576909434</v>
      </c>
      <c r="AF126" s="350">
        <v>47.730020515732122</v>
      </c>
      <c r="AG126" s="350">
        <v>22.730020515732122</v>
      </c>
      <c r="AH126" s="350">
        <v>0</v>
      </c>
      <c r="AI126" s="350">
        <v>0</v>
      </c>
      <c r="AJ126" s="408">
        <v>-2200</v>
      </c>
      <c r="AK126" s="387">
        <v>-40011</v>
      </c>
      <c r="AL126" s="287">
        <v>-127</v>
      </c>
      <c r="AM126" s="287">
        <v>-2073</v>
      </c>
      <c r="AN126" s="287">
        <v>-14600</v>
      </c>
      <c r="AO126" s="287">
        <v>-25411</v>
      </c>
      <c r="AP126" s="287">
        <v>20604</v>
      </c>
      <c r="AQ126" s="287">
        <v>11086</v>
      </c>
      <c r="AR126" s="287">
        <v>9518</v>
      </c>
      <c r="AS126" s="287">
        <v>1321</v>
      </c>
      <c r="AT126" s="287">
        <v>465</v>
      </c>
      <c r="AU126" s="287">
        <v>856</v>
      </c>
      <c r="AV126" s="353">
        <f t="shared" si="17"/>
        <v>20829.587084221977</v>
      </c>
      <c r="AW126" s="353">
        <f t="shared" si="18"/>
        <v>14012.321041105706</v>
      </c>
      <c r="AX126" s="353">
        <f t="shared" si="19"/>
        <v>6817.2660431162712</v>
      </c>
      <c r="AY126" s="390">
        <v>524245</v>
      </c>
      <c r="AZ126" s="390">
        <v>524245</v>
      </c>
      <c r="BA126" s="401">
        <f t="shared" si="20"/>
        <v>2126.5706341</v>
      </c>
      <c r="BB126" s="401">
        <v>-12273</v>
      </c>
      <c r="BC126" s="401">
        <v>1996</v>
      </c>
      <c r="BD126" s="401">
        <v>0</v>
      </c>
      <c r="BE126" s="401">
        <v>7695</v>
      </c>
      <c r="BG126" s="426">
        <f t="shared" si="21"/>
        <v>0.46476250939654334</v>
      </c>
      <c r="BH126" s="426">
        <f t="shared" si="22"/>
        <v>2.9806256634120905E-2</v>
      </c>
      <c r="BI126" s="426">
        <f t="shared" si="23"/>
        <v>4.7969128164497651E-2</v>
      </c>
      <c r="BJ126" s="426">
        <f t="shared" si="24"/>
        <v>0.47016171649425298</v>
      </c>
      <c r="BK126" s="426">
        <f t="shared" si="25"/>
        <v>-1.2699610689414898E-2</v>
      </c>
      <c r="BL126" s="425">
        <f t="shared" si="26"/>
        <v>44332067.633321978</v>
      </c>
      <c r="BN126" s="423">
        <f t="shared" si="27"/>
        <v>0.50750612371059811</v>
      </c>
      <c r="BO126" s="423">
        <f t="shared" si="28"/>
        <v>4.5630934661993562E-2</v>
      </c>
      <c r="BP126" s="423">
        <f t="shared" si="29"/>
        <v>0.11338791647327866</v>
      </c>
      <c r="BQ126" s="423">
        <f t="shared" si="30"/>
        <v>0.33554143188244184</v>
      </c>
      <c r="BR126" s="423">
        <f t="shared" si="31"/>
        <v>-3.0018940330882982E-2</v>
      </c>
      <c r="BS126" s="423">
        <f t="shared" si="32"/>
        <v>2.7952533602570783E-2</v>
      </c>
      <c r="BT126" s="425">
        <f t="shared" si="33"/>
        <v>18754825.913051803</v>
      </c>
    </row>
    <row r="127" spans="1:72" x14ac:dyDescent="0.2">
      <c r="A127" s="309">
        <v>288</v>
      </c>
      <c r="B127" s="278" t="s">
        <v>266</v>
      </c>
      <c r="C127" s="278">
        <v>15</v>
      </c>
      <c r="D127" s="279">
        <v>6682</v>
      </c>
      <c r="E127" s="364">
        <v>39389000</v>
      </c>
      <c r="F127" s="279">
        <v>19114429</v>
      </c>
      <c r="G127" s="278">
        <v>2057482.4</v>
      </c>
      <c r="H127" s="279">
        <v>1597226.5304999999</v>
      </c>
      <c r="I127" s="279">
        <v>16637489.153206088</v>
      </c>
      <c r="J127" s="279">
        <v>-46901</v>
      </c>
      <c r="K127" s="279">
        <v>-346000</v>
      </c>
      <c r="L127" s="280">
        <v>-13430.819999999998</v>
      </c>
      <c r="M127" s="369">
        <v>-361843.09629391908</v>
      </c>
      <c r="N127" s="370">
        <v>-54.15191503949702</v>
      </c>
      <c r="P127" s="365">
        <v>15903969.33924612</v>
      </c>
      <c r="Q127" s="283">
        <v>8654934</v>
      </c>
      <c r="R127" s="279">
        <v>1597226.5304999999</v>
      </c>
      <c r="S127" s="279">
        <v>1332548.752801582</v>
      </c>
      <c r="T127" s="280">
        <v>6850541.1558421105</v>
      </c>
      <c r="U127" s="280">
        <v>-1137398.8582349911</v>
      </c>
      <c r="V127" s="279">
        <v>-46901</v>
      </c>
      <c r="W127" s="279">
        <v>-346000</v>
      </c>
      <c r="X127" s="279">
        <v>81260.231020052932</v>
      </c>
      <c r="Y127" s="354">
        <v>1082241.4726826362</v>
      </c>
      <c r="Z127" s="355">
        <v>161.96370438231611</v>
      </c>
      <c r="AB127" s="366">
        <v>1444084.5689765553</v>
      </c>
      <c r="AC127" s="349">
        <v>216.11561942181311</v>
      </c>
      <c r="AE127" s="374">
        <v>-211.67135736063469</v>
      </c>
      <c r="AF127" s="350">
        <v>-191.11561942181203</v>
      </c>
      <c r="AG127" s="350">
        <v>-166.11561942181203</v>
      </c>
      <c r="AH127" s="350">
        <v>-141.11561942181203</v>
      </c>
      <c r="AI127" s="350">
        <v>-116.11561942181203</v>
      </c>
      <c r="AJ127" s="408">
        <v>-1250</v>
      </c>
      <c r="AK127" s="387">
        <v>-38139</v>
      </c>
      <c r="AL127" s="287">
        <v>-272</v>
      </c>
      <c r="AM127" s="287">
        <v>-978</v>
      </c>
      <c r="AN127" s="287">
        <v>-14926</v>
      </c>
      <c r="AO127" s="287">
        <v>-23213</v>
      </c>
      <c r="AP127" s="287">
        <v>19114</v>
      </c>
      <c r="AQ127" s="287">
        <v>10459</v>
      </c>
      <c r="AR127" s="287">
        <v>8655</v>
      </c>
      <c r="AS127" s="287">
        <v>2057</v>
      </c>
      <c r="AT127" s="287">
        <v>724</v>
      </c>
      <c r="AU127" s="287">
        <v>1333</v>
      </c>
      <c r="AV127" s="353">
        <f t="shared" si="17"/>
        <v>16577.157333206087</v>
      </c>
      <c r="AW127" s="353">
        <f t="shared" si="18"/>
        <v>12325.304045482728</v>
      </c>
      <c r="AX127" s="353">
        <f t="shared" si="19"/>
        <v>4251.8532877233592</v>
      </c>
      <c r="AY127" s="390">
        <v>1414388</v>
      </c>
      <c r="AZ127" s="390">
        <v>-1414388</v>
      </c>
      <c r="BA127" s="401">
        <f t="shared" si="20"/>
        <v>1597.2265304999999</v>
      </c>
      <c r="BB127" s="401">
        <v>-2050</v>
      </c>
      <c r="BC127" s="401">
        <v>0</v>
      </c>
      <c r="BD127" s="401">
        <v>70</v>
      </c>
      <c r="BE127" s="401">
        <v>-755</v>
      </c>
      <c r="BG127" s="426">
        <f t="shared" si="21"/>
        <v>0.48994112889881236</v>
      </c>
      <c r="BH127" s="426">
        <f t="shared" si="22"/>
        <v>5.2737398001553581E-2</v>
      </c>
      <c r="BI127" s="426">
        <f t="shared" si="23"/>
        <v>4.0940117513335254E-2</v>
      </c>
      <c r="BJ127" s="426">
        <f t="shared" si="24"/>
        <v>0.42525002912077853</v>
      </c>
      <c r="BK127" s="426">
        <f t="shared" si="25"/>
        <v>-8.8686735344795861E-3</v>
      </c>
      <c r="BL127" s="425">
        <f t="shared" si="26"/>
        <v>39013726.083706081</v>
      </c>
      <c r="BN127" s="423">
        <f t="shared" si="27"/>
        <v>0.55872302637923765</v>
      </c>
      <c r="BO127" s="423">
        <f t="shared" si="28"/>
        <v>8.6023263951311296E-2</v>
      </c>
      <c r="BP127" s="423">
        <f t="shared" si="29"/>
        <v>0.1031096529371766</v>
      </c>
      <c r="BQ127" s="423">
        <f t="shared" si="30"/>
        <v>0.36578666989188685</v>
      </c>
      <c r="BR127" s="423">
        <f t="shared" si="31"/>
        <v>-2.2336180394583738E-2</v>
      </c>
      <c r="BS127" s="423">
        <f t="shared" si="32"/>
        <v>-9.1306432765028825E-2</v>
      </c>
      <c r="BT127" s="425">
        <f t="shared" si="33"/>
        <v>15490562.571024943</v>
      </c>
    </row>
    <row r="128" spans="1:72" x14ac:dyDescent="0.2">
      <c r="A128" s="309">
        <v>290</v>
      </c>
      <c r="B128" s="278" t="s">
        <v>75</v>
      </c>
      <c r="C128" s="278">
        <v>18</v>
      </c>
      <c r="D128" s="279">
        <v>8806</v>
      </c>
      <c r="E128" s="364">
        <v>62522000</v>
      </c>
      <c r="F128" s="279">
        <v>24385429</v>
      </c>
      <c r="G128" s="278">
        <v>2632921.7599999998</v>
      </c>
      <c r="H128" s="279">
        <v>2161474.8200000003</v>
      </c>
      <c r="I128" s="279">
        <v>32683079.399847936</v>
      </c>
      <c r="J128" s="279">
        <v>-478096</v>
      </c>
      <c r="K128" s="279">
        <v>543000</v>
      </c>
      <c r="L128" s="280">
        <v>-17700.059999999998</v>
      </c>
      <c r="M128" s="369">
        <v>-576490.96015206212</v>
      </c>
      <c r="N128" s="370">
        <v>-65.465700675909844</v>
      </c>
      <c r="P128" s="365">
        <v>24798785.75</v>
      </c>
      <c r="Q128" s="283">
        <v>11288534</v>
      </c>
      <c r="R128" s="279">
        <v>2161474.8200000003</v>
      </c>
      <c r="S128" s="279">
        <v>1705237.7252471983</v>
      </c>
      <c r="T128" s="280">
        <v>9018348.369292276</v>
      </c>
      <c r="U128" s="280">
        <v>482312.62904792716</v>
      </c>
      <c r="V128" s="279">
        <v>-478096</v>
      </c>
      <c r="W128" s="279">
        <v>543000</v>
      </c>
      <c r="X128" s="279">
        <v>107554.04799673184</v>
      </c>
      <c r="Y128" s="354">
        <v>29579.841584134847</v>
      </c>
      <c r="Z128" s="355">
        <v>3.3590553695360943</v>
      </c>
      <c r="AB128" s="366">
        <v>606070.80173619697</v>
      </c>
      <c r="AC128" s="349">
        <v>68.824756045445938</v>
      </c>
      <c r="AE128" s="374">
        <v>-64.380493984269464</v>
      </c>
      <c r="AF128" s="350">
        <v>-43.82475604544679</v>
      </c>
      <c r="AG128" s="350">
        <v>-18.82475604544679</v>
      </c>
      <c r="AH128" s="350">
        <v>0</v>
      </c>
      <c r="AI128" s="350">
        <v>0</v>
      </c>
      <c r="AJ128" s="408">
        <v>-2099</v>
      </c>
      <c r="AK128" s="387">
        <v>-60423</v>
      </c>
      <c r="AL128" s="287">
        <v>0</v>
      </c>
      <c r="AM128" s="287">
        <v>-2099</v>
      </c>
      <c r="AN128" s="287">
        <v>-22700</v>
      </c>
      <c r="AO128" s="287">
        <v>-37723</v>
      </c>
      <c r="AP128" s="287">
        <v>24385</v>
      </c>
      <c r="AQ128" s="287">
        <v>13096</v>
      </c>
      <c r="AR128" s="287">
        <v>11289</v>
      </c>
      <c r="AS128" s="287">
        <v>2633</v>
      </c>
      <c r="AT128" s="287">
        <v>928</v>
      </c>
      <c r="AU128" s="287">
        <v>1705</v>
      </c>
      <c r="AV128" s="353">
        <f t="shared" si="17"/>
        <v>32187.283339847938</v>
      </c>
      <c r="AW128" s="353">
        <f t="shared" si="18"/>
        <v>23731.652971533211</v>
      </c>
      <c r="AX128" s="353">
        <f t="shared" si="19"/>
        <v>8455.6303683147271</v>
      </c>
      <c r="AY128" s="390">
        <v>566935</v>
      </c>
      <c r="AZ128" s="390">
        <v>-566935</v>
      </c>
      <c r="BA128" s="401">
        <f t="shared" si="20"/>
        <v>2161.4748200000004</v>
      </c>
      <c r="BB128" s="401">
        <v>-13976</v>
      </c>
      <c r="BC128" s="401">
        <v>350</v>
      </c>
      <c r="BD128" s="401">
        <v>0</v>
      </c>
      <c r="BE128" s="401">
        <v>-12120</v>
      </c>
      <c r="BG128" s="426">
        <f t="shared" si="21"/>
        <v>0.3937718676263085</v>
      </c>
      <c r="BH128" s="426">
        <f t="shared" si="22"/>
        <v>4.2515984391709782E-2</v>
      </c>
      <c r="BI128" s="426">
        <f t="shared" si="23"/>
        <v>3.4903137307883289E-2</v>
      </c>
      <c r="BJ128" s="426">
        <f t="shared" si="24"/>
        <v>0.52004073663138684</v>
      </c>
      <c r="BK128" s="426">
        <f t="shared" si="25"/>
        <v>8.7682740427115508E-3</v>
      </c>
      <c r="BL128" s="425">
        <f t="shared" si="26"/>
        <v>61927808.979847938</v>
      </c>
      <c r="BN128" s="423">
        <f t="shared" si="27"/>
        <v>0.4673590927202958</v>
      </c>
      <c r="BO128" s="423">
        <f t="shared" si="28"/>
        <v>7.0598924195466983E-2</v>
      </c>
      <c r="BP128" s="423">
        <f t="shared" si="29"/>
        <v>8.9487697057294133E-2</v>
      </c>
      <c r="BQ128" s="423">
        <f t="shared" si="30"/>
        <v>0.3735452089380405</v>
      </c>
      <c r="BR128" s="423">
        <f t="shared" si="31"/>
        <v>2.2480863090559022E-2</v>
      </c>
      <c r="BS128" s="423">
        <f t="shared" si="32"/>
        <v>-2.3471786001656499E-2</v>
      </c>
      <c r="BT128" s="425">
        <f t="shared" si="33"/>
        <v>24153876.913561925</v>
      </c>
    </row>
    <row r="129" spans="1:72" x14ac:dyDescent="0.2">
      <c r="A129" s="309">
        <v>291</v>
      </c>
      <c r="B129" s="278" t="s">
        <v>76</v>
      </c>
      <c r="C129" s="278">
        <v>13</v>
      </c>
      <c r="D129" s="279">
        <v>2334</v>
      </c>
      <c r="E129" s="364">
        <v>16892000</v>
      </c>
      <c r="F129" s="279">
        <v>6154665</v>
      </c>
      <c r="G129" s="278">
        <v>829844.89</v>
      </c>
      <c r="H129" s="279">
        <v>1359757.2009999999</v>
      </c>
      <c r="I129" s="279">
        <v>9382361.0422197487</v>
      </c>
      <c r="J129" s="279">
        <v>-197990</v>
      </c>
      <c r="K129" s="279">
        <v>63000</v>
      </c>
      <c r="L129" s="280">
        <v>289714.54662265431</v>
      </c>
      <c r="M129" s="369">
        <v>409923.58659709443</v>
      </c>
      <c r="N129" s="370">
        <v>175.63135672540463</v>
      </c>
      <c r="P129" s="365">
        <v>6772101.7095864657</v>
      </c>
      <c r="Q129" s="283">
        <v>2707065</v>
      </c>
      <c r="R129" s="279">
        <v>1359757.2009999999</v>
      </c>
      <c r="S129" s="279">
        <v>537457.22111074487</v>
      </c>
      <c r="T129" s="280">
        <v>562146.996332829</v>
      </c>
      <c r="U129" s="280">
        <v>991253.9144219493</v>
      </c>
      <c r="V129" s="279">
        <v>-197990</v>
      </c>
      <c r="W129" s="279">
        <v>63000</v>
      </c>
      <c r="X129" s="279">
        <v>28244.533099362354</v>
      </c>
      <c r="Y129" s="354">
        <v>-721166.84362157993</v>
      </c>
      <c r="Z129" s="355">
        <v>-308.98322348825189</v>
      </c>
      <c r="AB129" s="366">
        <v>-1131090.4302186742</v>
      </c>
      <c r="AC129" s="349">
        <v>-484.6145802136565</v>
      </c>
      <c r="AE129" s="374">
        <v>489.05884227483386</v>
      </c>
      <c r="AF129" s="350">
        <v>459.6145802136565</v>
      </c>
      <c r="AG129" s="350">
        <v>434.6145802136565</v>
      </c>
      <c r="AH129" s="350">
        <v>409.6145802136565</v>
      </c>
      <c r="AI129" s="350">
        <v>384.6145802136565</v>
      </c>
      <c r="AJ129" s="408">
        <v>-1128</v>
      </c>
      <c r="AK129" s="387">
        <v>-15764</v>
      </c>
      <c r="AL129" s="287">
        <v>-12</v>
      </c>
      <c r="AM129" s="287">
        <v>-1116</v>
      </c>
      <c r="AN129" s="287">
        <v>-5656</v>
      </c>
      <c r="AO129" s="287">
        <v>-10108</v>
      </c>
      <c r="AP129" s="287">
        <v>6155</v>
      </c>
      <c r="AQ129" s="287">
        <v>3448</v>
      </c>
      <c r="AR129" s="287">
        <v>2707</v>
      </c>
      <c r="AS129" s="287">
        <v>830</v>
      </c>
      <c r="AT129" s="287">
        <v>293</v>
      </c>
      <c r="AU129" s="287">
        <v>537</v>
      </c>
      <c r="AV129" s="353">
        <f t="shared" si="17"/>
        <v>9474.085588842403</v>
      </c>
      <c r="AW129" s="353">
        <f t="shared" si="18"/>
        <v>6977.2113402181621</v>
      </c>
      <c r="AX129" s="353">
        <f t="shared" si="19"/>
        <v>2496.8742486242409</v>
      </c>
      <c r="AY129" s="390">
        <v>1141463</v>
      </c>
      <c r="AZ129" s="390">
        <v>1141463</v>
      </c>
      <c r="BA129" s="401">
        <f t="shared" si="20"/>
        <v>1359.7572009999999</v>
      </c>
      <c r="BB129" s="401">
        <v>-1618</v>
      </c>
      <c r="BC129" s="401">
        <v>0</v>
      </c>
      <c r="BD129" s="401">
        <v>0</v>
      </c>
      <c r="BE129" s="401">
        <v>-16</v>
      </c>
      <c r="BG129" s="426">
        <f t="shared" si="21"/>
        <v>0.34986309708006302</v>
      </c>
      <c r="BH129" s="426">
        <f t="shared" si="22"/>
        <v>4.7172689872066839E-2</v>
      </c>
      <c r="BI129" s="426">
        <f t="shared" si="23"/>
        <v>7.7295655509890107E-2</v>
      </c>
      <c r="BJ129" s="426">
        <f t="shared" si="24"/>
        <v>0.5220873106112921</v>
      </c>
      <c r="BK129" s="426">
        <f t="shared" si="25"/>
        <v>3.5812469266879631E-3</v>
      </c>
      <c r="BL129" s="425">
        <f t="shared" si="26"/>
        <v>17591638.133219749</v>
      </c>
      <c r="BN129" s="423">
        <f t="shared" si="27"/>
        <v>0.37786249770969477</v>
      </c>
      <c r="BO129" s="423">
        <f t="shared" si="28"/>
        <v>7.5020336778399394E-2</v>
      </c>
      <c r="BP129" s="423">
        <f t="shared" si="29"/>
        <v>0.18980011645402067</v>
      </c>
      <c r="BQ129" s="423">
        <f t="shared" si="30"/>
        <v>0.18919344462019669</v>
      </c>
      <c r="BR129" s="423">
        <f t="shared" si="31"/>
        <v>8.7937812190363989E-3</v>
      </c>
      <c r="BS129" s="423">
        <f t="shared" si="32"/>
        <v>0.15932982321865202</v>
      </c>
      <c r="BT129" s="425">
        <f t="shared" si="33"/>
        <v>7164153.6707349857</v>
      </c>
    </row>
    <row r="130" spans="1:72" x14ac:dyDescent="0.2">
      <c r="A130" s="309">
        <v>271</v>
      </c>
      <c r="B130" s="278" t="s">
        <v>263</v>
      </c>
      <c r="C130" s="278">
        <v>4</v>
      </c>
      <c r="D130" s="279">
        <v>7591</v>
      </c>
      <c r="E130" s="364">
        <v>44227000</v>
      </c>
      <c r="F130" s="279">
        <v>23460243</v>
      </c>
      <c r="G130" s="278">
        <v>1331352.1950000001</v>
      </c>
      <c r="H130" s="279">
        <v>2404039.1591000003</v>
      </c>
      <c r="I130" s="279">
        <v>18554350.892216597</v>
      </c>
      <c r="J130" s="279">
        <v>-462470</v>
      </c>
      <c r="K130" s="279">
        <v>60000</v>
      </c>
      <c r="L130" s="280">
        <v>-15257.909999999998</v>
      </c>
      <c r="M130" s="369">
        <v>1135773.1563165968</v>
      </c>
      <c r="N130" s="370">
        <v>149.62101914327451</v>
      </c>
      <c r="P130" s="365">
        <v>16878980.227906976</v>
      </c>
      <c r="Q130" s="283">
        <v>10924389</v>
      </c>
      <c r="R130" s="279">
        <v>2404039.1591000003</v>
      </c>
      <c r="S130" s="279">
        <v>862263.3695369151</v>
      </c>
      <c r="T130" s="280">
        <v>3918591.3717961074</v>
      </c>
      <c r="U130" s="280">
        <v>137634.95089047487</v>
      </c>
      <c r="V130" s="279">
        <v>-462470</v>
      </c>
      <c r="W130" s="279">
        <v>60000</v>
      </c>
      <c r="X130" s="279">
        <v>93740.753050879444</v>
      </c>
      <c r="Y130" s="354">
        <v>1059208.3764673993</v>
      </c>
      <c r="Z130" s="355">
        <v>139.53476175304957</v>
      </c>
      <c r="AB130" s="366">
        <v>-76564.779849197483</v>
      </c>
      <c r="AC130" s="349">
        <v>-10.086257390224935</v>
      </c>
      <c r="AE130" s="374">
        <v>14.530519451403251</v>
      </c>
      <c r="AF130" s="350">
        <v>0</v>
      </c>
      <c r="AG130" s="350">
        <v>0</v>
      </c>
      <c r="AH130" s="350">
        <v>0</v>
      </c>
      <c r="AI130" s="350">
        <v>0</v>
      </c>
      <c r="AJ130" s="408">
        <v>-1750</v>
      </c>
      <c r="AK130" s="387">
        <v>-42477</v>
      </c>
      <c r="AL130" s="287">
        <v>-99</v>
      </c>
      <c r="AM130" s="287">
        <v>-1651</v>
      </c>
      <c r="AN130" s="287">
        <v>-15228</v>
      </c>
      <c r="AO130" s="287">
        <v>-27249</v>
      </c>
      <c r="AP130" s="287">
        <v>23460</v>
      </c>
      <c r="AQ130" s="287">
        <v>12536</v>
      </c>
      <c r="AR130" s="287">
        <v>10924</v>
      </c>
      <c r="AS130" s="287">
        <v>1331</v>
      </c>
      <c r="AT130" s="287">
        <v>469</v>
      </c>
      <c r="AU130" s="287">
        <v>862</v>
      </c>
      <c r="AV130" s="353">
        <f t="shared" si="17"/>
        <v>18076.622982216599</v>
      </c>
      <c r="AW130" s="353">
        <f t="shared" si="18"/>
        <v>14372.565486374415</v>
      </c>
      <c r="AX130" s="353">
        <f t="shared" si="19"/>
        <v>3704.0574958421844</v>
      </c>
      <c r="AY130" s="390">
        <v>110301</v>
      </c>
      <c r="AZ130" s="390">
        <v>110301</v>
      </c>
      <c r="BA130" s="401">
        <f t="shared" si="20"/>
        <v>2404.0391591000002</v>
      </c>
      <c r="BB130" s="401">
        <v>-2371</v>
      </c>
      <c r="BC130" s="401">
        <v>0</v>
      </c>
      <c r="BD130" s="401">
        <v>10</v>
      </c>
      <c r="BE130" s="401">
        <v>-382</v>
      </c>
      <c r="BG130" s="426">
        <f t="shared" si="21"/>
        <v>0.51734351645442322</v>
      </c>
      <c r="BH130" s="426">
        <f t="shared" si="22"/>
        <v>2.935887860158205E-2</v>
      </c>
      <c r="BI130" s="426">
        <f t="shared" si="23"/>
        <v>5.3013690960614895E-2</v>
      </c>
      <c r="BJ130" s="426">
        <f t="shared" si="24"/>
        <v>0.39896079849019139</v>
      </c>
      <c r="BK130" s="426">
        <f t="shared" si="25"/>
        <v>1.3231154931884293E-3</v>
      </c>
      <c r="BL130" s="425">
        <f t="shared" si="26"/>
        <v>45347515.246316597</v>
      </c>
      <c r="BN130" s="423">
        <f t="shared" si="27"/>
        <v>0.60844008374084957</v>
      </c>
      <c r="BO130" s="423">
        <f t="shared" si="28"/>
        <v>4.8024250762922098E-2</v>
      </c>
      <c r="BP130" s="423">
        <f t="shared" si="29"/>
        <v>0.13389433379560961</v>
      </c>
      <c r="BQ130" s="423">
        <f t="shared" si="30"/>
        <v>0.20015631061102199</v>
      </c>
      <c r="BR130" s="423">
        <f t="shared" si="31"/>
        <v>3.3417342630742072E-3</v>
      </c>
      <c r="BS130" s="423">
        <f t="shared" si="32"/>
        <v>6.1432868265226077E-3</v>
      </c>
      <c r="BT130" s="425">
        <f t="shared" si="33"/>
        <v>17954749.024479099</v>
      </c>
    </row>
    <row r="131" spans="1:72" x14ac:dyDescent="0.2">
      <c r="A131" s="309">
        <v>297</v>
      </c>
      <c r="B131" s="278" t="s">
        <v>77</v>
      </c>
      <c r="C131" s="278">
        <v>11</v>
      </c>
      <c r="D131" s="279">
        <v>116921</v>
      </c>
      <c r="E131" s="364">
        <v>648954000</v>
      </c>
      <c r="F131" s="279">
        <v>379480983</v>
      </c>
      <c r="G131" s="278">
        <v>21306685.484999999</v>
      </c>
      <c r="H131" s="279">
        <v>38374183.976800002</v>
      </c>
      <c r="I131" s="279">
        <v>201093246.71656924</v>
      </c>
      <c r="J131" s="279">
        <v>-3328558</v>
      </c>
      <c r="K131" s="279">
        <v>6582000</v>
      </c>
      <c r="L131" s="280">
        <v>-479562.96416478144</v>
      </c>
      <c r="M131" s="369">
        <v>-4965895.8574659349</v>
      </c>
      <c r="N131" s="370">
        <v>-42.472232169293243</v>
      </c>
      <c r="P131" s="365">
        <v>257685984.15242732</v>
      </c>
      <c r="Q131" s="283">
        <v>160157623</v>
      </c>
      <c r="R131" s="279">
        <v>38374183.976800002</v>
      </c>
      <c r="S131" s="279">
        <v>13799484.831254121</v>
      </c>
      <c r="T131" s="280">
        <v>42073927.009443514</v>
      </c>
      <c r="U131" s="280">
        <v>-5948190.9426936172</v>
      </c>
      <c r="V131" s="279">
        <v>-3328558</v>
      </c>
      <c r="W131" s="279">
        <v>6582000</v>
      </c>
      <c r="X131" s="279">
        <v>1455188.5265389103</v>
      </c>
      <c r="Y131" s="354">
        <v>-4520325.7510843873</v>
      </c>
      <c r="Z131" s="355">
        <v>-38.661367513828885</v>
      </c>
      <c r="AB131" s="366">
        <v>445570.10638154764</v>
      </c>
      <c r="AC131" s="349">
        <v>3.810864655464353</v>
      </c>
      <c r="AE131" s="374">
        <v>0.63339740571297654</v>
      </c>
      <c r="AF131" s="350">
        <v>0</v>
      </c>
      <c r="AG131" s="350">
        <v>0</v>
      </c>
      <c r="AH131" s="350">
        <v>0</v>
      </c>
      <c r="AI131" s="350">
        <v>0</v>
      </c>
      <c r="AJ131" s="408">
        <v>-48788</v>
      </c>
      <c r="AK131" s="387">
        <v>-600166</v>
      </c>
      <c r="AL131" s="287">
        <v>-1548</v>
      </c>
      <c r="AM131" s="287">
        <v>-47240</v>
      </c>
      <c r="AN131" s="287">
        <v>-210446</v>
      </c>
      <c r="AO131" s="287">
        <v>-389720</v>
      </c>
      <c r="AP131" s="287">
        <v>379481</v>
      </c>
      <c r="AQ131" s="287">
        <v>219323</v>
      </c>
      <c r="AR131" s="287">
        <v>160158</v>
      </c>
      <c r="AS131" s="287">
        <v>21307</v>
      </c>
      <c r="AT131" s="287">
        <v>7508</v>
      </c>
      <c r="AU131" s="287">
        <v>13799</v>
      </c>
      <c r="AV131" s="353">
        <f t="shared" si="17"/>
        <v>197285.12575240445</v>
      </c>
      <c r="AW131" s="353">
        <f t="shared" si="18"/>
        <v>164413.89022758117</v>
      </c>
      <c r="AX131" s="353">
        <f t="shared" si="19"/>
        <v>32871.235524823271</v>
      </c>
      <c r="AY131" s="390">
        <v>74057</v>
      </c>
      <c r="AZ131" s="390">
        <v>74057</v>
      </c>
      <c r="BA131" s="401">
        <f t="shared" si="20"/>
        <v>38374.183976800006</v>
      </c>
      <c r="BB131" s="401">
        <v>-64783</v>
      </c>
      <c r="BC131" s="401">
        <v>1477</v>
      </c>
      <c r="BD131" s="401">
        <v>12253</v>
      </c>
      <c r="BE131" s="401">
        <v>-18157</v>
      </c>
      <c r="BG131" s="426">
        <f t="shared" si="21"/>
        <v>0.58970621012288094</v>
      </c>
      <c r="BH131" s="426">
        <f t="shared" si="22"/>
        <v>3.3110182882707319E-2</v>
      </c>
      <c r="BI131" s="426">
        <f t="shared" si="23"/>
        <v>5.9632750027731725E-2</v>
      </c>
      <c r="BJ131" s="426">
        <f t="shared" si="24"/>
        <v>0.30732255449854601</v>
      </c>
      <c r="BK131" s="426">
        <f t="shared" si="25"/>
        <v>1.0228302468133962E-2</v>
      </c>
      <c r="BL131" s="425">
        <f t="shared" si="26"/>
        <v>643508541.17836928</v>
      </c>
      <c r="BN131" s="423">
        <f t="shared" si="27"/>
        <v>0.63609001195001957</v>
      </c>
      <c r="BO131" s="423">
        <f t="shared" si="28"/>
        <v>5.4806722944536625E-2</v>
      </c>
      <c r="BP131" s="423">
        <f t="shared" si="29"/>
        <v>0.15240882505089978</v>
      </c>
      <c r="BQ131" s="423">
        <f t="shared" si="30"/>
        <v>0.13025890992654068</v>
      </c>
      <c r="BR131" s="423">
        <f t="shared" si="31"/>
        <v>2.6141399829935217E-2</v>
      </c>
      <c r="BS131" s="423">
        <f t="shared" si="32"/>
        <v>2.9413029806814778E-4</v>
      </c>
      <c r="BT131" s="425">
        <f t="shared" si="33"/>
        <v>251784527.3328774</v>
      </c>
    </row>
    <row r="132" spans="1:72" x14ac:dyDescent="0.2">
      <c r="A132" s="309">
        <v>300</v>
      </c>
      <c r="B132" s="278" t="s">
        <v>78</v>
      </c>
      <c r="C132" s="278">
        <v>14</v>
      </c>
      <c r="D132" s="279">
        <v>3715</v>
      </c>
      <c r="E132" s="364">
        <v>24506000</v>
      </c>
      <c r="F132" s="279">
        <v>9632361</v>
      </c>
      <c r="G132" s="278">
        <v>635232.93500000006</v>
      </c>
      <c r="H132" s="279">
        <v>861435.70200000005</v>
      </c>
      <c r="I132" s="279">
        <v>12988231.792560663</v>
      </c>
      <c r="J132" s="279">
        <v>468826</v>
      </c>
      <c r="K132" s="279">
        <v>28000</v>
      </c>
      <c r="L132" s="280">
        <v>-7467.15</v>
      </c>
      <c r="M132" s="369">
        <v>115554.57956066131</v>
      </c>
      <c r="N132" s="370">
        <v>31.104866638132251</v>
      </c>
      <c r="P132" s="365">
        <v>10665994.922216674</v>
      </c>
      <c r="Q132" s="283">
        <v>4351201</v>
      </c>
      <c r="R132" s="279">
        <v>861435.70200000005</v>
      </c>
      <c r="S132" s="279">
        <v>411414.87055866851</v>
      </c>
      <c r="T132" s="280">
        <v>3132146.7940627178</v>
      </c>
      <c r="U132" s="280">
        <v>1066945.2174714634</v>
      </c>
      <c r="V132" s="279">
        <v>468826</v>
      </c>
      <c r="W132" s="279">
        <v>28000</v>
      </c>
      <c r="X132" s="279">
        <v>44032.61893208557</v>
      </c>
      <c r="Y132" s="354">
        <v>-301992.71919173934</v>
      </c>
      <c r="Z132" s="355">
        <v>-81.290099378664692</v>
      </c>
      <c r="AB132" s="366">
        <v>-417547.29875240067</v>
      </c>
      <c r="AC132" s="349">
        <v>-112.39496601679696</v>
      </c>
      <c r="AE132" s="374">
        <v>116.83922807797427</v>
      </c>
      <c r="AF132" s="350">
        <v>87.394966016796943</v>
      </c>
      <c r="AG132" s="350">
        <v>62.394966016796943</v>
      </c>
      <c r="AH132" s="350">
        <v>37.394966016796943</v>
      </c>
      <c r="AI132" s="350">
        <v>12.394966016796943</v>
      </c>
      <c r="AJ132" s="408">
        <v>-1350</v>
      </c>
      <c r="AK132" s="387">
        <v>-23156</v>
      </c>
      <c r="AL132" s="287">
        <v>-15</v>
      </c>
      <c r="AM132" s="287">
        <v>-1335</v>
      </c>
      <c r="AN132" s="287">
        <v>-9331</v>
      </c>
      <c r="AO132" s="287">
        <v>-13825</v>
      </c>
      <c r="AP132" s="287">
        <v>9632</v>
      </c>
      <c r="AQ132" s="287">
        <v>5281</v>
      </c>
      <c r="AR132" s="287">
        <v>4351</v>
      </c>
      <c r="AS132" s="287">
        <v>635</v>
      </c>
      <c r="AT132" s="287">
        <v>224</v>
      </c>
      <c r="AU132" s="287">
        <v>411</v>
      </c>
      <c r="AV132" s="353">
        <f t="shared" si="17"/>
        <v>13449.590642560663</v>
      </c>
      <c r="AW132" s="353">
        <f t="shared" si="18"/>
        <v>8347.6148987168053</v>
      </c>
      <c r="AX132" s="353">
        <f t="shared" si="19"/>
        <v>5101.9757438438564</v>
      </c>
      <c r="AY132" s="390">
        <v>434058</v>
      </c>
      <c r="AZ132" s="390">
        <v>434058</v>
      </c>
      <c r="BA132" s="401">
        <f t="shared" si="20"/>
        <v>861.43570200000011</v>
      </c>
      <c r="BB132" s="401">
        <v>-2035</v>
      </c>
      <c r="BC132" s="401">
        <v>120</v>
      </c>
      <c r="BD132" s="401">
        <v>50</v>
      </c>
      <c r="BE132" s="401">
        <v>-185</v>
      </c>
      <c r="BG132" s="426">
        <f t="shared" si="21"/>
        <v>0.39133528828015252</v>
      </c>
      <c r="BH132" s="426">
        <f t="shared" si="22"/>
        <v>2.5807698002937432E-2</v>
      </c>
      <c r="BI132" s="426">
        <f t="shared" si="23"/>
        <v>3.4997669707041254E-2</v>
      </c>
      <c r="BJ132" s="426">
        <f t="shared" si="24"/>
        <v>0.54672178406253669</v>
      </c>
      <c r="BK132" s="426">
        <f t="shared" si="25"/>
        <v>1.1375599473321515E-3</v>
      </c>
      <c r="BL132" s="425">
        <f t="shared" si="26"/>
        <v>24614087.429560661</v>
      </c>
      <c r="BN132" s="423">
        <f t="shared" si="27"/>
        <v>0.40461130253624639</v>
      </c>
      <c r="BO132" s="423">
        <f t="shared" si="28"/>
        <v>3.8256818441511686E-2</v>
      </c>
      <c r="BP132" s="423">
        <f t="shared" si="29"/>
        <v>8.0103544156531911E-2</v>
      </c>
      <c r="BQ132" s="423">
        <f t="shared" si="30"/>
        <v>0.43406231676708351</v>
      </c>
      <c r="BR132" s="423">
        <f t="shared" si="31"/>
        <v>2.6036757371160051E-3</v>
      </c>
      <c r="BS132" s="423">
        <f t="shared" si="32"/>
        <v>4.0362342361510477E-2</v>
      </c>
      <c r="BT132" s="425">
        <f t="shared" si="33"/>
        <v>10754027.316402525</v>
      </c>
    </row>
    <row r="133" spans="1:72" x14ac:dyDescent="0.2">
      <c r="A133" s="300">
        <v>301</v>
      </c>
      <c r="B133" s="292" t="s">
        <v>79</v>
      </c>
      <c r="C133" s="292">
        <v>14</v>
      </c>
      <c r="D133" s="332">
        <v>21734</v>
      </c>
      <c r="E133" s="364">
        <v>136330000</v>
      </c>
      <c r="F133" s="279">
        <v>59357409</v>
      </c>
      <c r="G133" s="278">
        <v>3646705.6149999998</v>
      </c>
      <c r="H133" s="279">
        <v>4425487.7943000002</v>
      </c>
      <c r="I133" s="279">
        <v>63797693.907025263</v>
      </c>
      <c r="J133" s="279">
        <v>-2569667</v>
      </c>
      <c r="K133" s="279">
        <v>9111000</v>
      </c>
      <c r="L133" s="280">
        <v>-43685.34</v>
      </c>
      <c r="M133" s="369">
        <v>1482314.6563252474</v>
      </c>
      <c r="N133" s="370">
        <v>68.202569997480779</v>
      </c>
      <c r="O133" s="332"/>
      <c r="P133" s="365">
        <v>52984544.219999999</v>
      </c>
      <c r="Q133" s="283">
        <v>26715702</v>
      </c>
      <c r="R133" s="279">
        <v>4425487.7943000002</v>
      </c>
      <c r="S133" s="279">
        <v>2361824.8297544494</v>
      </c>
      <c r="T133" s="280">
        <v>16468058.210066047</v>
      </c>
      <c r="U133" s="280">
        <v>-544044.7272767371</v>
      </c>
      <c r="V133" s="279">
        <v>-2569667</v>
      </c>
      <c r="W133" s="279">
        <v>9111000</v>
      </c>
      <c r="X133" s="279">
        <v>263059.87443195673</v>
      </c>
      <c r="Y133" s="354">
        <v>3246876.7612757236</v>
      </c>
      <c r="Z133" s="355">
        <v>149.39158743331754</v>
      </c>
      <c r="AB133" s="366">
        <v>1764562.1049504762</v>
      </c>
      <c r="AC133" s="349">
        <v>81.18901743583676</v>
      </c>
      <c r="AE133" s="374">
        <v>-76.744755374659434</v>
      </c>
      <c r="AF133" s="350">
        <v>-56.18901743583676</v>
      </c>
      <c r="AG133" s="350">
        <v>-31.18901743583676</v>
      </c>
      <c r="AH133" s="350">
        <v>-6.1890174358367602</v>
      </c>
      <c r="AI133" s="350">
        <v>0</v>
      </c>
      <c r="AJ133" s="408">
        <v>-6432</v>
      </c>
      <c r="AK133" s="387">
        <v>-129898</v>
      </c>
      <c r="AL133" s="287">
        <v>0</v>
      </c>
      <c r="AM133" s="287">
        <v>-6432</v>
      </c>
      <c r="AN133" s="287">
        <v>-46553</v>
      </c>
      <c r="AO133" s="287">
        <v>-83345</v>
      </c>
      <c r="AP133" s="287">
        <v>59357</v>
      </c>
      <c r="AQ133" s="287">
        <v>32641</v>
      </c>
      <c r="AR133" s="287">
        <v>26716</v>
      </c>
      <c r="AS133" s="287">
        <v>3647</v>
      </c>
      <c r="AT133" s="287">
        <v>1285</v>
      </c>
      <c r="AU133" s="287">
        <v>2362</v>
      </c>
      <c r="AV133" s="353">
        <f t="shared" si="17"/>
        <v>61184.341567025258</v>
      </c>
      <c r="AW133" s="353">
        <f t="shared" si="18"/>
        <v>49497.965597548799</v>
      </c>
      <c r="AX133" s="353">
        <f t="shared" si="19"/>
        <v>11686.375969476461</v>
      </c>
      <c r="AY133" s="390">
        <v>1667971</v>
      </c>
      <c r="AZ133" s="390">
        <v>-1667971</v>
      </c>
      <c r="BA133" s="401">
        <f t="shared" si="20"/>
        <v>4425.4877943000001</v>
      </c>
      <c r="BB133" s="401">
        <v>-6267</v>
      </c>
      <c r="BC133" s="401">
        <v>167</v>
      </c>
      <c r="BD133" s="401">
        <v>100</v>
      </c>
      <c r="BE133" s="401">
        <v>-2117</v>
      </c>
      <c r="BG133" s="426">
        <f t="shared" si="21"/>
        <v>0.43084851242666961</v>
      </c>
      <c r="BH133" s="426">
        <f t="shared" si="22"/>
        <v>2.6469782221807108E-2</v>
      </c>
      <c r="BI133" s="426">
        <f t="shared" si="23"/>
        <v>3.2122608871565442E-2</v>
      </c>
      <c r="BJ133" s="426">
        <f t="shared" si="24"/>
        <v>0.44442647945957237</v>
      </c>
      <c r="BK133" s="426">
        <f t="shared" si="25"/>
        <v>6.6132617020385559E-2</v>
      </c>
      <c r="BL133" s="425">
        <f t="shared" si="26"/>
        <v>137768629.31632525</v>
      </c>
      <c r="BN133" s="423">
        <f t="shared" si="27"/>
        <v>0.49199833938547727</v>
      </c>
      <c r="BO133" s="423">
        <f t="shared" si="28"/>
        <v>4.349554034397362E-2</v>
      </c>
      <c r="BP133" s="423">
        <f t="shared" si="29"/>
        <v>8.1500109776875732E-2</v>
      </c>
      <c r="BQ133" s="423">
        <f t="shared" si="30"/>
        <v>0.245934630245188</v>
      </c>
      <c r="BR133" s="423">
        <f t="shared" si="31"/>
        <v>0.16778884830131297</v>
      </c>
      <c r="BS133" s="423">
        <f t="shared" si="32"/>
        <v>-3.0717468052827632E-2</v>
      </c>
      <c r="BT133" s="425">
        <f t="shared" si="33"/>
        <v>54300390.593530916</v>
      </c>
    </row>
    <row r="134" spans="1:72" x14ac:dyDescent="0.2">
      <c r="A134" s="309">
        <v>305</v>
      </c>
      <c r="B134" s="278" t="s">
        <v>80</v>
      </c>
      <c r="C134" s="278">
        <v>17</v>
      </c>
      <c r="D134" s="279">
        <v>15688</v>
      </c>
      <c r="E134" s="364">
        <v>97779000</v>
      </c>
      <c r="F134" s="279">
        <v>41769683</v>
      </c>
      <c r="G134" s="278">
        <v>3411672.4499999997</v>
      </c>
      <c r="H134" s="279">
        <v>6970151.7800000003</v>
      </c>
      <c r="I134" s="279">
        <v>46962378.089347288</v>
      </c>
      <c r="J134" s="279">
        <v>-812256</v>
      </c>
      <c r="K134" s="279">
        <v>1050000</v>
      </c>
      <c r="L134" s="280">
        <v>-31532.879999999997</v>
      </c>
      <c r="M134" s="369">
        <v>1604162.1993472921</v>
      </c>
      <c r="N134" s="370">
        <v>102.25409225824146</v>
      </c>
      <c r="P134" s="365">
        <v>35978291.046481997</v>
      </c>
      <c r="Q134" s="283">
        <v>17393237</v>
      </c>
      <c r="R134" s="279">
        <v>6970151.7800000003</v>
      </c>
      <c r="S134" s="279">
        <v>2209603.2841957808</v>
      </c>
      <c r="T134" s="280">
        <v>13103479.28325101</v>
      </c>
      <c r="U134" s="280">
        <v>-1125025.958583263</v>
      </c>
      <c r="V134" s="279">
        <v>-812256</v>
      </c>
      <c r="W134" s="279">
        <v>1050000</v>
      </c>
      <c r="X134" s="279">
        <v>190125.15538532881</v>
      </c>
      <c r="Y134" s="354">
        <v>3001023.4977668598</v>
      </c>
      <c r="Z134" s="355">
        <v>191.29420562001911</v>
      </c>
      <c r="AB134" s="366">
        <v>1396861.2984195678</v>
      </c>
      <c r="AC134" s="349">
        <v>89.040113361777642</v>
      </c>
      <c r="AE134" s="374">
        <v>-84.59585130060033</v>
      </c>
      <c r="AF134" s="350">
        <v>-64.040113361777657</v>
      </c>
      <c r="AG134" s="350">
        <v>-39.040113361777657</v>
      </c>
      <c r="AH134" s="350">
        <v>-14.040113361777657</v>
      </c>
      <c r="AI134" s="350">
        <v>0</v>
      </c>
      <c r="AJ134" s="408">
        <v>-5200</v>
      </c>
      <c r="AK134" s="387">
        <v>-92579</v>
      </c>
      <c r="AL134" s="287">
        <v>-376</v>
      </c>
      <c r="AM134" s="287">
        <v>-4824</v>
      </c>
      <c r="AN134" s="287">
        <v>-31154</v>
      </c>
      <c r="AO134" s="287">
        <v>-61425</v>
      </c>
      <c r="AP134" s="287">
        <v>41770</v>
      </c>
      <c r="AQ134" s="287">
        <v>24377</v>
      </c>
      <c r="AR134" s="287">
        <v>17393</v>
      </c>
      <c r="AS134" s="287">
        <v>3412</v>
      </c>
      <c r="AT134" s="287">
        <v>1202</v>
      </c>
      <c r="AU134" s="287">
        <v>2210</v>
      </c>
      <c r="AV134" s="353">
        <f t="shared" si="17"/>
        <v>46118.589209347287</v>
      </c>
      <c r="AW134" s="353">
        <f t="shared" si="18"/>
        <v>36279.531599883354</v>
      </c>
      <c r="AX134" s="353">
        <f t="shared" si="19"/>
        <v>9839.0576094639291</v>
      </c>
      <c r="AY134" s="390">
        <v>1327140</v>
      </c>
      <c r="AZ134" s="390">
        <v>-1327140</v>
      </c>
      <c r="BA134" s="401">
        <f t="shared" si="20"/>
        <v>6970.1517800000001</v>
      </c>
      <c r="BB134" s="401">
        <v>-13390</v>
      </c>
      <c r="BC134" s="401">
        <v>5115</v>
      </c>
      <c r="BD134" s="401">
        <v>350</v>
      </c>
      <c r="BE134" s="401">
        <v>-3248</v>
      </c>
      <c r="BG134" s="426">
        <f t="shared" si="21"/>
        <v>0.42042272770121503</v>
      </c>
      <c r="BH134" s="426">
        <f t="shared" si="22"/>
        <v>3.4339370912919956E-2</v>
      </c>
      <c r="BI134" s="426">
        <f t="shared" si="23"/>
        <v>7.0156391271609109E-2</v>
      </c>
      <c r="BJ134" s="426">
        <f t="shared" si="24"/>
        <v>0.4645129869084112</v>
      </c>
      <c r="BK134" s="426">
        <f t="shared" si="25"/>
        <v>1.0568523205844674E-2</v>
      </c>
      <c r="BL134" s="425">
        <f t="shared" si="26"/>
        <v>99351629.319347292</v>
      </c>
      <c r="BN134" s="423">
        <f t="shared" si="27"/>
        <v>0.46428951836635673</v>
      </c>
      <c r="BO134" s="423">
        <f t="shared" si="28"/>
        <v>5.8982444992842858E-2</v>
      </c>
      <c r="BP134" s="423">
        <f t="shared" si="29"/>
        <v>0.18605900746805235</v>
      </c>
      <c r="BQ134" s="423">
        <f t="shared" si="30"/>
        <v>0.29806690829623544</v>
      </c>
      <c r="BR134" s="423">
        <f t="shared" si="31"/>
        <v>2.8028364949242893E-2</v>
      </c>
      <c r="BS134" s="423">
        <f t="shared" si="32"/>
        <v>-3.5426244072730366E-2</v>
      </c>
      <c r="BT134" s="425">
        <f t="shared" si="33"/>
        <v>37462049.673659712</v>
      </c>
    </row>
    <row r="135" spans="1:72" x14ac:dyDescent="0.2">
      <c r="A135" s="309">
        <v>257</v>
      </c>
      <c r="B135" s="278" t="s">
        <v>262</v>
      </c>
      <c r="C135" s="278">
        <v>1</v>
      </c>
      <c r="D135" s="279">
        <v>38649</v>
      </c>
      <c r="E135" s="364">
        <v>207803000</v>
      </c>
      <c r="F135" s="279">
        <v>163659177</v>
      </c>
      <c r="G135" s="278">
        <v>5915372.415</v>
      </c>
      <c r="H135" s="279">
        <v>11367902.344900001</v>
      </c>
      <c r="I135" s="279">
        <v>25045622.991322506</v>
      </c>
      <c r="J135" s="279">
        <v>-2526605</v>
      </c>
      <c r="K135" s="279">
        <v>-1329000</v>
      </c>
      <c r="L135" s="280">
        <v>-77684.489999999991</v>
      </c>
      <c r="M135" s="369">
        <v>-5592845.7587774787</v>
      </c>
      <c r="N135" s="370">
        <v>-144.70867962372839</v>
      </c>
      <c r="P135" s="365">
        <v>111050217.56437126</v>
      </c>
      <c r="Q135" s="283">
        <v>61513117</v>
      </c>
      <c r="R135" s="279">
        <v>11367902.344900001</v>
      </c>
      <c r="S135" s="279">
        <v>3831149.240433421</v>
      </c>
      <c r="T135" s="280">
        <v>27441759.980816089</v>
      </c>
      <c r="U135" s="280">
        <v>3552924.578757538</v>
      </c>
      <c r="V135" s="279">
        <v>-2526605</v>
      </c>
      <c r="W135" s="279">
        <v>-1329000</v>
      </c>
      <c r="X135" s="279">
        <v>524504.18194710277</v>
      </c>
      <c r="Y135" s="354">
        <v>-6674465.2375171185</v>
      </c>
      <c r="Z135" s="355">
        <v>-172.69438374905221</v>
      </c>
      <c r="AB135" s="366">
        <v>-1081619.4787396397</v>
      </c>
      <c r="AC135" s="349">
        <v>-27.985704125323807</v>
      </c>
      <c r="AE135" s="374">
        <v>32.429966186501161</v>
      </c>
      <c r="AF135" s="350">
        <v>2.9857041253238208</v>
      </c>
      <c r="AG135" s="350">
        <v>0</v>
      </c>
      <c r="AH135" s="350">
        <v>0</v>
      </c>
      <c r="AI135" s="350">
        <v>0</v>
      </c>
      <c r="AJ135" s="408">
        <v>-14474</v>
      </c>
      <c r="AK135" s="387">
        <v>-193329</v>
      </c>
      <c r="AL135" s="287">
        <v>-226</v>
      </c>
      <c r="AM135" s="287">
        <v>-14248</v>
      </c>
      <c r="AN135" s="287">
        <v>-96802</v>
      </c>
      <c r="AO135" s="287">
        <v>-96527</v>
      </c>
      <c r="AP135" s="287">
        <v>163659</v>
      </c>
      <c r="AQ135" s="287">
        <v>102146</v>
      </c>
      <c r="AR135" s="287">
        <v>61513</v>
      </c>
      <c r="AS135" s="287">
        <v>5915</v>
      </c>
      <c r="AT135" s="287">
        <v>2084</v>
      </c>
      <c r="AU135" s="287">
        <v>3831</v>
      </c>
      <c r="AV135" s="353">
        <f t="shared" si="17"/>
        <v>22441.333501322508</v>
      </c>
      <c r="AW135" s="353">
        <f t="shared" si="18"/>
        <v>-7280.1318213932027</v>
      </c>
      <c r="AX135" s="353">
        <f t="shared" si="19"/>
        <v>29721.46532271571</v>
      </c>
      <c r="AY135" s="390">
        <v>1253386</v>
      </c>
      <c r="AZ135" s="390">
        <v>1253386</v>
      </c>
      <c r="BA135" s="401">
        <f t="shared" si="20"/>
        <v>11367.902344900001</v>
      </c>
      <c r="BB135" s="401">
        <v>-35968</v>
      </c>
      <c r="BC135" s="401">
        <v>30</v>
      </c>
      <c r="BD135" s="401">
        <v>2000</v>
      </c>
      <c r="BE135" s="401">
        <v>-22719</v>
      </c>
      <c r="BG135" s="426">
        <f t="shared" si="21"/>
        <v>0.80966297597523995</v>
      </c>
      <c r="BH135" s="426">
        <f t="shared" si="22"/>
        <v>2.9264830248600982E-2</v>
      </c>
      <c r="BI135" s="426">
        <f t="shared" si="23"/>
        <v>5.6239862694455828E-2</v>
      </c>
      <c r="BJ135" s="426">
        <f t="shared" si="24"/>
        <v>0.11140722724576668</v>
      </c>
      <c r="BK135" s="426">
        <f t="shared" si="25"/>
        <v>-6.5748961640635277E-3</v>
      </c>
      <c r="BL135" s="425">
        <f t="shared" si="26"/>
        <v>202132469.75122252</v>
      </c>
      <c r="BN135" s="423">
        <f t="shared" si="27"/>
        <v>0.58525599407743334</v>
      </c>
      <c r="BO135" s="423">
        <f t="shared" si="28"/>
        <v>3.6450811900311693E-2</v>
      </c>
      <c r="BP135" s="423">
        <f t="shared" si="29"/>
        <v>0.10815795576477837</v>
      </c>
      <c r="BQ135" s="423">
        <f t="shared" si="30"/>
        <v>0.27085465693623889</v>
      </c>
      <c r="BR135" s="423">
        <f t="shared" si="31"/>
        <v>-1.2644542401076975E-2</v>
      </c>
      <c r="BS135" s="423">
        <f t="shared" si="32"/>
        <v>1.1925123722314745E-2</v>
      </c>
      <c r="BT135" s="425">
        <f t="shared" si="33"/>
        <v>105104633.90804912</v>
      </c>
    </row>
    <row r="136" spans="1:72" x14ac:dyDescent="0.2">
      <c r="A136" s="309">
        <v>312</v>
      </c>
      <c r="B136" s="278" t="s">
        <v>82</v>
      </c>
      <c r="C136" s="278">
        <v>13</v>
      </c>
      <c r="D136" s="279">
        <v>1379</v>
      </c>
      <c r="E136" s="364">
        <v>8938000</v>
      </c>
      <c r="F136" s="279">
        <v>3327687</v>
      </c>
      <c r="G136" s="278">
        <v>467324.53500000003</v>
      </c>
      <c r="H136" s="279">
        <v>330853.90899999999</v>
      </c>
      <c r="I136" s="279">
        <v>4714433.5956843235</v>
      </c>
      <c r="J136" s="279">
        <v>-326223</v>
      </c>
      <c r="K136" s="279">
        <v>419000</v>
      </c>
      <c r="L136" s="280">
        <v>-2771.7899999999995</v>
      </c>
      <c r="M136" s="369">
        <v>-2152.1703156764065</v>
      </c>
      <c r="N136" s="370">
        <v>-1.5606746306572925</v>
      </c>
      <c r="P136" s="365">
        <v>3366498.1874892395</v>
      </c>
      <c r="Q136" s="283">
        <v>1503995</v>
      </c>
      <c r="R136" s="279">
        <v>330853.90899999999</v>
      </c>
      <c r="S136" s="279">
        <v>302667.34056526038</v>
      </c>
      <c r="T136" s="280">
        <v>1300819.0089537299</v>
      </c>
      <c r="U136" s="280">
        <v>-21397.549988549141</v>
      </c>
      <c r="V136" s="279">
        <v>-326223</v>
      </c>
      <c r="W136" s="279">
        <v>419000</v>
      </c>
      <c r="X136" s="279">
        <v>16931.629333708719</v>
      </c>
      <c r="Y136" s="354">
        <v>160148.15037491033</v>
      </c>
      <c r="Z136" s="355">
        <v>116.1335390681003</v>
      </c>
      <c r="AB136" s="366">
        <v>162300.32069058673</v>
      </c>
      <c r="AC136" s="349">
        <v>117.69421369875759</v>
      </c>
      <c r="AE136" s="374">
        <v>-113.24995163758027</v>
      </c>
      <c r="AF136" s="350">
        <v>-92.694213698757594</v>
      </c>
      <c r="AG136" s="350">
        <v>-67.694213698757594</v>
      </c>
      <c r="AH136" s="350">
        <v>-42.694213698757594</v>
      </c>
      <c r="AI136" s="350">
        <v>-17.694213698757594</v>
      </c>
      <c r="AJ136" s="408">
        <v>-483</v>
      </c>
      <c r="AK136" s="387">
        <v>-8455</v>
      </c>
      <c r="AL136" s="287">
        <v>0</v>
      </c>
      <c r="AM136" s="287">
        <v>-483</v>
      </c>
      <c r="AN136" s="287">
        <v>-2883</v>
      </c>
      <c r="AO136" s="287">
        <v>-5572</v>
      </c>
      <c r="AP136" s="287">
        <v>3328</v>
      </c>
      <c r="AQ136" s="287">
        <v>1824</v>
      </c>
      <c r="AR136" s="287">
        <v>1504</v>
      </c>
      <c r="AS136" s="287">
        <v>467</v>
      </c>
      <c r="AT136" s="287">
        <v>164</v>
      </c>
      <c r="AU136" s="287">
        <v>303</v>
      </c>
      <c r="AV136" s="353">
        <f t="shared" si="17"/>
        <v>4385.4388056843236</v>
      </c>
      <c r="AW136" s="353">
        <f t="shared" si="18"/>
        <v>3588.4120300273662</v>
      </c>
      <c r="AX136" s="353">
        <f t="shared" si="19"/>
        <v>797.02677565695751</v>
      </c>
      <c r="AY136" s="390">
        <v>156172</v>
      </c>
      <c r="AZ136" s="390">
        <v>-156172</v>
      </c>
      <c r="BA136" s="401">
        <f t="shared" si="20"/>
        <v>330.85390899999999</v>
      </c>
      <c r="BB136" s="401">
        <v>-251</v>
      </c>
      <c r="BC136" s="401">
        <v>0</v>
      </c>
      <c r="BD136" s="401">
        <v>0</v>
      </c>
      <c r="BE136" s="401">
        <v>232</v>
      </c>
      <c r="BG136" s="426">
        <f t="shared" si="21"/>
        <v>0.37251300506310181</v>
      </c>
      <c r="BH136" s="426">
        <f t="shared" si="22"/>
        <v>5.2313954669584828E-2</v>
      </c>
      <c r="BI136" s="426">
        <f t="shared" si="23"/>
        <v>3.7036952056627929E-2</v>
      </c>
      <c r="BJ136" s="426">
        <f t="shared" si="24"/>
        <v>0.49123175221951809</v>
      </c>
      <c r="BK136" s="426">
        <f t="shared" si="25"/>
        <v>4.6904335991167334E-2</v>
      </c>
      <c r="BL136" s="425">
        <f t="shared" si="26"/>
        <v>8933076.0396843236</v>
      </c>
      <c r="BN136" s="423">
        <f t="shared" si="27"/>
        <v>0.44847941078684683</v>
      </c>
      <c r="BO136" s="423">
        <f t="shared" si="28"/>
        <v>9.0253006533352761E-2</v>
      </c>
      <c r="BP136" s="423">
        <f t="shared" si="29"/>
        <v>9.8658018254611901E-2</v>
      </c>
      <c r="BQ136" s="423">
        <f t="shared" si="30"/>
        <v>0.28423623964151118</v>
      </c>
      <c r="BR136" s="423">
        <f t="shared" si="31"/>
        <v>0.12494248526071484</v>
      </c>
      <c r="BS136" s="423">
        <f t="shared" si="32"/>
        <v>-4.656916047703747E-2</v>
      </c>
      <c r="BT136" s="425">
        <f t="shared" si="33"/>
        <v>3353543.0252222177</v>
      </c>
    </row>
    <row r="137" spans="1:72" x14ac:dyDescent="0.2">
      <c r="A137" s="309">
        <v>316</v>
      </c>
      <c r="B137" s="278" t="s">
        <v>83</v>
      </c>
      <c r="C137" s="278">
        <v>7</v>
      </c>
      <c r="D137" s="279">
        <v>4604</v>
      </c>
      <c r="E137" s="364">
        <v>24853000</v>
      </c>
      <c r="F137" s="279">
        <v>14368312</v>
      </c>
      <c r="G137" s="278">
        <v>608181.09499999997</v>
      </c>
      <c r="H137" s="279">
        <v>1223359.7535000001</v>
      </c>
      <c r="I137" s="279">
        <v>9231992.102793863</v>
      </c>
      <c r="J137" s="279">
        <v>-1026501</v>
      </c>
      <c r="K137" s="279">
        <v>-138000</v>
      </c>
      <c r="L137" s="280">
        <v>-9254.0399999999991</v>
      </c>
      <c r="M137" s="369">
        <v>-576402.00870613661</v>
      </c>
      <c r="N137" s="370">
        <v>-125.19591848525991</v>
      </c>
      <c r="P137" s="365">
        <v>8545894.3825226706</v>
      </c>
      <c r="Q137" s="283">
        <v>6686433</v>
      </c>
      <c r="R137" s="279">
        <v>1223359.7535000001</v>
      </c>
      <c r="S137" s="279">
        <v>393894.47978740931</v>
      </c>
      <c r="T137" s="280">
        <v>3168000.2590991943</v>
      </c>
      <c r="U137" s="280">
        <v>-1354626.8470338276</v>
      </c>
      <c r="V137" s="279">
        <v>-1026501</v>
      </c>
      <c r="W137" s="279">
        <v>-138000</v>
      </c>
      <c r="X137" s="279">
        <v>56420.683679156391</v>
      </c>
      <c r="Y137" s="354">
        <v>463085.94650926255</v>
      </c>
      <c r="Z137" s="355">
        <v>100.58339411582593</v>
      </c>
      <c r="AB137" s="366">
        <v>1039487.9552153992</v>
      </c>
      <c r="AC137" s="349">
        <v>225.77931260108582</v>
      </c>
      <c r="AE137" s="374">
        <v>-221.33505053990851</v>
      </c>
      <c r="AF137" s="350">
        <v>-200.77931260108585</v>
      </c>
      <c r="AG137" s="350">
        <v>-175.77931260108585</v>
      </c>
      <c r="AH137" s="350">
        <v>-150.77931260108585</v>
      </c>
      <c r="AI137" s="350">
        <v>-125.77931260108585</v>
      </c>
      <c r="AJ137" s="408">
        <v>-896</v>
      </c>
      <c r="AK137" s="387">
        <v>-23957</v>
      </c>
      <c r="AL137" s="287">
        <v>0</v>
      </c>
      <c r="AM137" s="287">
        <v>-896</v>
      </c>
      <c r="AN137" s="287">
        <v>-7650</v>
      </c>
      <c r="AO137" s="287">
        <v>-16307</v>
      </c>
      <c r="AP137" s="287">
        <v>14368</v>
      </c>
      <c r="AQ137" s="287">
        <v>7682</v>
      </c>
      <c r="AR137" s="287">
        <v>6686</v>
      </c>
      <c r="AS137" s="287">
        <v>608</v>
      </c>
      <c r="AT137" s="287">
        <v>214</v>
      </c>
      <c r="AU137" s="287">
        <v>394</v>
      </c>
      <c r="AV137" s="353">
        <f t="shared" si="17"/>
        <v>8196.2370627938635</v>
      </c>
      <c r="AW137" s="353">
        <f t="shared" si="18"/>
        <v>8428.3912234142354</v>
      </c>
      <c r="AX137" s="353">
        <f t="shared" si="19"/>
        <v>-232.15416062037204</v>
      </c>
      <c r="AY137" s="390">
        <v>1019027</v>
      </c>
      <c r="AZ137" s="390">
        <v>-1019027</v>
      </c>
      <c r="BA137" s="401">
        <f t="shared" si="20"/>
        <v>1223.3597535000001</v>
      </c>
      <c r="BB137" s="401">
        <v>-410</v>
      </c>
      <c r="BC137" s="401">
        <v>25</v>
      </c>
      <c r="BD137" s="401">
        <v>10</v>
      </c>
      <c r="BE137" s="401">
        <v>-299</v>
      </c>
      <c r="BG137" s="426">
        <f t="shared" si="21"/>
        <v>0.59208424411168092</v>
      </c>
      <c r="BH137" s="426">
        <f t="shared" si="22"/>
        <v>2.5061708286685965E-2</v>
      </c>
      <c r="BI137" s="426">
        <f t="shared" si="23"/>
        <v>5.0411769658655792E-2</v>
      </c>
      <c r="BJ137" s="426">
        <f t="shared" si="24"/>
        <v>0.33812893241480474</v>
      </c>
      <c r="BK137" s="426">
        <f t="shared" si="25"/>
        <v>-5.6866544718274471E-3</v>
      </c>
      <c r="BL137" s="425">
        <f t="shared" si="26"/>
        <v>24267343.951293863</v>
      </c>
      <c r="BN137" s="423">
        <f t="shared" si="27"/>
        <v>0.84280646954588201</v>
      </c>
      <c r="BO137" s="423">
        <f t="shared" si="28"/>
        <v>4.9649314647023046E-2</v>
      </c>
      <c r="BP137" s="423">
        <f t="shared" si="29"/>
        <v>0.15420112858856966</v>
      </c>
      <c r="BQ137" s="423">
        <f t="shared" si="30"/>
        <v>9.9183101004057653E-2</v>
      </c>
      <c r="BR137" s="423">
        <f t="shared" si="31"/>
        <v>-1.7394520037414825E-2</v>
      </c>
      <c r="BS137" s="423">
        <f t="shared" si="32"/>
        <v>-0.12844549374811767</v>
      </c>
      <c r="BT137" s="425">
        <f t="shared" si="33"/>
        <v>7933533.0726670381</v>
      </c>
    </row>
    <row r="138" spans="1:72" x14ac:dyDescent="0.2">
      <c r="A138" s="309">
        <v>317</v>
      </c>
      <c r="B138" s="278" t="s">
        <v>84</v>
      </c>
      <c r="C138" s="278">
        <v>17</v>
      </c>
      <c r="D138" s="279">
        <v>2658</v>
      </c>
      <c r="E138" s="364">
        <v>18065000</v>
      </c>
      <c r="F138" s="279">
        <v>6084732</v>
      </c>
      <c r="G138" s="278">
        <v>525309.10499999998</v>
      </c>
      <c r="H138" s="279">
        <v>614292.59250000003</v>
      </c>
      <c r="I138" s="279">
        <v>11215143.977159794</v>
      </c>
      <c r="J138" s="279">
        <v>-40325</v>
      </c>
      <c r="K138" s="279">
        <v>220000</v>
      </c>
      <c r="L138" s="280">
        <v>-5342.579999999999</v>
      </c>
      <c r="M138" s="369">
        <v>559495.25465979602</v>
      </c>
      <c r="N138" s="370">
        <v>210.49482869066819</v>
      </c>
      <c r="P138" s="365">
        <v>8043704.8294915259</v>
      </c>
      <c r="Q138" s="283">
        <v>2872626</v>
      </c>
      <c r="R138" s="279">
        <v>614292.59250000003</v>
      </c>
      <c r="S138" s="279">
        <v>340221.6187623599</v>
      </c>
      <c r="T138" s="280">
        <v>3863517.6501754327</v>
      </c>
      <c r="U138" s="280">
        <v>549805.36962354858</v>
      </c>
      <c r="V138" s="279">
        <v>-40325</v>
      </c>
      <c r="W138" s="279">
        <v>220000</v>
      </c>
      <c r="X138" s="279">
        <v>30758.487453770762</v>
      </c>
      <c r="Y138" s="354">
        <v>407191.88902358525</v>
      </c>
      <c r="Z138" s="355">
        <v>153.19484161910657</v>
      </c>
      <c r="AB138" s="366">
        <v>-152303.36563621077</v>
      </c>
      <c r="AC138" s="349">
        <v>-57.299987071561617</v>
      </c>
      <c r="AE138" s="374">
        <v>61.744249132738958</v>
      </c>
      <c r="AF138" s="350">
        <v>32.299987071561617</v>
      </c>
      <c r="AG138" s="350">
        <v>7.2999870715616169</v>
      </c>
      <c r="AH138" s="350">
        <v>0</v>
      </c>
      <c r="AI138" s="350">
        <v>0</v>
      </c>
      <c r="AJ138" s="408">
        <v>-512</v>
      </c>
      <c r="AK138" s="387">
        <v>-17553</v>
      </c>
      <c r="AL138" s="287">
        <v>-1</v>
      </c>
      <c r="AM138" s="287">
        <v>-511</v>
      </c>
      <c r="AN138" s="287">
        <v>-7533</v>
      </c>
      <c r="AO138" s="287">
        <v>-10020</v>
      </c>
      <c r="AP138" s="287">
        <v>6085</v>
      </c>
      <c r="AQ138" s="287">
        <v>3212</v>
      </c>
      <c r="AR138" s="287">
        <v>2873</v>
      </c>
      <c r="AS138" s="287">
        <v>525</v>
      </c>
      <c r="AT138" s="287">
        <v>185</v>
      </c>
      <c r="AU138" s="287">
        <v>340</v>
      </c>
      <c r="AV138" s="353">
        <f t="shared" si="17"/>
        <v>11169.476397159795</v>
      </c>
      <c r="AW138" s="353">
        <f t="shared" si="18"/>
        <v>6632.3621631659935</v>
      </c>
      <c r="AX138" s="353">
        <f t="shared" si="19"/>
        <v>4537.1142339938015</v>
      </c>
      <c r="AY138" s="390">
        <v>164116</v>
      </c>
      <c r="AZ138" s="390">
        <v>164116</v>
      </c>
      <c r="BA138" s="401">
        <f t="shared" si="20"/>
        <v>614.29259250000007</v>
      </c>
      <c r="BB138" s="401">
        <v>-870</v>
      </c>
      <c r="BC138" s="401">
        <v>297</v>
      </c>
      <c r="BD138" s="401">
        <v>0</v>
      </c>
      <c r="BE138" s="401">
        <v>323</v>
      </c>
      <c r="BG138" s="426">
        <f t="shared" si="21"/>
        <v>0.32679961899024379</v>
      </c>
      <c r="BH138" s="426">
        <f t="shared" si="22"/>
        <v>2.8213373303229455E-2</v>
      </c>
      <c r="BI138" s="426">
        <f t="shared" si="23"/>
        <v>3.2992510627835231E-2</v>
      </c>
      <c r="BJ138" s="426">
        <f t="shared" si="24"/>
        <v>0.6001787069702933</v>
      </c>
      <c r="BK138" s="426">
        <f t="shared" si="25"/>
        <v>1.1815790108398141E-2</v>
      </c>
      <c r="BL138" s="425">
        <f t="shared" si="26"/>
        <v>18619152.674659796</v>
      </c>
      <c r="BN138" s="423">
        <f t="shared" si="27"/>
        <v>0.33463896233731438</v>
      </c>
      <c r="BO138" s="423">
        <f t="shared" si="28"/>
        <v>3.9633216947614305E-2</v>
      </c>
      <c r="BP138" s="423">
        <f t="shared" si="29"/>
        <v>7.1560389596730917E-2</v>
      </c>
      <c r="BQ138" s="423">
        <f t="shared" si="30"/>
        <v>0.50942082946010436</v>
      </c>
      <c r="BR138" s="423">
        <f t="shared" si="31"/>
        <v>2.5628317683613937E-2</v>
      </c>
      <c r="BS138" s="423">
        <f t="shared" si="32"/>
        <v>1.9118283974622188E-2</v>
      </c>
      <c r="BT138" s="425">
        <f t="shared" si="33"/>
        <v>8584254.4452561606</v>
      </c>
    </row>
    <row r="139" spans="1:72" x14ac:dyDescent="0.2">
      <c r="A139" s="300">
        <v>398</v>
      </c>
      <c r="B139" s="292" t="s">
        <v>268</v>
      </c>
      <c r="C139" s="292">
        <v>7</v>
      </c>
      <c r="D139" s="332">
        <v>118743</v>
      </c>
      <c r="E139" s="364">
        <v>633671000</v>
      </c>
      <c r="F139" s="279">
        <v>386561095</v>
      </c>
      <c r="G139" s="278">
        <v>22287569.814999998</v>
      </c>
      <c r="H139" s="279">
        <v>36588071.452</v>
      </c>
      <c r="I139" s="279">
        <v>191914263.07595721</v>
      </c>
      <c r="J139" s="279">
        <v>-2684187</v>
      </c>
      <c r="K139" s="279">
        <v>6945000</v>
      </c>
      <c r="L139" s="280">
        <v>-238673.42999999996</v>
      </c>
      <c r="M139" s="369">
        <v>8179485.7729572579</v>
      </c>
      <c r="N139" s="370">
        <v>68.883940720356208</v>
      </c>
      <c r="O139" s="332"/>
      <c r="P139" s="365">
        <v>296428554.60098928</v>
      </c>
      <c r="Q139" s="283">
        <v>159908540</v>
      </c>
      <c r="R139" s="279">
        <v>36588071.452</v>
      </c>
      <c r="S139" s="279">
        <v>14434764.234171059</v>
      </c>
      <c r="T139" s="280">
        <v>42664612.035222679</v>
      </c>
      <c r="U139" s="280">
        <v>20218519.816045191</v>
      </c>
      <c r="V139" s="279">
        <v>-2684187</v>
      </c>
      <c r="W139" s="279">
        <v>6945000</v>
      </c>
      <c r="X139" s="279">
        <v>1492504.613775162</v>
      </c>
      <c r="Y139" s="354">
        <v>-16860729.449775219</v>
      </c>
      <c r="Z139" s="355">
        <v>-141.99346024418466</v>
      </c>
      <c r="AB139" s="366">
        <v>-25040215.222732477</v>
      </c>
      <c r="AC139" s="349">
        <v>-210.87740096454087</v>
      </c>
      <c r="AE139" s="374">
        <v>215.32166302571818</v>
      </c>
      <c r="AF139" s="350">
        <v>185.87740096454087</v>
      </c>
      <c r="AG139" s="350">
        <v>160.87740096454087</v>
      </c>
      <c r="AH139" s="350">
        <v>135.87740096454087</v>
      </c>
      <c r="AI139" s="350">
        <v>110.87740096454087</v>
      </c>
      <c r="AJ139" s="408">
        <v>-42475</v>
      </c>
      <c r="AK139" s="387">
        <v>-591196</v>
      </c>
      <c r="AL139" s="287">
        <v>0</v>
      </c>
      <c r="AM139" s="287">
        <v>-42475</v>
      </c>
      <c r="AN139" s="287">
        <v>-253954</v>
      </c>
      <c r="AO139" s="287">
        <v>-337242</v>
      </c>
      <c r="AP139" s="287">
        <v>386561</v>
      </c>
      <c r="AQ139" s="287">
        <v>226652</v>
      </c>
      <c r="AR139" s="287">
        <v>159909</v>
      </c>
      <c r="AS139" s="287">
        <v>22288</v>
      </c>
      <c r="AT139" s="287">
        <v>7853</v>
      </c>
      <c r="AU139" s="287">
        <v>14435</v>
      </c>
      <c r="AV139" s="353">
        <f t="shared" si="17"/>
        <v>188991.40264595722</v>
      </c>
      <c r="AW139" s="353">
        <f t="shared" si="18"/>
        <v>103224.51756202649</v>
      </c>
      <c r="AX139" s="353">
        <f t="shared" si="19"/>
        <v>85766.885083930727</v>
      </c>
      <c r="AY139" s="390">
        <v>25567940</v>
      </c>
      <c r="AZ139" s="390">
        <v>25567940</v>
      </c>
      <c r="BA139" s="401">
        <f t="shared" si="20"/>
        <v>36588.071452000004</v>
      </c>
      <c r="BB139" s="401">
        <v>-77922</v>
      </c>
      <c r="BC139" s="401">
        <v>250</v>
      </c>
      <c r="BD139" s="401">
        <v>9042</v>
      </c>
      <c r="BE139" s="401">
        <v>-35406</v>
      </c>
      <c r="BG139" s="426">
        <f t="shared" si="21"/>
        <v>0.60248438006215133</v>
      </c>
      <c r="BH139" s="426">
        <f t="shared" si="22"/>
        <v>3.4736844593950128E-2</v>
      </c>
      <c r="BI139" s="426">
        <f t="shared" si="23"/>
        <v>5.7025246025930051E-2</v>
      </c>
      <c r="BJ139" s="426">
        <f t="shared" si="24"/>
        <v>0.29492922735470006</v>
      </c>
      <c r="BK139" s="426">
        <f t="shared" si="25"/>
        <v>1.0824301963268293E-2</v>
      </c>
      <c r="BL139" s="425">
        <f t="shared" si="26"/>
        <v>641611812.34295726</v>
      </c>
      <c r="BN139" s="423">
        <f t="shared" si="27"/>
        <v>0.52663292969005482</v>
      </c>
      <c r="BO139" s="423">
        <f t="shared" si="28"/>
        <v>4.7538562843652536E-2</v>
      </c>
      <c r="BP139" s="423">
        <f t="shared" si="29"/>
        <v>0.12049689941810374</v>
      </c>
      <c r="BQ139" s="423">
        <f t="shared" si="30"/>
        <v>0.19825549461756853</v>
      </c>
      <c r="BR139" s="423">
        <f t="shared" si="31"/>
        <v>2.2872234945659757E-2</v>
      </c>
      <c r="BS139" s="423">
        <f t="shared" si="32"/>
        <v>8.4203878484960595E-2</v>
      </c>
      <c r="BT139" s="425">
        <f t="shared" si="33"/>
        <v>303643260.77010179</v>
      </c>
    </row>
    <row r="140" spans="1:72" x14ac:dyDescent="0.2">
      <c r="A140" s="309">
        <v>399</v>
      </c>
      <c r="B140" s="278" t="s">
        <v>269</v>
      </c>
      <c r="C140" s="278">
        <v>15</v>
      </c>
      <c r="D140" s="279">
        <v>8090</v>
      </c>
      <c r="E140" s="364">
        <v>45900000</v>
      </c>
      <c r="F140" s="279">
        <v>27604004</v>
      </c>
      <c r="G140" s="278">
        <v>946478.82499999995</v>
      </c>
      <c r="H140" s="279">
        <v>1228597.115</v>
      </c>
      <c r="I140" s="279">
        <v>15693853.751783403</v>
      </c>
      <c r="J140" s="279">
        <v>-571012</v>
      </c>
      <c r="K140" s="279">
        <v>-102000</v>
      </c>
      <c r="L140" s="280">
        <v>-16260.899999999998</v>
      </c>
      <c r="M140" s="369">
        <v>-1083817.4082166017</v>
      </c>
      <c r="N140" s="370">
        <v>-133.97001337658858</v>
      </c>
      <c r="P140" s="365">
        <v>18152411.654320989</v>
      </c>
      <c r="Q140" s="283">
        <v>12680913</v>
      </c>
      <c r="R140" s="279">
        <v>1228597.115</v>
      </c>
      <c r="S140" s="279">
        <v>612996.33853823331</v>
      </c>
      <c r="T140" s="280">
        <v>7042976.5760210669</v>
      </c>
      <c r="U140" s="280">
        <v>-1830067.0740223289</v>
      </c>
      <c r="V140" s="279">
        <v>-571012</v>
      </c>
      <c r="W140" s="279">
        <v>-102000</v>
      </c>
      <c r="X140" s="279">
        <v>100470.27607379256</v>
      </c>
      <c r="Y140" s="354">
        <v>1010462.5772897713</v>
      </c>
      <c r="Z140" s="355">
        <v>124.90266715571957</v>
      </c>
      <c r="AB140" s="366">
        <v>2094279.985506373</v>
      </c>
      <c r="AC140" s="349">
        <v>258.87268053230815</v>
      </c>
      <c r="AE140" s="374">
        <v>-254.4284184711299</v>
      </c>
      <c r="AF140" s="350">
        <v>-233.87268053230724</v>
      </c>
      <c r="AG140" s="350">
        <v>-208.87268053230724</v>
      </c>
      <c r="AH140" s="350">
        <v>-183.87268053230724</v>
      </c>
      <c r="AI140" s="350">
        <v>-158.87268053230724</v>
      </c>
      <c r="AJ140" s="408">
        <v>-1900</v>
      </c>
      <c r="AK140" s="387">
        <v>-44000</v>
      </c>
      <c r="AL140" s="287">
        <v>-231</v>
      </c>
      <c r="AM140" s="287">
        <v>-1669</v>
      </c>
      <c r="AN140" s="287">
        <v>-16483</v>
      </c>
      <c r="AO140" s="287">
        <v>-27517</v>
      </c>
      <c r="AP140" s="287">
        <v>27604</v>
      </c>
      <c r="AQ140" s="287">
        <v>14923</v>
      </c>
      <c r="AR140" s="287">
        <v>12681</v>
      </c>
      <c r="AS140" s="287">
        <v>946</v>
      </c>
      <c r="AT140" s="287">
        <v>333</v>
      </c>
      <c r="AU140" s="287">
        <v>613</v>
      </c>
      <c r="AV140" s="353">
        <f t="shared" si="17"/>
        <v>15106.580851783403</v>
      </c>
      <c r="AW140" s="353">
        <f t="shared" si="18"/>
        <v>12523.009255216106</v>
      </c>
      <c r="AX140" s="353">
        <f t="shared" si="19"/>
        <v>2583.5715965672966</v>
      </c>
      <c r="AY140" s="390">
        <v>2058326</v>
      </c>
      <c r="AZ140" s="390">
        <v>-2058326</v>
      </c>
      <c r="BA140" s="401">
        <f t="shared" si="20"/>
        <v>1228.597115</v>
      </c>
      <c r="BB140" s="401">
        <v>-7472</v>
      </c>
      <c r="BC140" s="401">
        <v>0</v>
      </c>
      <c r="BD140" s="401">
        <v>50</v>
      </c>
      <c r="BE140" s="401">
        <v>-6192</v>
      </c>
      <c r="BG140" s="426">
        <f t="shared" si="21"/>
        <v>0.61616188059236621</v>
      </c>
      <c r="BH140" s="426">
        <f t="shared" si="22"/>
        <v>2.1126796415217627E-2</v>
      </c>
      <c r="BI140" s="426">
        <f t="shared" si="23"/>
        <v>2.742409068150967E-2</v>
      </c>
      <c r="BJ140" s="426">
        <f t="shared" si="24"/>
        <v>0.3375640220049097</v>
      </c>
      <c r="BK140" s="426">
        <f t="shared" si="25"/>
        <v>-2.2767896940031366E-3</v>
      </c>
      <c r="BL140" s="425">
        <f t="shared" si="26"/>
        <v>44799921.691783398</v>
      </c>
      <c r="BN140" s="423">
        <f t="shared" si="27"/>
        <v>0.74575716264259928</v>
      </c>
      <c r="BO140" s="423">
        <f t="shared" si="28"/>
        <v>3.6049960293756067E-2</v>
      </c>
      <c r="BP140" s="423">
        <f t="shared" si="29"/>
        <v>7.2253086076158962E-2</v>
      </c>
      <c r="BQ140" s="423">
        <f t="shared" si="30"/>
        <v>0.27298730859271314</v>
      </c>
      <c r="BR140" s="423">
        <f t="shared" si="31"/>
        <v>-5.9985610333849878E-3</v>
      </c>
      <c r="BS140" s="423">
        <f t="shared" si="32"/>
        <v>-0.12104895657184229</v>
      </c>
      <c r="BT140" s="425">
        <f t="shared" si="33"/>
        <v>17004078.050105527</v>
      </c>
    </row>
    <row r="141" spans="1:72" x14ac:dyDescent="0.2">
      <c r="A141" s="309">
        <v>400</v>
      </c>
      <c r="B141" s="278" t="s">
        <v>86</v>
      </c>
      <c r="C141" s="278">
        <v>2</v>
      </c>
      <c r="D141" s="279">
        <v>8520</v>
      </c>
      <c r="E141" s="364">
        <v>49703000</v>
      </c>
      <c r="F141" s="279">
        <v>24918056</v>
      </c>
      <c r="G141" s="278">
        <v>1719235.5100000002</v>
      </c>
      <c r="H141" s="279">
        <v>2051378.4069000001</v>
      </c>
      <c r="I141" s="279">
        <v>19951201.42714544</v>
      </c>
      <c r="J141" s="279">
        <v>516959</v>
      </c>
      <c r="K141" s="279">
        <v>30000</v>
      </c>
      <c r="L141" s="280">
        <v>-17125.199999999997</v>
      </c>
      <c r="M141" s="369">
        <v>-499044.45595455467</v>
      </c>
      <c r="N141" s="370">
        <v>-58.573292952412523</v>
      </c>
      <c r="P141" s="365">
        <v>21219091.643799473</v>
      </c>
      <c r="Q141" s="283">
        <v>10908937</v>
      </c>
      <c r="R141" s="279">
        <v>2051378.4069000001</v>
      </c>
      <c r="S141" s="279">
        <v>1113479.8210777855</v>
      </c>
      <c r="T141" s="280">
        <v>6167620.8313759174</v>
      </c>
      <c r="U141" s="280">
        <v>34137.295853236785</v>
      </c>
      <c r="V141" s="279">
        <v>516959</v>
      </c>
      <c r="W141" s="279">
        <v>30000</v>
      </c>
      <c r="X141" s="279">
        <v>104408.95636178579</v>
      </c>
      <c r="Y141" s="354">
        <v>-292170.33223074675</v>
      </c>
      <c r="Z141" s="355">
        <v>-34.292292515345864</v>
      </c>
      <c r="AB141" s="366">
        <v>206874.12372380792</v>
      </c>
      <c r="AC141" s="349">
        <v>24.281000437066655</v>
      </c>
      <c r="AE141" s="374">
        <v>-19.836738375889325</v>
      </c>
      <c r="AF141" s="350">
        <v>0</v>
      </c>
      <c r="AG141" s="350">
        <v>0</v>
      </c>
      <c r="AH141" s="350">
        <v>0</v>
      </c>
      <c r="AI141" s="350">
        <v>0</v>
      </c>
      <c r="AJ141" s="408">
        <v>-2330</v>
      </c>
      <c r="AK141" s="387">
        <v>-47373</v>
      </c>
      <c r="AL141" s="287">
        <v>-267</v>
      </c>
      <c r="AM141" s="287">
        <v>-2063</v>
      </c>
      <c r="AN141" s="287">
        <v>-19156</v>
      </c>
      <c r="AO141" s="287">
        <v>-28217</v>
      </c>
      <c r="AP141" s="287">
        <v>24918</v>
      </c>
      <c r="AQ141" s="287">
        <v>14009</v>
      </c>
      <c r="AR141" s="287">
        <v>10909</v>
      </c>
      <c r="AS141" s="287">
        <v>1719</v>
      </c>
      <c r="AT141" s="287">
        <v>606</v>
      </c>
      <c r="AU141" s="287">
        <v>1113</v>
      </c>
      <c r="AV141" s="353">
        <f t="shared" si="17"/>
        <v>20451.035227145443</v>
      </c>
      <c r="AW141" s="353">
        <f t="shared" si="18"/>
        <v>13901.327110878865</v>
      </c>
      <c r="AX141" s="353">
        <f t="shared" si="19"/>
        <v>6549.7081162665772</v>
      </c>
      <c r="AY141" s="390">
        <v>169009</v>
      </c>
      <c r="AZ141" s="390">
        <v>-169009</v>
      </c>
      <c r="BA141" s="401">
        <f t="shared" si="20"/>
        <v>2051.3784069000003</v>
      </c>
      <c r="BB141" s="401">
        <v>-7660</v>
      </c>
      <c r="BC141" s="401">
        <v>0</v>
      </c>
      <c r="BD141" s="401">
        <v>0</v>
      </c>
      <c r="BE141" s="401">
        <v>-5861</v>
      </c>
      <c r="BG141" s="426">
        <f t="shared" si="21"/>
        <v>0.50660015751587417</v>
      </c>
      <c r="BH141" s="426">
        <f t="shared" si="22"/>
        <v>3.4953167300566475E-2</v>
      </c>
      <c r="BI141" s="426">
        <f t="shared" si="23"/>
        <v>4.1705846718548309E-2</v>
      </c>
      <c r="BJ141" s="426">
        <f t="shared" si="24"/>
        <v>0.41613090910671607</v>
      </c>
      <c r="BK141" s="426">
        <f t="shared" si="25"/>
        <v>6.0991935829489365E-4</v>
      </c>
      <c r="BL141" s="425">
        <f t="shared" si="26"/>
        <v>49186830.344045445</v>
      </c>
      <c r="BN141" s="423">
        <f t="shared" si="27"/>
        <v>0.52818821185801679</v>
      </c>
      <c r="BO141" s="423">
        <f t="shared" si="28"/>
        <v>5.3912394547246896E-2</v>
      </c>
      <c r="BP141" s="423">
        <f t="shared" si="29"/>
        <v>9.9323508109420575E-2</v>
      </c>
      <c r="BQ141" s="423">
        <f t="shared" si="30"/>
        <v>0.32530641486067785</v>
      </c>
      <c r="BR141" s="423">
        <f t="shared" si="31"/>
        <v>1.4525380755008946E-3</v>
      </c>
      <c r="BS141" s="423">
        <f t="shared" si="32"/>
        <v>-8.1830674508630418E-3</v>
      </c>
      <c r="BT141" s="425">
        <f t="shared" si="33"/>
        <v>20653503.344244365</v>
      </c>
    </row>
    <row r="142" spans="1:72" x14ac:dyDescent="0.2">
      <c r="A142" s="309">
        <v>402</v>
      </c>
      <c r="B142" s="278" t="s">
        <v>87</v>
      </c>
      <c r="C142" s="278">
        <v>11</v>
      </c>
      <c r="D142" s="279">
        <v>9982</v>
      </c>
      <c r="E142" s="364">
        <v>61225000</v>
      </c>
      <c r="F142" s="279">
        <v>25617502</v>
      </c>
      <c r="G142" s="278">
        <v>1405466.53</v>
      </c>
      <c r="H142" s="279">
        <v>2253066.8366999999</v>
      </c>
      <c r="I142" s="279">
        <v>31704073.259775627</v>
      </c>
      <c r="J142" s="279">
        <v>-604814</v>
      </c>
      <c r="K142" s="279">
        <v>996000</v>
      </c>
      <c r="L142" s="280">
        <v>-20063.819999999996</v>
      </c>
      <c r="M142" s="369">
        <v>166358.4464756322</v>
      </c>
      <c r="N142" s="370">
        <v>16.665843165260689</v>
      </c>
      <c r="P142" s="365">
        <v>23452598.91429881</v>
      </c>
      <c r="Q142" s="283">
        <v>10856076</v>
      </c>
      <c r="R142" s="279">
        <v>2253066.8366999999</v>
      </c>
      <c r="S142" s="279">
        <v>910264.24899472645</v>
      </c>
      <c r="T142" s="280">
        <v>8172522.5086391466</v>
      </c>
      <c r="U142" s="280">
        <v>769220.59152168455</v>
      </c>
      <c r="V142" s="279">
        <v>-604814</v>
      </c>
      <c r="W142" s="279">
        <v>996000</v>
      </c>
      <c r="X142" s="279">
        <v>119736.98078092851</v>
      </c>
      <c r="Y142" s="354">
        <v>19474.252337675542</v>
      </c>
      <c r="Z142" s="355">
        <v>1.9509369202239573</v>
      </c>
      <c r="AB142" s="366">
        <v>-146884.19413795666</v>
      </c>
      <c r="AC142" s="349">
        <v>-14.714906245036731</v>
      </c>
      <c r="AE142" s="374">
        <v>19.159168306213321</v>
      </c>
      <c r="AF142" s="350">
        <v>0</v>
      </c>
      <c r="AG142" s="350">
        <v>0</v>
      </c>
      <c r="AH142" s="350">
        <v>0</v>
      </c>
      <c r="AI142" s="350">
        <v>0</v>
      </c>
      <c r="AJ142" s="408">
        <v>-3240</v>
      </c>
      <c r="AK142" s="387">
        <v>-57985</v>
      </c>
      <c r="AL142" s="287">
        <v>-1047</v>
      </c>
      <c r="AM142" s="287">
        <v>-2193</v>
      </c>
      <c r="AN142" s="287">
        <v>-21260</v>
      </c>
      <c r="AO142" s="287">
        <v>-36725</v>
      </c>
      <c r="AP142" s="287">
        <v>25618</v>
      </c>
      <c r="AQ142" s="287">
        <v>14762</v>
      </c>
      <c r="AR142" s="287">
        <v>10856</v>
      </c>
      <c r="AS142" s="287">
        <v>1405</v>
      </c>
      <c r="AT142" s="287">
        <v>495</v>
      </c>
      <c r="AU142" s="287">
        <v>910</v>
      </c>
      <c r="AV142" s="353">
        <f t="shared" si="17"/>
        <v>31079.195439775627</v>
      </c>
      <c r="AW142" s="353">
        <f t="shared" si="18"/>
        <v>22551.019521582173</v>
      </c>
      <c r="AX142" s="353">
        <f t="shared" si="19"/>
        <v>8528.1759181934522</v>
      </c>
      <c r="AY142" s="390">
        <v>191247</v>
      </c>
      <c r="AZ142" s="390">
        <v>191247</v>
      </c>
      <c r="BA142" s="401">
        <f t="shared" si="20"/>
        <v>2253.0668366999998</v>
      </c>
      <c r="BB142" s="401">
        <v>-1375</v>
      </c>
      <c r="BC142" s="401">
        <v>65</v>
      </c>
      <c r="BD142" s="401">
        <v>0</v>
      </c>
      <c r="BE142" s="401">
        <v>1932</v>
      </c>
      <c r="BG142" s="426">
        <f t="shared" si="21"/>
        <v>0.4174183086069132</v>
      </c>
      <c r="BH142" s="426">
        <f t="shared" si="22"/>
        <v>2.2901040927262441E-2</v>
      </c>
      <c r="BI142" s="426">
        <f t="shared" si="23"/>
        <v>3.6712063032283256E-2</v>
      </c>
      <c r="BJ142" s="426">
        <f t="shared" si="24"/>
        <v>0.50673950173375315</v>
      </c>
      <c r="BK142" s="426">
        <f t="shared" si="25"/>
        <v>1.6229085699787808E-2</v>
      </c>
      <c r="BL142" s="425">
        <f t="shared" si="26"/>
        <v>61371294.626475632</v>
      </c>
      <c r="BN142" s="423">
        <f t="shared" si="27"/>
        <v>0.46110551644612202</v>
      </c>
      <c r="BO142" s="423">
        <f t="shared" si="28"/>
        <v>3.8662944754177732E-2</v>
      </c>
      <c r="BP142" s="423">
        <f t="shared" si="29"/>
        <v>9.5697703970033368E-2</v>
      </c>
      <c r="BQ142" s="423">
        <f t="shared" si="30"/>
        <v>0.35410621649151719</v>
      </c>
      <c r="BR142" s="423">
        <f t="shared" si="31"/>
        <v>4.2304520931903712E-2</v>
      </c>
      <c r="BS142" s="423">
        <f t="shared" si="32"/>
        <v>8.1230974062459962E-3</v>
      </c>
      <c r="BT142" s="425">
        <f t="shared" si="33"/>
        <v>23543583.003888179</v>
      </c>
    </row>
    <row r="143" spans="1:72" x14ac:dyDescent="0.2">
      <c r="A143" s="309">
        <v>403</v>
      </c>
      <c r="B143" s="278" t="s">
        <v>88</v>
      </c>
      <c r="C143" s="278">
        <v>14</v>
      </c>
      <c r="D143" s="279">
        <v>3215</v>
      </c>
      <c r="E143" s="364">
        <v>20838000</v>
      </c>
      <c r="F143" s="279">
        <v>8424044</v>
      </c>
      <c r="G143" s="278">
        <v>762717.49</v>
      </c>
      <c r="H143" s="279">
        <v>930814.62199999997</v>
      </c>
      <c r="I143" s="279">
        <v>10696479.868240295</v>
      </c>
      <c r="J143" s="279">
        <v>52493</v>
      </c>
      <c r="K143" s="279">
        <v>-89000</v>
      </c>
      <c r="L143" s="280">
        <v>-6462.15</v>
      </c>
      <c r="M143" s="369">
        <v>-53988.869759707151</v>
      </c>
      <c r="N143" s="370">
        <v>-16.792805524014668</v>
      </c>
      <c r="P143" s="365">
        <v>7865725.1451931335</v>
      </c>
      <c r="Q143" s="283">
        <v>3796781</v>
      </c>
      <c r="R143" s="279">
        <v>930814.62199999997</v>
      </c>
      <c r="S143" s="279">
        <v>493981.49896176666</v>
      </c>
      <c r="T143" s="280">
        <v>1880020.2539043853</v>
      </c>
      <c r="U143" s="280">
        <v>548226.86890426057</v>
      </c>
      <c r="V143" s="279">
        <v>52493</v>
      </c>
      <c r="W143" s="279">
        <v>-89000</v>
      </c>
      <c r="X143" s="279">
        <v>38781.149186966788</v>
      </c>
      <c r="Y143" s="354">
        <v>-213626.75223575439</v>
      </c>
      <c r="Z143" s="355">
        <v>-66.446890275506803</v>
      </c>
      <c r="AB143" s="366">
        <v>-159637.88247604723</v>
      </c>
      <c r="AC143" s="349">
        <v>-49.654084751492142</v>
      </c>
      <c r="AE143" s="374">
        <v>54.098346812670627</v>
      </c>
      <c r="AF143" s="350">
        <v>24.654084751493301</v>
      </c>
      <c r="AG143" s="350">
        <v>0</v>
      </c>
      <c r="AH143" s="350">
        <v>0</v>
      </c>
      <c r="AI143" s="350">
        <v>0</v>
      </c>
      <c r="AJ143" s="408">
        <v>-1250</v>
      </c>
      <c r="AK143" s="387">
        <v>-19588</v>
      </c>
      <c r="AL143" s="287">
        <v>0</v>
      </c>
      <c r="AM143" s="287">
        <v>-1250</v>
      </c>
      <c r="AN143" s="287">
        <v>-6616</v>
      </c>
      <c r="AO143" s="287">
        <v>-12972</v>
      </c>
      <c r="AP143" s="287">
        <v>8424</v>
      </c>
      <c r="AQ143" s="287">
        <v>4627</v>
      </c>
      <c r="AR143" s="287">
        <v>3797</v>
      </c>
      <c r="AS143" s="287">
        <v>763</v>
      </c>
      <c r="AT143" s="287">
        <v>269</v>
      </c>
      <c r="AU143" s="287">
        <v>494</v>
      </c>
      <c r="AV143" s="353">
        <f t="shared" si="17"/>
        <v>10742.510718240295</v>
      </c>
      <c r="AW143" s="353">
        <f t="shared" si="18"/>
        <v>8087.8444104289129</v>
      </c>
      <c r="AX143" s="353">
        <f t="shared" si="19"/>
        <v>2654.6663078113825</v>
      </c>
      <c r="AY143" s="390">
        <v>173926</v>
      </c>
      <c r="AZ143" s="390">
        <v>173926</v>
      </c>
      <c r="BA143" s="401">
        <f t="shared" si="20"/>
        <v>930.81462199999999</v>
      </c>
      <c r="BB143" s="401">
        <v>-2782</v>
      </c>
      <c r="BC143" s="401">
        <v>410</v>
      </c>
      <c r="BD143" s="401">
        <v>110</v>
      </c>
      <c r="BE143" s="401">
        <v>-1126</v>
      </c>
      <c r="BG143" s="426">
        <f t="shared" si="21"/>
        <v>0.40543973728621074</v>
      </c>
      <c r="BH143" s="426">
        <f t="shared" si="22"/>
        <v>3.6708732619297579E-2</v>
      </c>
      <c r="BI143" s="426">
        <f t="shared" si="23"/>
        <v>4.4799058006563537E-2</v>
      </c>
      <c r="BJ143" s="426">
        <f t="shared" si="24"/>
        <v>0.51733594171587327</v>
      </c>
      <c r="BK143" s="426">
        <f t="shared" si="25"/>
        <v>-4.2834696279450525E-3</v>
      </c>
      <c r="BL143" s="425">
        <f t="shared" si="26"/>
        <v>20777548.980240293</v>
      </c>
      <c r="BN143" s="423">
        <f t="shared" si="27"/>
        <v>0.48756418554622855</v>
      </c>
      <c r="BO143" s="423">
        <f t="shared" si="28"/>
        <v>6.3434706193535764E-2</v>
      </c>
      <c r="BP143" s="423">
        <f t="shared" si="29"/>
        <v>0.11953069536271661</v>
      </c>
      <c r="BQ143" s="423">
        <f t="shared" si="30"/>
        <v>0.31856460447127405</v>
      </c>
      <c r="BR143" s="423">
        <f t="shared" si="31"/>
        <v>-1.1428947972931369E-2</v>
      </c>
      <c r="BS143" s="423">
        <f t="shared" si="32"/>
        <v>2.2334756399176481E-2</v>
      </c>
      <c r="BT143" s="425">
        <f t="shared" si="33"/>
        <v>7787243.428773148</v>
      </c>
    </row>
    <row r="144" spans="1:72" x14ac:dyDescent="0.2">
      <c r="A144" s="309">
        <v>408</v>
      </c>
      <c r="B144" s="278" t="s">
        <v>272</v>
      </c>
      <c r="C144" s="278">
        <v>14</v>
      </c>
      <c r="D144" s="279">
        <v>14609</v>
      </c>
      <c r="E144" s="364">
        <v>82946000</v>
      </c>
      <c r="F144" s="279">
        <v>43416683</v>
      </c>
      <c r="G144" s="278">
        <v>2011194.2850000001</v>
      </c>
      <c r="H144" s="279">
        <v>2847211.7865000004</v>
      </c>
      <c r="I144" s="279">
        <v>36965200.331411034</v>
      </c>
      <c r="J144" s="279">
        <v>-492974</v>
      </c>
      <c r="K144" s="279">
        <v>-168000</v>
      </c>
      <c r="L144" s="280">
        <v>-29364.089999999997</v>
      </c>
      <c r="M144" s="369">
        <v>1662679.4929110373</v>
      </c>
      <c r="N144" s="370">
        <v>113.8119989671461</v>
      </c>
      <c r="P144" s="365">
        <v>36142477.229820266</v>
      </c>
      <c r="Q144" s="283">
        <v>19218021</v>
      </c>
      <c r="R144" s="279">
        <v>2847211.7865000004</v>
      </c>
      <c r="S144" s="279">
        <v>1302569.7989535267</v>
      </c>
      <c r="T144" s="280">
        <v>13168545.728448015</v>
      </c>
      <c r="U144" s="280">
        <v>1550789.9027545142</v>
      </c>
      <c r="V144" s="279">
        <v>-492974</v>
      </c>
      <c r="W144" s="279">
        <v>-168000</v>
      </c>
      <c r="X144" s="279">
        <v>178395.36986304575</v>
      </c>
      <c r="Y144" s="354">
        <v>1462082.3566988409</v>
      </c>
      <c r="Z144" s="355">
        <v>100.08093344505721</v>
      </c>
      <c r="AB144" s="366">
        <v>-200597.13621219643</v>
      </c>
      <c r="AC144" s="349">
        <v>-13.73106552208888</v>
      </c>
      <c r="AE144" s="374">
        <v>18.17532758326621</v>
      </c>
      <c r="AF144" s="350">
        <v>0</v>
      </c>
      <c r="AG144" s="350">
        <v>0</v>
      </c>
      <c r="AH144" s="350">
        <v>0</v>
      </c>
      <c r="AI144" s="350">
        <v>0</v>
      </c>
      <c r="AJ144" s="408">
        <v>-4700</v>
      </c>
      <c r="AK144" s="387">
        <v>-78246</v>
      </c>
      <c r="AL144" s="287">
        <v>-203</v>
      </c>
      <c r="AM144" s="287">
        <v>-4497</v>
      </c>
      <c r="AN144" s="287">
        <v>-31645</v>
      </c>
      <c r="AO144" s="287">
        <v>-46601</v>
      </c>
      <c r="AP144" s="287">
        <v>43417</v>
      </c>
      <c r="AQ144" s="287">
        <v>24199</v>
      </c>
      <c r="AR144" s="287">
        <v>19218</v>
      </c>
      <c r="AS144" s="287">
        <v>2011</v>
      </c>
      <c r="AT144" s="287">
        <v>708</v>
      </c>
      <c r="AU144" s="287">
        <v>1303</v>
      </c>
      <c r="AV144" s="353">
        <f t="shared" si="17"/>
        <v>36442.862241411029</v>
      </c>
      <c r="AW144" s="353">
        <f t="shared" si="18"/>
        <v>21950.977249544565</v>
      </c>
      <c r="AX144" s="353">
        <f t="shared" si="19"/>
        <v>14491.884991866464</v>
      </c>
      <c r="AY144" s="390">
        <v>265523</v>
      </c>
      <c r="AZ144" s="390">
        <v>265523</v>
      </c>
      <c r="BA144" s="401">
        <f t="shared" si="20"/>
        <v>2847.2117865000005</v>
      </c>
      <c r="BB144" s="401">
        <v>-14067</v>
      </c>
      <c r="BC144" s="401">
        <v>696</v>
      </c>
      <c r="BD144" s="401">
        <v>2400</v>
      </c>
      <c r="BE144" s="401">
        <v>-6155</v>
      </c>
      <c r="BG144" s="426">
        <f t="shared" si="21"/>
        <v>0.51332507000293937</v>
      </c>
      <c r="BH144" s="426">
        <f t="shared" si="22"/>
        <v>2.3778795978889884E-2</v>
      </c>
      <c r="BI144" s="426">
        <f t="shared" si="23"/>
        <v>3.366321627145738E-2</v>
      </c>
      <c r="BJ144" s="426">
        <f t="shared" si="24"/>
        <v>0.43121921899778987</v>
      </c>
      <c r="BK144" s="426">
        <f t="shared" si="25"/>
        <v>-1.9863012510765465E-3</v>
      </c>
      <c r="BL144" s="425">
        <f t="shared" si="26"/>
        <v>84579315.402911037</v>
      </c>
      <c r="BN144" s="423">
        <f t="shared" si="27"/>
        <v>0.50987425173193757</v>
      </c>
      <c r="BO144" s="423">
        <f t="shared" si="28"/>
        <v>3.4558542816143754E-2</v>
      </c>
      <c r="BP144" s="423">
        <f t="shared" si="29"/>
        <v>7.5539514665117755E-2</v>
      </c>
      <c r="BQ144" s="423">
        <f t="shared" si="30"/>
        <v>0.37744029375227223</v>
      </c>
      <c r="BR144" s="423">
        <f t="shared" si="31"/>
        <v>-4.4572161873985628E-3</v>
      </c>
      <c r="BS144" s="423">
        <f t="shared" si="32"/>
        <v>7.0446132219271589E-3</v>
      </c>
      <c r="BT144" s="425">
        <f t="shared" si="33"/>
        <v>37691687.577319995</v>
      </c>
    </row>
    <row r="145" spans="1:72" x14ac:dyDescent="0.2">
      <c r="A145" s="309">
        <v>407</v>
      </c>
      <c r="B145" s="278" t="s">
        <v>270</v>
      </c>
      <c r="C145" s="278">
        <v>1</v>
      </c>
      <c r="D145" s="279">
        <v>2774</v>
      </c>
      <c r="E145" s="364">
        <v>15986000</v>
      </c>
      <c r="F145" s="279">
        <v>7647309</v>
      </c>
      <c r="G145" s="278">
        <v>426684.46499999997</v>
      </c>
      <c r="H145" s="279">
        <v>551345.82400000002</v>
      </c>
      <c r="I145" s="279">
        <v>7426146.6660735663</v>
      </c>
      <c r="J145" s="279">
        <v>-644070</v>
      </c>
      <c r="K145" s="279">
        <v>691000</v>
      </c>
      <c r="L145" s="280">
        <v>-5575.74</v>
      </c>
      <c r="M145" s="369">
        <v>117991.69507356711</v>
      </c>
      <c r="N145" s="370">
        <v>42.534857632864856</v>
      </c>
      <c r="P145" s="365">
        <v>6869905.308924485</v>
      </c>
      <c r="Q145" s="283">
        <v>3305572</v>
      </c>
      <c r="R145" s="279">
        <v>551345.82400000002</v>
      </c>
      <c r="S145" s="279">
        <v>276346.39872280817</v>
      </c>
      <c r="T145" s="280">
        <v>2359244.637639707</v>
      </c>
      <c r="U145" s="280">
        <v>348567.21648729732</v>
      </c>
      <c r="V145" s="279">
        <v>-644070</v>
      </c>
      <c r="W145" s="279">
        <v>691000</v>
      </c>
      <c r="X145" s="279">
        <v>33478.930608335308</v>
      </c>
      <c r="Y145" s="354">
        <v>51579.698533662595</v>
      </c>
      <c r="Z145" s="355">
        <v>18.593979283944698</v>
      </c>
      <c r="AB145" s="366">
        <v>-66411.996539904518</v>
      </c>
      <c r="AC145" s="349">
        <v>-23.940878348920158</v>
      </c>
      <c r="AE145" s="374">
        <v>28.385140410096824</v>
      </c>
      <c r="AF145" s="350">
        <v>0</v>
      </c>
      <c r="AG145" s="350">
        <v>0</v>
      </c>
      <c r="AH145" s="350">
        <v>0</v>
      </c>
      <c r="AI145" s="350">
        <v>0</v>
      </c>
      <c r="AJ145" s="408">
        <v>-750</v>
      </c>
      <c r="AK145" s="387">
        <v>-15236</v>
      </c>
      <c r="AL145" s="287">
        <v>-32</v>
      </c>
      <c r="AM145" s="287">
        <v>-718</v>
      </c>
      <c r="AN145" s="287">
        <v>-6152</v>
      </c>
      <c r="AO145" s="287">
        <v>-9084</v>
      </c>
      <c r="AP145" s="287">
        <v>7647</v>
      </c>
      <c r="AQ145" s="287">
        <v>4341</v>
      </c>
      <c r="AR145" s="287">
        <v>3306</v>
      </c>
      <c r="AS145" s="287">
        <v>427</v>
      </c>
      <c r="AT145" s="287">
        <v>151</v>
      </c>
      <c r="AU145" s="287">
        <v>276</v>
      </c>
      <c r="AV145" s="353">
        <f t="shared" si="17"/>
        <v>6776.500926073566</v>
      </c>
      <c r="AW145" s="353">
        <f t="shared" si="18"/>
        <v>4634.0186924489535</v>
      </c>
      <c r="AX145" s="353">
        <f t="shared" si="19"/>
        <v>2142.4822336246129</v>
      </c>
      <c r="AY145" s="390">
        <v>78740</v>
      </c>
      <c r="AZ145" s="390">
        <v>78740</v>
      </c>
      <c r="BA145" s="401">
        <f t="shared" si="20"/>
        <v>551.34582399999999</v>
      </c>
      <c r="BB145" s="401">
        <v>-2957</v>
      </c>
      <c r="BC145" s="401">
        <v>60</v>
      </c>
      <c r="BD145" s="401">
        <v>0</v>
      </c>
      <c r="BE145" s="401">
        <v>-2212</v>
      </c>
      <c r="BG145" s="426">
        <f t="shared" si="21"/>
        <v>0.47503487432189739</v>
      </c>
      <c r="BH145" s="426">
        <f t="shared" si="22"/>
        <v>2.6504748429333903E-2</v>
      </c>
      <c r="BI145" s="426">
        <f t="shared" si="23"/>
        <v>3.4248451868721795E-2</v>
      </c>
      <c r="BJ145" s="426">
        <f t="shared" si="24"/>
        <v>0.42128844757152217</v>
      </c>
      <c r="BK145" s="426">
        <f t="shared" si="25"/>
        <v>4.2923477808524686E-2</v>
      </c>
      <c r="BL145" s="425">
        <f t="shared" si="26"/>
        <v>16098415.955073567</v>
      </c>
      <c r="BN145" s="423">
        <f t="shared" si="27"/>
        <v>0.47447858490505057</v>
      </c>
      <c r="BO145" s="423">
        <f t="shared" si="28"/>
        <v>3.9666492882201594E-2</v>
      </c>
      <c r="BP145" s="423">
        <f t="shared" si="29"/>
        <v>7.9139642508113298E-2</v>
      </c>
      <c r="BQ145" s="423">
        <f t="shared" si="30"/>
        <v>0.29622749543967164</v>
      </c>
      <c r="BR145" s="423">
        <f t="shared" si="31"/>
        <v>9.9185466893291066E-2</v>
      </c>
      <c r="BS145" s="423">
        <f t="shared" si="32"/>
        <v>1.1302317371671826E-2</v>
      </c>
      <c r="BT145" s="425">
        <f t="shared" si="33"/>
        <v>6966746.4563474208</v>
      </c>
    </row>
    <row r="146" spans="1:72" x14ac:dyDescent="0.2">
      <c r="A146" s="309">
        <v>440</v>
      </c>
      <c r="B146" s="278" t="s">
        <v>277</v>
      </c>
      <c r="C146" s="278">
        <v>15</v>
      </c>
      <c r="D146" s="279">
        <v>5147</v>
      </c>
      <c r="E146" s="364">
        <v>27768000</v>
      </c>
      <c r="F146" s="279">
        <v>13177701</v>
      </c>
      <c r="G146" s="278">
        <v>307618.58</v>
      </c>
      <c r="H146" s="279">
        <v>1037168.2010999998</v>
      </c>
      <c r="I146" s="279">
        <v>14804503.957251571</v>
      </c>
      <c r="J146" s="279">
        <v>-1081884</v>
      </c>
      <c r="K146" s="279">
        <v>19000</v>
      </c>
      <c r="L146" s="280">
        <v>608630.01200874965</v>
      </c>
      <c r="M146" s="369">
        <v>-112522.27365718107</v>
      </c>
      <c r="N146" s="370">
        <v>-21.861720158768421</v>
      </c>
      <c r="P146" s="365">
        <v>13960962.72616408</v>
      </c>
      <c r="Q146" s="283">
        <v>5167616</v>
      </c>
      <c r="R146" s="279">
        <v>1037168.2010999998</v>
      </c>
      <c r="S146" s="279">
        <v>199232.20491100859</v>
      </c>
      <c r="T146" s="280">
        <v>10509106.978980612</v>
      </c>
      <c r="U146" s="280">
        <v>-833604.9327365614</v>
      </c>
      <c r="V146" s="279">
        <v>-1081884</v>
      </c>
      <c r="W146" s="279">
        <v>19000</v>
      </c>
      <c r="X146" s="279">
        <v>60345.97754568934</v>
      </c>
      <c r="Y146" s="354">
        <v>1116017.7036366686</v>
      </c>
      <c r="Z146" s="355">
        <v>216.82877474969277</v>
      </c>
      <c r="AB146" s="366">
        <v>1228539.9772938497</v>
      </c>
      <c r="AC146" s="349">
        <v>238.69049490846118</v>
      </c>
      <c r="AE146" s="374">
        <v>-234.24623284728386</v>
      </c>
      <c r="AF146" s="350">
        <v>-213.69049490846118</v>
      </c>
      <c r="AG146" s="350">
        <v>-188.69049490846118</v>
      </c>
      <c r="AH146" s="350">
        <v>-163.69049490846118</v>
      </c>
      <c r="AI146" s="350">
        <v>-138.69049490846118</v>
      </c>
      <c r="AJ146" s="408">
        <v>-1230</v>
      </c>
      <c r="AK146" s="387">
        <v>-26538</v>
      </c>
      <c r="AL146" s="287">
        <v>-8</v>
      </c>
      <c r="AM146" s="287">
        <v>-1222</v>
      </c>
      <c r="AN146" s="287">
        <v>-12739</v>
      </c>
      <c r="AO146" s="287">
        <v>-13799</v>
      </c>
      <c r="AP146" s="287">
        <v>13178</v>
      </c>
      <c r="AQ146" s="287">
        <v>8010</v>
      </c>
      <c r="AR146" s="287">
        <v>5168</v>
      </c>
      <c r="AS146" s="287">
        <v>308</v>
      </c>
      <c r="AT146" s="287">
        <v>109</v>
      </c>
      <c r="AU146" s="287">
        <v>199</v>
      </c>
      <c r="AV146" s="353">
        <f t="shared" si="17"/>
        <v>14331.24996926032</v>
      </c>
      <c r="AW146" s="353">
        <f t="shared" si="18"/>
        <v>6943.2972834812381</v>
      </c>
      <c r="AX146" s="353">
        <f t="shared" si="19"/>
        <v>7387.9526857790815</v>
      </c>
      <c r="AY146" s="390">
        <v>1205665</v>
      </c>
      <c r="AZ146" s="390">
        <v>-1205665</v>
      </c>
      <c r="BA146" s="401">
        <f t="shared" si="20"/>
        <v>1037.1682010999998</v>
      </c>
      <c r="BB146" s="401">
        <v>-10441</v>
      </c>
      <c r="BC146" s="401">
        <v>336</v>
      </c>
      <c r="BD146" s="401">
        <v>150</v>
      </c>
      <c r="BE146" s="401">
        <v>-8500</v>
      </c>
      <c r="BG146" s="426">
        <f t="shared" si="21"/>
        <v>0.46623445968963589</v>
      </c>
      <c r="BH146" s="426">
        <f t="shared" si="22"/>
        <v>1.0883718065601355E-2</v>
      </c>
      <c r="BI146" s="426">
        <f t="shared" si="23"/>
        <v>3.6695593248559068E-2</v>
      </c>
      <c r="BJ146" s="426">
        <f t="shared" si="24"/>
        <v>0.48551399832910158</v>
      </c>
      <c r="BK146" s="426">
        <f t="shared" si="25"/>
        <v>6.7223066710218134E-4</v>
      </c>
      <c r="BL146" s="425">
        <f t="shared" si="26"/>
        <v>28264107.738351569</v>
      </c>
      <c r="BN146" s="423">
        <f t="shared" si="27"/>
        <v>0.37416751609935045</v>
      </c>
      <c r="BO146" s="423">
        <f t="shared" si="28"/>
        <v>1.4425649900950245E-2</v>
      </c>
      <c r="BP146" s="423">
        <f t="shared" si="29"/>
        <v>7.5097423953873227E-2</v>
      </c>
      <c r="BQ146" s="423">
        <f t="shared" si="30"/>
        <v>0.62223135749051206</v>
      </c>
      <c r="BR146" s="423">
        <f t="shared" si="31"/>
        <v>1.3757180885514053E-3</v>
      </c>
      <c r="BS146" s="423">
        <f t="shared" si="32"/>
        <v>-8.7297665533237354E-2</v>
      </c>
      <c r="BT146" s="425">
        <f t="shared" si="33"/>
        <v>13810969.091790089</v>
      </c>
    </row>
    <row r="147" spans="1:72" x14ac:dyDescent="0.2">
      <c r="A147" s="309">
        <v>410</v>
      </c>
      <c r="B147" s="278" t="s">
        <v>89</v>
      </c>
      <c r="C147" s="278">
        <v>13</v>
      </c>
      <c r="D147" s="279">
        <v>18865</v>
      </c>
      <c r="E147" s="364">
        <v>103053000</v>
      </c>
      <c r="F147" s="279">
        <v>58817226</v>
      </c>
      <c r="G147" s="278">
        <v>2196432.46</v>
      </c>
      <c r="H147" s="279">
        <v>4818074.18</v>
      </c>
      <c r="I147" s="279">
        <v>39404411.903444491</v>
      </c>
      <c r="J147" s="279">
        <v>-2352788</v>
      </c>
      <c r="K147" s="279">
        <v>616000</v>
      </c>
      <c r="L147" s="280">
        <v>-37918.649999999994</v>
      </c>
      <c r="M147" s="369">
        <v>484275.1934444845</v>
      </c>
      <c r="N147" s="370">
        <v>25.670564190007131</v>
      </c>
      <c r="P147" s="365">
        <v>47260638.769340537</v>
      </c>
      <c r="Q147" s="283">
        <v>26668983</v>
      </c>
      <c r="R147" s="279">
        <v>4818074.18</v>
      </c>
      <c r="S147" s="279">
        <v>1422541.1285102176</v>
      </c>
      <c r="T147" s="280">
        <v>20390864.889832556</v>
      </c>
      <c r="U147" s="280">
        <v>-2183994.5323242657</v>
      </c>
      <c r="V147" s="279">
        <v>-2352788</v>
      </c>
      <c r="W147" s="279">
        <v>616000</v>
      </c>
      <c r="X147" s="279">
        <v>227272.81804586411</v>
      </c>
      <c r="Y147" s="354">
        <v>2346314.7147238255</v>
      </c>
      <c r="Z147" s="355">
        <v>124.37395784382855</v>
      </c>
      <c r="AB147" s="366">
        <v>1862039.5212793411</v>
      </c>
      <c r="AC147" s="349">
        <v>98.703393653821422</v>
      </c>
      <c r="AE147" s="374">
        <v>-94.259131592644081</v>
      </c>
      <c r="AF147" s="350">
        <v>-73.703393653821422</v>
      </c>
      <c r="AG147" s="350">
        <v>-48.703393653821422</v>
      </c>
      <c r="AH147" s="350">
        <v>-23.703393653821422</v>
      </c>
      <c r="AI147" s="350">
        <v>0</v>
      </c>
      <c r="AJ147" s="408">
        <v>-5300</v>
      </c>
      <c r="AK147" s="387">
        <v>-97753</v>
      </c>
      <c r="AL147" s="287">
        <v>0</v>
      </c>
      <c r="AM147" s="287">
        <v>-5300</v>
      </c>
      <c r="AN147" s="287">
        <v>-41961</v>
      </c>
      <c r="AO147" s="287">
        <v>-55792</v>
      </c>
      <c r="AP147" s="287">
        <v>58817</v>
      </c>
      <c r="AQ147" s="287">
        <v>32148</v>
      </c>
      <c r="AR147" s="287">
        <v>26669</v>
      </c>
      <c r="AS147" s="287">
        <v>2196</v>
      </c>
      <c r="AT147" s="287">
        <v>773</v>
      </c>
      <c r="AU147" s="287">
        <v>1423</v>
      </c>
      <c r="AV147" s="353">
        <f t="shared" si="17"/>
        <v>37013.705253444496</v>
      </c>
      <c r="AW147" s="353">
        <f t="shared" si="18"/>
        <v>22937.821413431433</v>
      </c>
      <c r="AX147" s="353">
        <f t="shared" si="19"/>
        <v>14075.883840013061</v>
      </c>
      <c r="AY147" s="390">
        <v>1778199</v>
      </c>
      <c r="AZ147" s="390">
        <v>-1778199</v>
      </c>
      <c r="BA147" s="401">
        <f t="shared" si="20"/>
        <v>4818.0741799999996</v>
      </c>
      <c r="BB147" s="401">
        <v>-15430</v>
      </c>
      <c r="BC147" s="401">
        <v>700</v>
      </c>
      <c r="BD147" s="401">
        <v>0</v>
      </c>
      <c r="BE147" s="401">
        <v>-8753</v>
      </c>
      <c r="BG147" s="426">
        <f t="shared" si="21"/>
        <v>0.56828590982892835</v>
      </c>
      <c r="BH147" s="426">
        <f t="shared" si="22"/>
        <v>2.1221701596550836E-2</v>
      </c>
      <c r="BI147" s="426">
        <f t="shared" si="23"/>
        <v>4.6551730763442802E-2</v>
      </c>
      <c r="BJ147" s="426">
        <f t="shared" si="24"/>
        <v>0.35798892998809945</v>
      </c>
      <c r="BK147" s="426">
        <f t="shared" si="25"/>
        <v>5.9517278229785928E-3</v>
      </c>
      <c r="BL147" s="425">
        <f t="shared" si="26"/>
        <v>103499356.54344448</v>
      </c>
      <c r="BN147" s="423">
        <f t="shared" si="27"/>
        <v>0.56025530710974603</v>
      </c>
      <c r="BO147" s="423">
        <f t="shared" si="28"/>
        <v>2.9884387298523409E-2</v>
      </c>
      <c r="BP147" s="423">
        <f t="shared" si="29"/>
        <v>0.10121689414978582</v>
      </c>
      <c r="BQ147" s="423">
        <f t="shared" si="30"/>
        <v>0.33305858645412217</v>
      </c>
      <c r="BR147" s="423">
        <f t="shared" si="31"/>
        <v>1.2940773526294707E-2</v>
      </c>
      <c r="BS147" s="423">
        <f t="shared" si="32"/>
        <v>-3.7355948538472038E-2</v>
      </c>
      <c r="BT147" s="425">
        <f t="shared" si="33"/>
        <v>47601482.148523271</v>
      </c>
    </row>
    <row r="148" spans="1:72" x14ac:dyDescent="0.2">
      <c r="A148" s="309">
        <v>416</v>
      </c>
      <c r="B148" s="278" t="s">
        <v>90</v>
      </c>
      <c r="C148" s="278">
        <v>9</v>
      </c>
      <c r="D148" s="279">
        <v>3073</v>
      </c>
      <c r="E148" s="364">
        <v>16577000</v>
      </c>
      <c r="F148" s="279">
        <v>9389796</v>
      </c>
      <c r="G148" s="278">
        <v>417284.18</v>
      </c>
      <c r="H148" s="279">
        <v>817333.41489999997</v>
      </c>
      <c r="I148" s="279">
        <v>6670877.6068556625</v>
      </c>
      <c r="J148" s="279">
        <v>-658905</v>
      </c>
      <c r="K148" s="279">
        <v>-69000</v>
      </c>
      <c r="L148" s="280">
        <v>-6176.73</v>
      </c>
      <c r="M148" s="369">
        <v>-3437.0682443384831</v>
      </c>
      <c r="N148" s="370">
        <v>-1.1184732327818039</v>
      </c>
      <c r="P148" s="365">
        <v>6975799.111731844</v>
      </c>
      <c r="Q148" s="283">
        <v>4121833</v>
      </c>
      <c r="R148" s="279">
        <v>817333.41489999997</v>
      </c>
      <c r="S148" s="279">
        <v>270258.21150296635</v>
      </c>
      <c r="T148" s="280">
        <v>2465452.0727325287</v>
      </c>
      <c r="U148" s="280">
        <v>66369.798282385367</v>
      </c>
      <c r="V148" s="279">
        <v>-658905</v>
      </c>
      <c r="W148" s="279">
        <v>-69000</v>
      </c>
      <c r="X148" s="279">
        <v>37641.374678431261</v>
      </c>
      <c r="Y148" s="354">
        <v>75183.760364468209</v>
      </c>
      <c r="Z148" s="355">
        <v>24.465916161558155</v>
      </c>
      <c r="AB148" s="366">
        <v>78620.828608806696</v>
      </c>
      <c r="AC148" s="349">
        <v>25.584389394339961</v>
      </c>
      <c r="AE148" s="374">
        <v>-21.140127333162628</v>
      </c>
      <c r="AF148" s="350">
        <v>-0.58438939433995785</v>
      </c>
      <c r="AG148" s="350">
        <v>0</v>
      </c>
      <c r="AH148" s="350">
        <v>0</v>
      </c>
      <c r="AI148" s="350">
        <v>0</v>
      </c>
      <c r="AJ148" s="408">
        <v>-612</v>
      </c>
      <c r="AK148" s="387">
        <v>-15965</v>
      </c>
      <c r="AL148" s="287">
        <v>-10</v>
      </c>
      <c r="AM148" s="287">
        <v>-602</v>
      </c>
      <c r="AN148" s="287">
        <v>-6374</v>
      </c>
      <c r="AO148" s="287">
        <v>-9591</v>
      </c>
      <c r="AP148" s="287">
        <v>9390</v>
      </c>
      <c r="AQ148" s="287">
        <v>5268</v>
      </c>
      <c r="AR148" s="287">
        <v>4122</v>
      </c>
      <c r="AS148" s="287">
        <v>417</v>
      </c>
      <c r="AT148" s="287">
        <v>147</v>
      </c>
      <c r="AU148" s="287">
        <v>270</v>
      </c>
      <c r="AV148" s="353">
        <f t="shared" si="17"/>
        <v>6005.7958768556618</v>
      </c>
      <c r="AW148" s="353">
        <f t="shared" si="18"/>
        <v>4197.8426171355568</v>
      </c>
      <c r="AX148" s="353">
        <f t="shared" si="19"/>
        <v>1807.9532597201053</v>
      </c>
      <c r="AY148" s="390">
        <v>64964</v>
      </c>
      <c r="AZ148" s="390">
        <v>-64964</v>
      </c>
      <c r="BA148" s="401">
        <f t="shared" si="20"/>
        <v>817.33341489999998</v>
      </c>
      <c r="BB148" s="401">
        <v>-1005</v>
      </c>
      <c r="BC148" s="401">
        <v>3</v>
      </c>
      <c r="BD148" s="401">
        <v>0</v>
      </c>
      <c r="BE148" s="401">
        <v>-357</v>
      </c>
      <c r="BG148" s="426">
        <f t="shared" si="21"/>
        <v>0.56676387485944857</v>
      </c>
      <c r="BH148" s="426">
        <f t="shared" si="22"/>
        <v>2.5187085936089301E-2</v>
      </c>
      <c r="BI148" s="426">
        <f t="shared" si="23"/>
        <v>4.9333878316507547E-2</v>
      </c>
      <c r="BJ148" s="426">
        <f t="shared" si="24"/>
        <v>0.36287996993868399</v>
      </c>
      <c r="BK148" s="426">
        <f t="shared" si="25"/>
        <v>-4.1648090507293185E-3</v>
      </c>
      <c r="BL148" s="425">
        <f t="shared" si="26"/>
        <v>16567386.201755662</v>
      </c>
      <c r="BN148" s="423">
        <f t="shared" si="27"/>
        <v>0.59320794976218894</v>
      </c>
      <c r="BO148" s="423">
        <f t="shared" si="28"/>
        <v>3.8895151635709328E-2</v>
      </c>
      <c r="BP148" s="423">
        <f t="shared" si="29"/>
        <v>0.11762938462692629</v>
      </c>
      <c r="BQ148" s="423">
        <f t="shared" si="30"/>
        <v>0.26954735359966575</v>
      </c>
      <c r="BR148" s="423">
        <f t="shared" si="31"/>
        <v>-9.9303752805101602E-3</v>
      </c>
      <c r="BS148" s="423">
        <f t="shared" si="32"/>
        <v>-9.3494643439802818E-3</v>
      </c>
      <c r="BT148" s="425">
        <f t="shared" si="33"/>
        <v>6948377.8861230724</v>
      </c>
    </row>
    <row r="149" spans="1:72" x14ac:dyDescent="0.2">
      <c r="A149" s="309">
        <v>418</v>
      </c>
      <c r="B149" s="278" t="s">
        <v>91</v>
      </c>
      <c r="C149" s="278">
        <v>6</v>
      </c>
      <c r="D149" s="279">
        <v>22536</v>
      </c>
      <c r="E149" s="364">
        <v>115243000</v>
      </c>
      <c r="F149" s="279">
        <v>80497822</v>
      </c>
      <c r="G149" s="278">
        <v>3885632.38</v>
      </c>
      <c r="H149" s="279">
        <v>5240320.2769999998</v>
      </c>
      <c r="I149" s="279">
        <v>25589909.88075228</v>
      </c>
      <c r="J149" s="279">
        <v>-2474901</v>
      </c>
      <c r="K149" s="279">
        <v>-243000</v>
      </c>
      <c r="L149" s="280">
        <v>-45297.359999999993</v>
      </c>
      <c r="M149" s="369">
        <v>-2701919.1022477294</v>
      </c>
      <c r="N149" s="370">
        <v>-119.8934638910068</v>
      </c>
      <c r="P149" s="365">
        <v>56406712.106453963</v>
      </c>
      <c r="Q149" s="283">
        <v>33415417</v>
      </c>
      <c r="R149" s="279">
        <v>5240320.2769999998</v>
      </c>
      <c r="S149" s="279">
        <v>2516568.1037244564</v>
      </c>
      <c r="T149" s="280">
        <v>19204786.932964627</v>
      </c>
      <c r="U149" s="280">
        <v>-2775367.2749479441</v>
      </c>
      <c r="V149" s="279">
        <v>-2474901</v>
      </c>
      <c r="W149" s="279">
        <v>-243000</v>
      </c>
      <c r="X149" s="279">
        <v>283799.21026636928</v>
      </c>
      <c r="Y149" s="354">
        <v>-1239088.8574464545</v>
      </c>
      <c r="Z149" s="355">
        <v>-54.982643656658432</v>
      </c>
      <c r="AB149" s="366">
        <v>1462830.244801275</v>
      </c>
      <c r="AC149" s="349">
        <v>64.910820234348378</v>
      </c>
      <c r="AE149" s="374">
        <v>-60.466558173171045</v>
      </c>
      <c r="AF149" s="350">
        <v>-39.910820234348364</v>
      </c>
      <c r="AG149" s="350">
        <v>-14.910820234348364</v>
      </c>
      <c r="AH149" s="350">
        <v>0</v>
      </c>
      <c r="AI149" s="350">
        <v>0</v>
      </c>
      <c r="AJ149" s="408">
        <v>-11261</v>
      </c>
      <c r="AK149" s="387">
        <v>-103982</v>
      </c>
      <c r="AL149" s="287">
        <v>-240</v>
      </c>
      <c r="AM149" s="287">
        <v>-11021</v>
      </c>
      <c r="AN149" s="287">
        <v>-45386</v>
      </c>
      <c r="AO149" s="287">
        <v>-58596</v>
      </c>
      <c r="AP149" s="287">
        <v>80498</v>
      </c>
      <c r="AQ149" s="287">
        <v>47083</v>
      </c>
      <c r="AR149" s="287">
        <v>33415</v>
      </c>
      <c r="AS149" s="287">
        <v>3886</v>
      </c>
      <c r="AT149" s="287">
        <v>1369</v>
      </c>
      <c r="AU149" s="287">
        <v>2517</v>
      </c>
      <c r="AV149" s="353">
        <f t="shared" si="17"/>
        <v>23069.71152075228</v>
      </c>
      <c r="AW149" s="353">
        <f t="shared" si="18"/>
        <v>10477.867217726181</v>
      </c>
      <c r="AX149" s="353">
        <f t="shared" si="19"/>
        <v>12591.844303026099</v>
      </c>
      <c r="AY149" s="390">
        <v>1362674</v>
      </c>
      <c r="AZ149" s="390">
        <v>-1362674</v>
      </c>
      <c r="BA149" s="401">
        <f t="shared" si="20"/>
        <v>5240.3202769999998</v>
      </c>
      <c r="BB149" s="401">
        <v>-13935</v>
      </c>
      <c r="BC149" s="401">
        <v>1016</v>
      </c>
      <c r="BD149" s="401">
        <v>2550</v>
      </c>
      <c r="BE149" s="401">
        <v>-10369</v>
      </c>
      <c r="BG149" s="426">
        <f t="shared" si="21"/>
        <v>0.71556301461721783</v>
      </c>
      <c r="BH149" s="426">
        <f t="shared" si="22"/>
        <v>3.4540249045832257E-2</v>
      </c>
      <c r="BI149" s="426">
        <f t="shared" si="23"/>
        <v>4.6582370576061717E-2</v>
      </c>
      <c r="BJ149" s="426">
        <f t="shared" si="24"/>
        <v>0.20547444671999776</v>
      </c>
      <c r="BK149" s="426">
        <f t="shared" si="25"/>
        <v>-2.1600809591094767E-3</v>
      </c>
      <c r="BL149" s="425">
        <f t="shared" si="26"/>
        <v>112495783.53775227</v>
      </c>
      <c r="BN149" s="423">
        <f t="shared" si="27"/>
        <v>0.62434041864659684</v>
      </c>
      <c r="BO149" s="423">
        <f t="shared" si="28"/>
        <v>4.7020068115026049E-2</v>
      </c>
      <c r="BP149" s="423">
        <f t="shared" si="29"/>
        <v>9.7911205345258157E-2</v>
      </c>
      <c r="BQ149" s="423">
        <f t="shared" si="30"/>
        <v>0.26072905272910052</v>
      </c>
      <c r="BR149" s="423">
        <f t="shared" si="31"/>
        <v>-4.5402612132933442E-3</v>
      </c>
      <c r="BS149" s="423">
        <f t="shared" si="32"/>
        <v>-2.5460483622688344E-2</v>
      </c>
      <c r="BT149" s="425">
        <f t="shared" si="33"/>
        <v>53521149.683750562</v>
      </c>
    </row>
    <row r="150" spans="1:72" x14ac:dyDescent="0.2">
      <c r="A150" s="309">
        <v>420</v>
      </c>
      <c r="B150" s="278" t="s">
        <v>92</v>
      </c>
      <c r="C150" s="278">
        <v>11</v>
      </c>
      <c r="D150" s="279">
        <v>9953</v>
      </c>
      <c r="E150" s="364">
        <v>59711000</v>
      </c>
      <c r="F150" s="279">
        <v>28604145</v>
      </c>
      <c r="G150" s="278">
        <v>2371952.4449999998</v>
      </c>
      <c r="H150" s="279">
        <v>2365317.8404999999</v>
      </c>
      <c r="I150" s="279">
        <v>26141028.33896596</v>
      </c>
      <c r="J150" s="279">
        <v>-893409</v>
      </c>
      <c r="K150" s="279">
        <v>508000</v>
      </c>
      <c r="L150" s="280">
        <v>-20005.53</v>
      </c>
      <c r="M150" s="369">
        <v>-593959.84553404269</v>
      </c>
      <c r="N150" s="370">
        <v>-59.676463933893565</v>
      </c>
      <c r="P150" s="365">
        <v>21099751.370803811</v>
      </c>
      <c r="Q150" s="283">
        <v>11768749</v>
      </c>
      <c r="R150" s="279">
        <v>2365317.8404999999</v>
      </c>
      <c r="S150" s="279">
        <v>1536218.3765408699</v>
      </c>
      <c r="T150" s="280">
        <v>5273788.0344644245</v>
      </c>
      <c r="U150" s="280">
        <v>186143.82063130473</v>
      </c>
      <c r="V150" s="279">
        <v>-893409</v>
      </c>
      <c r="W150" s="279">
        <v>508000</v>
      </c>
      <c r="X150" s="279">
        <v>122502.30353800433</v>
      </c>
      <c r="Y150" s="354">
        <v>-232440.99512920901</v>
      </c>
      <c r="Z150" s="355">
        <v>-23.353862667457953</v>
      </c>
      <c r="AB150" s="366">
        <v>361518.85040483368</v>
      </c>
      <c r="AC150" s="349">
        <v>36.322601266435612</v>
      </c>
      <c r="AE150" s="374">
        <v>-31.878339205258278</v>
      </c>
      <c r="AF150" s="350">
        <v>-11.322601266435612</v>
      </c>
      <c r="AG150" s="350">
        <v>0</v>
      </c>
      <c r="AH150" s="350">
        <v>0</v>
      </c>
      <c r="AI150" s="350">
        <v>0</v>
      </c>
      <c r="AJ150" s="408">
        <v>-3700</v>
      </c>
      <c r="AK150" s="387">
        <v>-56011</v>
      </c>
      <c r="AL150" s="287">
        <v>-59</v>
      </c>
      <c r="AM150" s="287">
        <v>-3641</v>
      </c>
      <c r="AN150" s="287">
        <v>-17459</v>
      </c>
      <c r="AO150" s="287">
        <v>-38552</v>
      </c>
      <c r="AP150" s="287">
        <v>28604</v>
      </c>
      <c r="AQ150" s="287">
        <v>16835</v>
      </c>
      <c r="AR150" s="287">
        <v>11769</v>
      </c>
      <c r="AS150" s="287">
        <v>2372</v>
      </c>
      <c r="AT150" s="287">
        <v>836</v>
      </c>
      <c r="AU150" s="287">
        <v>1536</v>
      </c>
      <c r="AV150" s="353">
        <f t="shared" ref="AV150:AV213" si="34">(I150+J150+L150)*0.001</f>
        <v>25227.613808965958</v>
      </c>
      <c r="AW150" s="353">
        <f t="shared" ref="AW150:AW213" si="35">AV150-AX150</f>
        <v>20978.376063980162</v>
      </c>
      <c r="AX150" s="353">
        <f t="shared" ref="AX150:AX213" si="36">(T150+U150+V150+AE150*D150)*0.001</f>
        <v>4249.2377449857941</v>
      </c>
      <c r="AY150" s="390">
        <v>317285</v>
      </c>
      <c r="AZ150" s="390">
        <v>-317285</v>
      </c>
      <c r="BA150" s="401">
        <f t="shared" ref="BA150:BA213" si="37">R150*0.001</f>
        <v>2365.3178404999999</v>
      </c>
      <c r="BB150" s="401">
        <v>-19389</v>
      </c>
      <c r="BC150" s="401">
        <v>1940</v>
      </c>
      <c r="BD150" s="401">
        <v>0</v>
      </c>
      <c r="BE150" s="401">
        <v>-15780</v>
      </c>
      <c r="BG150" s="426">
        <f t="shared" si="21"/>
        <v>0.48401997125178914</v>
      </c>
      <c r="BH150" s="426">
        <f t="shared" si="22"/>
        <v>4.013657301204112E-2</v>
      </c>
      <c r="BI150" s="426">
        <f t="shared" si="23"/>
        <v>4.0024306727579305E-2</v>
      </c>
      <c r="BJ150" s="426">
        <f t="shared" si="24"/>
        <v>0.4272231170210618</v>
      </c>
      <c r="BK150" s="426">
        <f t="shared" si="25"/>
        <v>8.5960319875286913E-3</v>
      </c>
      <c r="BL150" s="425">
        <f t="shared" si="26"/>
        <v>59097034.624465957</v>
      </c>
      <c r="BN150" s="423">
        <f t="shared" si="27"/>
        <v>0.57612217701956736</v>
      </c>
      <c r="BO150" s="423">
        <f t="shared" si="28"/>
        <v>7.520336065202779E-2</v>
      </c>
      <c r="BP150" s="423">
        <f t="shared" si="29"/>
        <v>0.11579073218505058</v>
      </c>
      <c r="BQ150" s="423">
        <f t="shared" si="30"/>
        <v>0.22354755706722626</v>
      </c>
      <c r="BR150" s="423">
        <f t="shared" si="31"/>
        <v>2.4868409201856564E-2</v>
      </c>
      <c r="BS150" s="423">
        <f t="shared" si="32"/>
        <v>-1.5532236125728339E-2</v>
      </c>
      <c r="BT150" s="425">
        <f t="shared" si="33"/>
        <v>20427522.962026659</v>
      </c>
    </row>
    <row r="151" spans="1:72" x14ac:dyDescent="0.2">
      <c r="A151" s="309">
        <v>421</v>
      </c>
      <c r="B151" s="278" t="s">
        <v>93</v>
      </c>
      <c r="C151" s="278">
        <v>16</v>
      </c>
      <c r="D151" s="279">
        <v>798</v>
      </c>
      <c r="E151" s="364">
        <v>5575000</v>
      </c>
      <c r="F151" s="279">
        <v>1833603</v>
      </c>
      <c r="G151" s="278">
        <v>339002.36</v>
      </c>
      <c r="H151" s="279">
        <v>287167.63699999999</v>
      </c>
      <c r="I151" s="279">
        <v>3172816.1630500136</v>
      </c>
      <c r="J151" s="279">
        <v>-155038</v>
      </c>
      <c r="K151" s="279">
        <v>-17000</v>
      </c>
      <c r="L151" s="280">
        <v>16188.75002406675</v>
      </c>
      <c r="M151" s="369">
        <v>-130637.58997405271</v>
      </c>
      <c r="N151" s="370">
        <v>-163.70625310031667</v>
      </c>
      <c r="P151" s="365">
        <v>2297126.1305128206</v>
      </c>
      <c r="Q151" s="283">
        <v>837460</v>
      </c>
      <c r="R151" s="279">
        <v>287167.63699999999</v>
      </c>
      <c r="S151" s="279">
        <v>219558.21931443637</v>
      </c>
      <c r="T151" s="280">
        <v>986118.04995178094</v>
      </c>
      <c r="U151" s="280">
        <v>51140.500250488818</v>
      </c>
      <c r="V151" s="279">
        <v>-155038</v>
      </c>
      <c r="W151" s="279">
        <v>-17000</v>
      </c>
      <c r="X151" s="279">
        <v>9598.0433925745128</v>
      </c>
      <c r="Y151" s="354">
        <v>-78121.680603539571</v>
      </c>
      <c r="Z151" s="355">
        <v>-97.896842861578406</v>
      </c>
      <c r="AB151" s="366">
        <v>52515.909370513138</v>
      </c>
      <c r="AC151" s="349">
        <v>65.809410238738266</v>
      </c>
      <c r="AE151" s="374">
        <v>-61.365148177560926</v>
      </c>
      <c r="AF151" s="350">
        <v>-40.809410238738266</v>
      </c>
      <c r="AG151" s="350">
        <v>-15.809410238738266</v>
      </c>
      <c r="AH151" s="350">
        <v>0</v>
      </c>
      <c r="AI151" s="350">
        <v>0</v>
      </c>
      <c r="AJ151" s="408">
        <v>-376</v>
      </c>
      <c r="AK151" s="387">
        <v>-5199</v>
      </c>
      <c r="AL151" s="287">
        <v>-67</v>
      </c>
      <c r="AM151" s="287">
        <v>-309</v>
      </c>
      <c r="AN151" s="287">
        <v>-1988</v>
      </c>
      <c r="AO151" s="287">
        <v>-3211</v>
      </c>
      <c r="AP151" s="287">
        <v>1834</v>
      </c>
      <c r="AQ151" s="287">
        <v>997</v>
      </c>
      <c r="AR151" s="287">
        <v>837</v>
      </c>
      <c r="AS151" s="287">
        <v>339</v>
      </c>
      <c r="AT151" s="287">
        <v>119</v>
      </c>
      <c r="AU151" s="287">
        <v>220</v>
      </c>
      <c r="AV151" s="353">
        <f t="shared" si="34"/>
        <v>3033.9669130740804</v>
      </c>
      <c r="AW151" s="353">
        <f t="shared" si="35"/>
        <v>2200.7157511175042</v>
      </c>
      <c r="AX151" s="353">
        <f t="shared" si="36"/>
        <v>833.2511619565762</v>
      </c>
      <c r="AY151" s="390">
        <v>48969</v>
      </c>
      <c r="AZ151" s="390">
        <v>-48969</v>
      </c>
      <c r="BA151" s="401">
        <f t="shared" si="37"/>
        <v>287.16763700000001</v>
      </c>
      <c r="BB151" s="401">
        <v>-808</v>
      </c>
      <c r="BC151" s="401">
        <v>51</v>
      </c>
      <c r="BD151" s="401">
        <v>0</v>
      </c>
      <c r="BE151" s="401">
        <v>-609</v>
      </c>
      <c r="BG151" s="426">
        <f t="shared" ref="BG151:BG214" si="38">F151/BL151</f>
        <v>0.33579082884798128</v>
      </c>
      <c r="BH151" s="426">
        <f t="shared" ref="BH151:BH214" si="39">G151/BL151</f>
        <v>6.2082077443057049E-2</v>
      </c>
      <c r="BI151" s="426">
        <f t="shared" ref="BI151:BI214" si="40">H151/BL151</f>
        <v>5.258949666124358E-2</v>
      </c>
      <c r="BJ151" s="426">
        <f t="shared" ref="BJ151:BJ214" si="41">(I151+J151)/BL151</f>
        <v>0.55265083589517605</v>
      </c>
      <c r="BK151" s="426">
        <f t="shared" ref="BK151:BK214" si="42">K151/BL151</f>
        <v>-3.1132388474580824E-3</v>
      </c>
      <c r="BL151" s="425">
        <f t="shared" ref="BL151:BL214" si="43">F151+G151+H151+I151+J151+K151</f>
        <v>5460551.160050014</v>
      </c>
      <c r="BN151" s="423">
        <f t="shared" ref="BN151:BN214" si="44">Q151/BT151</f>
        <v>0.38763453547477861</v>
      </c>
      <c r="BO151" s="423">
        <f t="shared" ref="BO151:BO214" si="45">S151/BT151</f>
        <v>0.10162676229744837</v>
      </c>
      <c r="BP151" s="423">
        <f t="shared" ref="BP151:BP214" si="46">R151/BT151</f>
        <v>0.13292108706312522</v>
      </c>
      <c r="BQ151" s="423">
        <f t="shared" ref="BQ151:BQ214" si="47">(T151+U151+V151)/BT151</f>
        <v>0.40835282062899775</v>
      </c>
      <c r="BR151" s="423">
        <f t="shared" ref="BR151:BR214" si="48">W151/BT151</f>
        <v>-7.8687783333785937E-3</v>
      </c>
      <c r="BS151" s="423">
        <f t="shared" ref="BS151:BS214" si="49">(AE151*D151)/BT151</f>
        <v>-2.2666427130971663E-2</v>
      </c>
      <c r="BT151" s="425">
        <f t="shared" ref="BT151:BT214" si="50">Q151+R151+S151+T151+U151+V151+W151+(AE151*D151)</f>
        <v>2160437.0182710132</v>
      </c>
    </row>
    <row r="152" spans="1:72" x14ac:dyDescent="0.2">
      <c r="A152" s="309">
        <v>422</v>
      </c>
      <c r="B152" s="278" t="s">
        <v>94</v>
      </c>
      <c r="C152" s="278">
        <v>12</v>
      </c>
      <c r="D152" s="279">
        <v>11772</v>
      </c>
      <c r="E152" s="364">
        <v>74718000</v>
      </c>
      <c r="F152" s="279">
        <v>33439908</v>
      </c>
      <c r="G152" s="278">
        <v>4171665.3499999996</v>
      </c>
      <c r="H152" s="279">
        <v>3336921.9364</v>
      </c>
      <c r="I152" s="279">
        <v>39033056.619446859</v>
      </c>
      <c r="J152" s="279">
        <v>-308140</v>
      </c>
      <c r="K152" s="279">
        <v>506000</v>
      </c>
      <c r="L152" s="280">
        <v>-23661.719999999998</v>
      </c>
      <c r="M152" s="369">
        <v>5485073.6258468637</v>
      </c>
      <c r="N152" s="370">
        <v>465.94237392514981</v>
      </c>
      <c r="P152" s="365">
        <v>23891791.270270273</v>
      </c>
      <c r="Q152" s="283">
        <v>14928718</v>
      </c>
      <c r="R152" s="279">
        <v>3336921.9364</v>
      </c>
      <c r="S152" s="279">
        <v>2701820.175593276</v>
      </c>
      <c r="T152" s="280">
        <v>6069697.1834049309</v>
      </c>
      <c r="U152" s="280">
        <v>1055200.3997749344</v>
      </c>
      <c r="V152" s="279">
        <v>-308140</v>
      </c>
      <c r="W152" s="279">
        <v>506000</v>
      </c>
      <c r="X152" s="279">
        <v>146880.38064193566</v>
      </c>
      <c r="Y152" s="354">
        <v>4545306.8055448048</v>
      </c>
      <c r="Z152" s="355">
        <v>386.11168922398952</v>
      </c>
      <c r="AB152" s="366">
        <v>-939766.82030205894</v>
      </c>
      <c r="AC152" s="349">
        <v>-79.830684701160294</v>
      </c>
      <c r="AE152" s="374">
        <v>84.274946762337606</v>
      </c>
      <c r="AF152" s="350">
        <v>54.830684701160294</v>
      </c>
      <c r="AG152" s="350">
        <v>29.830684701160294</v>
      </c>
      <c r="AH152" s="350">
        <v>4.830684701160294</v>
      </c>
      <c r="AI152" s="350">
        <v>0</v>
      </c>
      <c r="AJ152" s="408">
        <v>-3558</v>
      </c>
      <c r="AK152" s="387">
        <v>-71160</v>
      </c>
      <c r="AL152" s="287">
        <v>0</v>
      </c>
      <c r="AM152" s="287">
        <v>-3558</v>
      </c>
      <c r="AN152" s="287">
        <v>-20334</v>
      </c>
      <c r="AO152" s="287">
        <v>-50826</v>
      </c>
      <c r="AP152" s="287">
        <v>33440</v>
      </c>
      <c r="AQ152" s="287">
        <v>18511</v>
      </c>
      <c r="AR152" s="287">
        <v>14929</v>
      </c>
      <c r="AS152" s="287">
        <v>4172</v>
      </c>
      <c r="AT152" s="287">
        <v>1470</v>
      </c>
      <c r="AU152" s="287">
        <v>2702</v>
      </c>
      <c r="AV152" s="353">
        <f t="shared" si="34"/>
        <v>38701.25489944686</v>
      </c>
      <c r="AW152" s="353">
        <f t="shared" si="35"/>
        <v>30892.412642980755</v>
      </c>
      <c r="AX152" s="353">
        <f t="shared" si="36"/>
        <v>7808.8422564661041</v>
      </c>
      <c r="AY152" s="390">
        <v>992085</v>
      </c>
      <c r="AZ152" s="390">
        <v>992085</v>
      </c>
      <c r="BA152" s="401">
        <f t="shared" si="37"/>
        <v>3336.9219364</v>
      </c>
      <c r="BB152" s="401">
        <v>-5322</v>
      </c>
      <c r="BC152" s="401">
        <v>459</v>
      </c>
      <c r="BD152" s="401">
        <v>60</v>
      </c>
      <c r="BE152" s="401">
        <v>2876</v>
      </c>
      <c r="BG152" s="426">
        <f t="shared" si="38"/>
        <v>0.41706352298103455</v>
      </c>
      <c r="BH152" s="426">
        <f t="shared" si="39"/>
        <v>5.2029133799318776E-2</v>
      </c>
      <c r="BI152" s="426">
        <f t="shared" si="40"/>
        <v>4.1618189221922494E-2</v>
      </c>
      <c r="BJ152" s="426">
        <f t="shared" si="41"/>
        <v>0.48297830701129091</v>
      </c>
      <c r="BK152" s="426">
        <f t="shared" si="42"/>
        <v>6.3108469864332009E-3</v>
      </c>
      <c r="BL152" s="425">
        <f t="shared" si="43"/>
        <v>80179411.905846864</v>
      </c>
      <c r="BN152" s="423">
        <f t="shared" si="44"/>
        <v>0.50982049881706215</v>
      </c>
      <c r="BO152" s="423">
        <f t="shared" si="45"/>
        <v>9.2268023927772391E-2</v>
      </c>
      <c r="BP152" s="423">
        <f t="shared" si="46"/>
        <v>0.1139569523738773</v>
      </c>
      <c r="BQ152" s="423">
        <f t="shared" si="47"/>
        <v>0.23279445370806454</v>
      </c>
      <c r="BR152" s="423">
        <f t="shared" si="48"/>
        <v>1.7280061985324759E-2</v>
      </c>
      <c r="BS152" s="423">
        <f t="shared" si="49"/>
        <v>3.3880009187898928E-2</v>
      </c>
      <c r="BT152" s="425">
        <f t="shared" si="50"/>
        <v>29282302.368459377</v>
      </c>
    </row>
    <row r="153" spans="1:72" x14ac:dyDescent="0.2">
      <c r="A153" s="309">
        <v>425</v>
      </c>
      <c r="B153" s="278" t="s">
        <v>274</v>
      </c>
      <c r="C153" s="278">
        <v>17</v>
      </c>
      <c r="D153" s="279">
        <v>9937</v>
      </c>
      <c r="E153" s="364">
        <v>54075000</v>
      </c>
      <c r="F153" s="279">
        <v>27956424</v>
      </c>
      <c r="G153" s="278">
        <v>627819.90500000003</v>
      </c>
      <c r="H153" s="279">
        <v>1189301.8677999999</v>
      </c>
      <c r="I153" s="279">
        <v>25424356.181412786</v>
      </c>
      <c r="J153" s="279">
        <v>-290919</v>
      </c>
      <c r="K153" s="279">
        <v>-136000</v>
      </c>
      <c r="L153" s="280">
        <v>875997.79984922416</v>
      </c>
      <c r="M153" s="369">
        <v>-180014.84563643939</v>
      </c>
      <c r="N153" s="370">
        <v>-18.115612925071893</v>
      </c>
      <c r="P153" s="365">
        <v>30000343.961382799</v>
      </c>
      <c r="Q153" s="283">
        <v>12157667</v>
      </c>
      <c r="R153" s="279">
        <v>1189301.8677999999</v>
      </c>
      <c r="S153" s="279">
        <v>406613.74862392887</v>
      </c>
      <c r="T153" s="280">
        <v>20449637.837118343</v>
      </c>
      <c r="U153" s="280">
        <v>-1665775.9719072122</v>
      </c>
      <c r="V153" s="279">
        <v>-290919</v>
      </c>
      <c r="W153" s="279">
        <v>-136000</v>
      </c>
      <c r="X153" s="279">
        <v>115924.13285466185</v>
      </c>
      <c r="Y153" s="354">
        <v>2226105.6531069204</v>
      </c>
      <c r="Z153" s="355">
        <v>224.02190330149145</v>
      </c>
      <c r="AB153" s="366">
        <v>2406120.4987433599</v>
      </c>
      <c r="AC153" s="349">
        <v>242.13751622656335</v>
      </c>
      <c r="AE153" s="374">
        <v>-237.69325416538601</v>
      </c>
      <c r="AF153" s="350">
        <v>-217.13751622656335</v>
      </c>
      <c r="AG153" s="350">
        <v>-192.13751622656335</v>
      </c>
      <c r="AH153" s="350">
        <v>-167.13751622656335</v>
      </c>
      <c r="AI153" s="350">
        <v>-142.13751622656335</v>
      </c>
      <c r="AJ153" s="408">
        <v>-3799</v>
      </c>
      <c r="AK153" s="387">
        <v>-50276</v>
      </c>
      <c r="AL153" s="287">
        <v>-89</v>
      </c>
      <c r="AM153" s="287">
        <v>-3710</v>
      </c>
      <c r="AN153" s="287">
        <v>-26290</v>
      </c>
      <c r="AO153" s="287">
        <v>-23986</v>
      </c>
      <c r="AP153" s="287">
        <v>27956</v>
      </c>
      <c r="AQ153" s="287">
        <v>15798</v>
      </c>
      <c r="AR153" s="287">
        <v>12158</v>
      </c>
      <c r="AS153" s="287">
        <v>628</v>
      </c>
      <c r="AT153" s="287">
        <v>221</v>
      </c>
      <c r="AU153" s="287">
        <v>407</v>
      </c>
      <c r="AV153" s="353">
        <f t="shared" si="34"/>
        <v>26009.434981262009</v>
      </c>
      <c r="AW153" s="353">
        <f t="shared" si="35"/>
        <v>9878.449982692322</v>
      </c>
      <c r="AX153" s="353">
        <f t="shared" si="36"/>
        <v>16130.984998569687</v>
      </c>
      <c r="AY153" s="390">
        <v>2361958</v>
      </c>
      <c r="AZ153" s="390">
        <v>-2361958</v>
      </c>
      <c r="BA153" s="401">
        <f t="shared" si="37"/>
        <v>1189.3018677999999</v>
      </c>
      <c r="BB153" s="401">
        <v>-12360</v>
      </c>
      <c r="BC153" s="401">
        <v>710</v>
      </c>
      <c r="BD153" s="401">
        <v>515</v>
      </c>
      <c r="BE153" s="401">
        <v>-7725</v>
      </c>
      <c r="BG153" s="426">
        <f t="shared" si="38"/>
        <v>0.51042399628596935</v>
      </c>
      <c r="BH153" s="426">
        <f t="shared" si="39"/>
        <v>1.1462637169116396E-2</v>
      </c>
      <c r="BI153" s="426">
        <f t="shared" si="40"/>
        <v>2.1714086613969071E-2</v>
      </c>
      <c r="BJ153" s="426">
        <f t="shared" si="41"/>
        <v>0.45888234655974186</v>
      </c>
      <c r="BK153" s="426">
        <f t="shared" si="42"/>
        <v>-2.4830666287967247E-3</v>
      </c>
      <c r="BL153" s="425">
        <f t="shared" si="43"/>
        <v>54770982.954212785</v>
      </c>
      <c r="BN153" s="423">
        <f t="shared" si="44"/>
        <v>0.40868075254394426</v>
      </c>
      <c r="BO153" s="423">
        <f t="shared" si="45"/>
        <v>1.3668347124686129E-2</v>
      </c>
      <c r="BP153" s="423">
        <f t="shared" si="46"/>
        <v>3.9978458230055358E-2</v>
      </c>
      <c r="BQ153" s="423">
        <f t="shared" si="47"/>
        <v>0.6216414552978502</v>
      </c>
      <c r="BR153" s="423">
        <f t="shared" si="48"/>
        <v>-4.5716486844043693E-3</v>
      </c>
      <c r="BS153" s="423">
        <f t="shared" si="49"/>
        <v>-7.9397364512131571E-2</v>
      </c>
      <c r="BT153" s="425">
        <f t="shared" si="50"/>
        <v>29748567.614993617</v>
      </c>
    </row>
    <row r="154" spans="1:72" x14ac:dyDescent="0.2">
      <c r="A154" s="309">
        <v>426</v>
      </c>
      <c r="B154" s="278" t="s">
        <v>95</v>
      </c>
      <c r="C154" s="278">
        <v>12</v>
      </c>
      <c r="D154" s="279">
        <v>12338</v>
      </c>
      <c r="E154" s="364">
        <v>66558000</v>
      </c>
      <c r="F154" s="279">
        <v>36073863</v>
      </c>
      <c r="G154" s="278">
        <v>1261072.56</v>
      </c>
      <c r="H154" s="279">
        <v>2465337.8682000004</v>
      </c>
      <c r="I154" s="279">
        <v>29697748.054638155</v>
      </c>
      <c r="J154" s="279">
        <v>-2512021</v>
      </c>
      <c r="K154" s="279">
        <v>-122000</v>
      </c>
      <c r="L154" s="280">
        <v>-24799.379999999997</v>
      </c>
      <c r="M154" s="369">
        <v>330799.86283815384</v>
      </c>
      <c r="N154" s="370">
        <v>26.81146562150704</v>
      </c>
      <c r="P154" s="365">
        <v>26244094.737662338</v>
      </c>
      <c r="Q154" s="283">
        <v>16538802</v>
      </c>
      <c r="R154" s="279">
        <v>2465337.8682000004</v>
      </c>
      <c r="S154" s="279">
        <v>816746.07132498361</v>
      </c>
      <c r="T154" s="280">
        <v>11474578.973949071</v>
      </c>
      <c r="U154" s="280">
        <v>-1179744.8667587661</v>
      </c>
      <c r="V154" s="279">
        <v>-2512021</v>
      </c>
      <c r="W154" s="279">
        <v>-122000</v>
      </c>
      <c r="X154" s="279">
        <v>147836.86774797607</v>
      </c>
      <c r="Y154" s="354">
        <v>1385441.176800929</v>
      </c>
      <c r="Z154" s="355">
        <v>112.29058006167361</v>
      </c>
      <c r="AB154" s="366">
        <v>1054641.3139627753</v>
      </c>
      <c r="AC154" s="349">
        <v>85.479114440166583</v>
      </c>
      <c r="AE154" s="374">
        <v>-81.034852378989228</v>
      </c>
      <c r="AF154" s="350">
        <v>-60.479114440166569</v>
      </c>
      <c r="AG154" s="350">
        <v>-35.479114440166569</v>
      </c>
      <c r="AH154" s="350">
        <v>-10.479114440166569</v>
      </c>
      <c r="AI154" s="350">
        <v>0</v>
      </c>
      <c r="AJ154" s="408">
        <v>-2998</v>
      </c>
      <c r="AK154" s="387">
        <v>-63560</v>
      </c>
      <c r="AL154" s="287">
        <v>-123</v>
      </c>
      <c r="AM154" s="287">
        <v>-2875</v>
      </c>
      <c r="AN154" s="287">
        <v>-23369</v>
      </c>
      <c r="AO154" s="287">
        <v>-40191</v>
      </c>
      <c r="AP154" s="287">
        <v>36074</v>
      </c>
      <c r="AQ154" s="287">
        <v>19535</v>
      </c>
      <c r="AR154" s="287">
        <v>16539</v>
      </c>
      <c r="AS154" s="287">
        <v>1261</v>
      </c>
      <c r="AT154" s="287">
        <v>444</v>
      </c>
      <c r="AU154" s="287">
        <v>817</v>
      </c>
      <c r="AV154" s="353">
        <f t="shared" si="34"/>
        <v>27160.927674638155</v>
      </c>
      <c r="AW154" s="353">
        <f t="shared" si="35"/>
        <v>20377.922576099816</v>
      </c>
      <c r="AX154" s="353">
        <f t="shared" si="36"/>
        <v>6783.0050985383368</v>
      </c>
      <c r="AY154" s="390">
        <v>999808</v>
      </c>
      <c r="AZ154" s="390">
        <v>-999808</v>
      </c>
      <c r="BA154" s="401">
        <f t="shared" si="37"/>
        <v>2465.3378682000002</v>
      </c>
      <c r="BB154" s="401">
        <v>-4980</v>
      </c>
      <c r="BC154" s="401">
        <v>0</v>
      </c>
      <c r="BD154" s="401">
        <v>0</v>
      </c>
      <c r="BE154" s="401">
        <v>-2100</v>
      </c>
      <c r="BG154" s="426">
        <f t="shared" si="38"/>
        <v>0.53951098856639612</v>
      </c>
      <c r="BH154" s="426">
        <f t="shared" si="39"/>
        <v>1.8860261888214078E-2</v>
      </c>
      <c r="BI154" s="426">
        <f t="shared" si="40"/>
        <v>3.6870929803740557E-2</v>
      </c>
      <c r="BJ154" s="426">
        <f t="shared" si="41"/>
        <v>0.40658241891488173</v>
      </c>
      <c r="BK154" s="426">
        <f t="shared" si="42"/>
        <v>-1.8245991732324404E-3</v>
      </c>
      <c r="BL154" s="425">
        <f t="shared" si="43"/>
        <v>66864000.482838154</v>
      </c>
      <c r="BN154" s="423">
        <f t="shared" si="44"/>
        <v>0.62453251454845948</v>
      </c>
      <c r="BO154" s="423">
        <f t="shared" si="45"/>
        <v>3.0841682346288896E-2</v>
      </c>
      <c r="BP154" s="423">
        <f t="shared" si="46"/>
        <v>9.3095234953443712E-2</v>
      </c>
      <c r="BQ154" s="423">
        <f t="shared" si="47"/>
        <v>0.2938918937474595</v>
      </c>
      <c r="BR154" s="423">
        <f t="shared" si="48"/>
        <v>-4.6069217573867843E-3</v>
      </c>
      <c r="BS154" s="423">
        <f t="shared" si="49"/>
        <v>-3.7754403838264838E-2</v>
      </c>
      <c r="BT154" s="425">
        <f t="shared" si="50"/>
        <v>26481891.038063321</v>
      </c>
    </row>
    <row r="155" spans="1:72" x14ac:dyDescent="0.2">
      <c r="A155" s="309">
        <v>430</v>
      </c>
      <c r="B155" s="278" t="s">
        <v>96</v>
      </c>
      <c r="C155" s="278">
        <v>2</v>
      </c>
      <c r="D155" s="279">
        <v>16467</v>
      </c>
      <c r="E155" s="364">
        <v>95476000</v>
      </c>
      <c r="F155" s="279">
        <v>46344158</v>
      </c>
      <c r="G155" s="278">
        <v>2985968.8250000002</v>
      </c>
      <c r="H155" s="279">
        <v>4192971.4475000002</v>
      </c>
      <c r="I155" s="279">
        <v>44560623.704191186</v>
      </c>
      <c r="J155" s="279">
        <v>-2158993</v>
      </c>
      <c r="K155" s="279">
        <v>-161000</v>
      </c>
      <c r="L155" s="280">
        <v>-33098.67</v>
      </c>
      <c r="M155" s="369">
        <v>320827.64669118641</v>
      </c>
      <c r="N155" s="370">
        <v>19.4830659313285</v>
      </c>
      <c r="P155" s="365">
        <v>32916524.858666666</v>
      </c>
      <c r="Q155" s="283">
        <v>20011214</v>
      </c>
      <c r="R155" s="279">
        <v>4192971.4475000002</v>
      </c>
      <c r="S155" s="279">
        <v>1933892.1361651288</v>
      </c>
      <c r="T155" s="280">
        <v>9615502.392315764</v>
      </c>
      <c r="U155" s="280">
        <v>81553.483952037699</v>
      </c>
      <c r="V155" s="279">
        <v>-2158993</v>
      </c>
      <c r="W155" s="279">
        <v>-161000</v>
      </c>
      <c r="X155" s="279">
        <v>200484.15055563883</v>
      </c>
      <c r="Y155" s="354">
        <v>799099.75182190537</v>
      </c>
      <c r="Z155" s="355">
        <v>48.527342674555499</v>
      </c>
      <c r="AB155" s="366">
        <v>478272.10513071896</v>
      </c>
      <c r="AC155" s="349">
        <v>29.044276743226998</v>
      </c>
      <c r="AE155" s="374">
        <v>-24.600014682048759</v>
      </c>
      <c r="AF155" s="350">
        <v>-4.0442767432260922</v>
      </c>
      <c r="AG155" s="350">
        <v>0</v>
      </c>
      <c r="AH155" s="350">
        <v>0</v>
      </c>
      <c r="AI155" s="350">
        <v>0</v>
      </c>
      <c r="AJ155" s="408">
        <v>-3742</v>
      </c>
      <c r="AK155" s="387">
        <v>-91734</v>
      </c>
      <c r="AL155" s="287">
        <v>-66</v>
      </c>
      <c r="AM155" s="287">
        <v>-3676</v>
      </c>
      <c r="AN155" s="287">
        <v>-29241</v>
      </c>
      <c r="AO155" s="287">
        <v>-62493</v>
      </c>
      <c r="AP155" s="287">
        <v>46344</v>
      </c>
      <c r="AQ155" s="287">
        <v>26333</v>
      </c>
      <c r="AR155" s="287">
        <v>20011</v>
      </c>
      <c r="AS155" s="287">
        <v>2986</v>
      </c>
      <c r="AT155" s="287">
        <v>1052</v>
      </c>
      <c r="AU155" s="287">
        <v>1934</v>
      </c>
      <c r="AV155" s="353">
        <f t="shared" si="34"/>
        <v>42368.532034191187</v>
      </c>
      <c r="AW155" s="353">
        <f t="shared" si="35"/>
        <v>35235.557599692678</v>
      </c>
      <c r="AX155" s="353">
        <f t="shared" si="36"/>
        <v>7132.9744344985047</v>
      </c>
      <c r="AY155" s="390">
        <v>405088</v>
      </c>
      <c r="AZ155" s="390">
        <v>-405088</v>
      </c>
      <c r="BA155" s="401">
        <f t="shared" si="37"/>
        <v>4192.9714475000001</v>
      </c>
      <c r="BB155" s="401">
        <v>-6160</v>
      </c>
      <c r="BC155" s="401">
        <v>0</v>
      </c>
      <c r="BD155" s="401">
        <v>892</v>
      </c>
      <c r="BE155" s="401">
        <v>-2294</v>
      </c>
      <c r="BG155" s="426">
        <f t="shared" si="38"/>
        <v>0.48394270456281135</v>
      </c>
      <c r="BH155" s="426">
        <f t="shared" si="39"/>
        <v>3.1180582219462055E-2</v>
      </c>
      <c r="BI155" s="426">
        <f t="shared" si="40"/>
        <v>4.378454653244096E-2</v>
      </c>
      <c r="BJ155" s="426">
        <f t="shared" si="41"/>
        <v>0.44277338776679953</v>
      </c>
      <c r="BK155" s="426">
        <f t="shared" si="42"/>
        <v>-1.6812210815139337E-3</v>
      </c>
      <c r="BL155" s="425">
        <f t="shared" si="43"/>
        <v>95763728.976691186</v>
      </c>
      <c r="BN155" s="423">
        <f t="shared" si="44"/>
        <v>0.604384855361211</v>
      </c>
      <c r="BO155" s="423">
        <f t="shared" si="45"/>
        <v>5.8408006580727423E-2</v>
      </c>
      <c r="BP155" s="423">
        <f t="shared" si="46"/>
        <v>0.12663741649212162</v>
      </c>
      <c r="BQ155" s="423">
        <f t="shared" si="47"/>
        <v>0.2276668992284441</v>
      </c>
      <c r="BR155" s="423">
        <f t="shared" si="48"/>
        <v>-4.8625716417382264E-3</v>
      </c>
      <c r="BS155" s="423">
        <f t="shared" si="49"/>
        <v>-1.22346060207659E-2</v>
      </c>
      <c r="BT155" s="425">
        <f t="shared" si="50"/>
        <v>33110052.018163633</v>
      </c>
    </row>
    <row r="156" spans="1:72" x14ac:dyDescent="0.2">
      <c r="A156" s="309">
        <v>444</v>
      </c>
      <c r="B156" s="278" t="s">
        <v>275</v>
      </c>
      <c r="C156" s="278">
        <v>1</v>
      </c>
      <c r="D156" s="279">
        <v>47353</v>
      </c>
      <c r="E156" s="364">
        <v>253865000</v>
      </c>
      <c r="F156" s="279">
        <v>170683189</v>
      </c>
      <c r="G156" s="278">
        <v>5503353.7399999993</v>
      </c>
      <c r="H156" s="279">
        <v>12663236.602500001</v>
      </c>
      <c r="I156" s="279">
        <v>69472686.893165231</v>
      </c>
      <c r="J156" s="279">
        <v>-1279008</v>
      </c>
      <c r="K156" s="279">
        <v>481000</v>
      </c>
      <c r="L156" s="280">
        <v>-95179.529999999984</v>
      </c>
      <c r="M156" s="369">
        <v>3754637.7656652317</v>
      </c>
      <c r="N156" s="370">
        <v>79.290388479404299</v>
      </c>
      <c r="P156" s="365">
        <v>104336144.54640719</v>
      </c>
      <c r="Q156" s="283">
        <v>71400954</v>
      </c>
      <c r="R156" s="279">
        <v>12663236.602500001</v>
      </c>
      <c r="S156" s="279">
        <v>3564301.2851351346</v>
      </c>
      <c r="T156" s="280">
        <v>25066322.439328514</v>
      </c>
      <c r="U156" s="280">
        <v>-3922241.5909717879</v>
      </c>
      <c r="V156" s="279">
        <v>-1279008</v>
      </c>
      <c r="W156" s="279">
        <v>481000</v>
      </c>
      <c r="X156" s="279">
        <v>608759.15559431433</v>
      </c>
      <c r="Y156" s="354">
        <v>4247179.3451790065</v>
      </c>
      <c r="Z156" s="355">
        <v>89.691874753004171</v>
      </c>
      <c r="AB156" s="366">
        <v>492541.57951377472</v>
      </c>
      <c r="AC156" s="349">
        <v>10.401486273599872</v>
      </c>
      <c r="AE156" s="374">
        <v>-5.9572242124225454</v>
      </c>
      <c r="AF156" s="350">
        <v>0</v>
      </c>
      <c r="AG156" s="350">
        <v>0</v>
      </c>
      <c r="AH156" s="350">
        <v>0</v>
      </c>
      <c r="AI156" s="350">
        <v>0</v>
      </c>
      <c r="AJ156" s="408">
        <v>-13800</v>
      </c>
      <c r="AK156" s="387">
        <v>-240065</v>
      </c>
      <c r="AL156" s="287">
        <v>-535</v>
      </c>
      <c r="AM156" s="287">
        <v>-13265</v>
      </c>
      <c r="AN156" s="287">
        <v>-91071</v>
      </c>
      <c r="AO156" s="287">
        <v>-148994</v>
      </c>
      <c r="AP156" s="287">
        <v>170683</v>
      </c>
      <c r="AQ156" s="287">
        <v>99282</v>
      </c>
      <c r="AR156" s="287">
        <v>71401</v>
      </c>
      <c r="AS156" s="287">
        <v>5503</v>
      </c>
      <c r="AT156" s="287">
        <v>1939</v>
      </c>
      <c r="AU156" s="287">
        <v>3564</v>
      </c>
      <c r="AV156" s="353">
        <f t="shared" si="34"/>
        <v>68098.499363165232</v>
      </c>
      <c r="AW156" s="353">
        <f t="shared" si="35"/>
        <v>48515.518952939354</v>
      </c>
      <c r="AX156" s="353">
        <f t="shared" si="36"/>
        <v>19582.980410225882</v>
      </c>
      <c r="AY156" s="390">
        <v>282092</v>
      </c>
      <c r="AZ156" s="390">
        <v>-282092</v>
      </c>
      <c r="BA156" s="401">
        <f t="shared" si="37"/>
        <v>12663.236602500001</v>
      </c>
      <c r="BB156" s="401">
        <v>-26645</v>
      </c>
      <c r="BC156" s="401">
        <v>25</v>
      </c>
      <c r="BD156" s="401">
        <v>2000</v>
      </c>
      <c r="BE156" s="401">
        <v>-12811</v>
      </c>
      <c r="BG156" s="426">
        <f t="shared" si="38"/>
        <v>0.66278438238206006</v>
      </c>
      <c r="BH156" s="426">
        <f t="shared" si="39"/>
        <v>2.1370217717199436E-2</v>
      </c>
      <c r="BI156" s="426">
        <f t="shared" si="40"/>
        <v>4.9172947258126633E-2</v>
      </c>
      <c r="BJ156" s="426">
        <f t="shared" si="41"/>
        <v>0.26480466888609072</v>
      </c>
      <c r="BK156" s="426">
        <f t="shared" si="42"/>
        <v>1.8677837565231506E-3</v>
      </c>
      <c r="BL156" s="425">
        <f t="shared" si="43"/>
        <v>257524458.23566523</v>
      </c>
      <c r="BN156" s="423">
        <f t="shared" si="44"/>
        <v>0.66300784517710576</v>
      </c>
      <c r="BO156" s="423">
        <f t="shared" si="45"/>
        <v>3.3097032773811881E-2</v>
      </c>
      <c r="BP156" s="423">
        <f t="shared" si="46"/>
        <v>0.11758701729379385</v>
      </c>
      <c r="BQ156" s="423">
        <f t="shared" si="47"/>
        <v>0.18446110878959998</v>
      </c>
      <c r="BR156" s="423">
        <f t="shared" si="48"/>
        <v>4.4664217445916461E-3</v>
      </c>
      <c r="BS156" s="423">
        <f t="shared" si="49"/>
        <v>-2.619425778903282E-3</v>
      </c>
      <c r="BT156" s="425">
        <f t="shared" si="50"/>
        <v>107692472.29786104</v>
      </c>
    </row>
    <row r="157" spans="1:72" x14ac:dyDescent="0.2">
      <c r="A157" s="309">
        <v>433</v>
      </c>
      <c r="B157" s="278" t="s">
        <v>97</v>
      </c>
      <c r="C157" s="278">
        <v>5</v>
      </c>
      <c r="D157" s="279">
        <v>8175</v>
      </c>
      <c r="E157" s="364">
        <v>44647000</v>
      </c>
      <c r="F157" s="279">
        <v>25363810</v>
      </c>
      <c r="G157" s="278">
        <v>1385001.7249999999</v>
      </c>
      <c r="H157" s="279">
        <v>2068748.5817999998</v>
      </c>
      <c r="I157" s="279">
        <v>16796097.205090351</v>
      </c>
      <c r="J157" s="279">
        <v>-779123</v>
      </c>
      <c r="K157" s="279">
        <v>-305000</v>
      </c>
      <c r="L157" s="280">
        <v>-16431.75</v>
      </c>
      <c r="M157" s="369">
        <v>-101033.73810964823</v>
      </c>
      <c r="N157" s="370">
        <v>-12.358867047051771</v>
      </c>
      <c r="P157" s="365">
        <v>18414189.896073904</v>
      </c>
      <c r="Q157" s="283">
        <v>11580292</v>
      </c>
      <c r="R157" s="279">
        <v>2068748.5817999998</v>
      </c>
      <c r="S157" s="279">
        <v>897010.01635629521</v>
      </c>
      <c r="T157" s="280">
        <v>6979033.810970705</v>
      </c>
      <c r="U157" s="280">
        <v>-1237112.0432791437</v>
      </c>
      <c r="V157" s="279">
        <v>-779123</v>
      </c>
      <c r="W157" s="279">
        <v>-305000</v>
      </c>
      <c r="X157" s="279">
        <v>100929.97878326401</v>
      </c>
      <c r="Y157" s="354">
        <v>890589.44855721295</v>
      </c>
      <c r="Z157" s="355">
        <v>108.94060532809944</v>
      </c>
      <c r="AB157" s="366">
        <v>991623.18666686118</v>
      </c>
      <c r="AC157" s="349">
        <v>121.29947237515121</v>
      </c>
      <c r="AE157" s="374">
        <v>-116.85521031397387</v>
      </c>
      <c r="AF157" s="350">
        <v>-96.299472375151211</v>
      </c>
      <c r="AG157" s="350">
        <v>-71.299472375151211</v>
      </c>
      <c r="AH157" s="350">
        <v>-46.299472375151211</v>
      </c>
      <c r="AI157" s="350">
        <v>-21.299472375151211</v>
      </c>
      <c r="AJ157" s="408">
        <v>-2475</v>
      </c>
      <c r="AK157" s="387">
        <v>-42172</v>
      </c>
      <c r="AL157" s="287">
        <v>-145</v>
      </c>
      <c r="AM157" s="287">
        <v>-2330</v>
      </c>
      <c r="AN157" s="287">
        <v>-16084</v>
      </c>
      <c r="AO157" s="287">
        <v>-26088</v>
      </c>
      <c r="AP157" s="287">
        <v>25364</v>
      </c>
      <c r="AQ157" s="287">
        <v>13784</v>
      </c>
      <c r="AR157" s="287">
        <v>11580</v>
      </c>
      <c r="AS157" s="287">
        <v>1385</v>
      </c>
      <c r="AT157" s="287">
        <v>488</v>
      </c>
      <c r="AU157" s="287">
        <v>897</v>
      </c>
      <c r="AV157" s="353">
        <f t="shared" si="34"/>
        <v>16000.542455090352</v>
      </c>
      <c r="AW157" s="353">
        <f t="shared" si="35"/>
        <v>11993.035031715528</v>
      </c>
      <c r="AX157" s="353">
        <f t="shared" si="36"/>
        <v>4007.5074233748246</v>
      </c>
      <c r="AY157" s="390">
        <v>955291</v>
      </c>
      <c r="AZ157" s="390">
        <v>-955291</v>
      </c>
      <c r="BA157" s="401">
        <f t="shared" si="37"/>
        <v>2068.7485818</v>
      </c>
      <c r="BB157" s="401">
        <v>-3110</v>
      </c>
      <c r="BC157" s="401">
        <v>0</v>
      </c>
      <c r="BD157" s="401">
        <v>300</v>
      </c>
      <c r="BE157" s="401">
        <v>-955</v>
      </c>
      <c r="BG157" s="426">
        <f t="shared" si="38"/>
        <v>0.56959521984734229</v>
      </c>
      <c r="BH157" s="426">
        <f t="shared" si="39"/>
        <v>3.1102991310860757E-2</v>
      </c>
      <c r="BI157" s="426">
        <f t="shared" si="40"/>
        <v>4.6457898212423465E-2</v>
      </c>
      <c r="BJ157" s="426">
        <f t="shared" si="41"/>
        <v>0.35969327729696954</v>
      </c>
      <c r="BK157" s="426">
        <f t="shared" si="42"/>
        <v>-6.8493866675960512E-3</v>
      </c>
      <c r="BL157" s="425">
        <f t="shared" si="43"/>
        <v>44529534.511890352</v>
      </c>
      <c r="BN157" s="423">
        <f t="shared" si="44"/>
        <v>0.63458668823786735</v>
      </c>
      <c r="BO157" s="423">
        <f t="shared" si="45"/>
        <v>4.9155117642606647E-2</v>
      </c>
      <c r="BP157" s="423">
        <f t="shared" si="46"/>
        <v>0.11336504393164237</v>
      </c>
      <c r="BQ157" s="423">
        <f t="shared" si="47"/>
        <v>0.27195566695385204</v>
      </c>
      <c r="BR157" s="423">
        <f t="shared" si="48"/>
        <v>-1.6713649354657856E-2</v>
      </c>
      <c r="BS157" s="423">
        <f t="shared" si="49"/>
        <v>-5.2348867411310354E-2</v>
      </c>
      <c r="BT157" s="425">
        <f t="shared" si="50"/>
        <v>18248558.021531116</v>
      </c>
    </row>
    <row r="158" spans="1:72" x14ac:dyDescent="0.2">
      <c r="A158" s="309">
        <v>434</v>
      </c>
      <c r="B158" s="278" t="s">
        <v>276</v>
      </c>
      <c r="C158" s="278">
        <v>1</v>
      </c>
      <c r="D158" s="279">
        <v>15311</v>
      </c>
      <c r="E158" s="364">
        <v>92744000</v>
      </c>
      <c r="F158" s="279">
        <v>49235027</v>
      </c>
      <c r="G158" s="278">
        <v>8140335.5699999994</v>
      </c>
      <c r="H158" s="279">
        <v>8076593.5530000003</v>
      </c>
      <c r="I158" s="279">
        <v>26219399.852120154</v>
      </c>
      <c r="J158" s="279">
        <v>-1023096</v>
      </c>
      <c r="K158" s="279">
        <v>1337000</v>
      </c>
      <c r="L158" s="280">
        <v>-30775.109999999997</v>
      </c>
      <c r="M158" s="369">
        <v>-727964.91487984301</v>
      </c>
      <c r="N158" s="370">
        <v>-47.545223360972045</v>
      </c>
      <c r="P158" s="365">
        <v>42438547.819221966</v>
      </c>
      <c r="Q158" s="283">
        <v>19643808</v>
      </c>
      <c r="R158" s="279">
        <v>8076593.5530000003</v>
      </c>
      <c r="S158" s="279">
        <v>5272168.5547297299</v>
      </c>
      <c r="T158" s="280">
        <v>5662299.1993693765</v>
      </c>
      <c r="U158" s="280">
        <v>1577710.1709529904</v>
      </c>
      <c r="V158" s="279">
        <v>-1023096</v>
      </c>
      <c r="W158" s="279">
        <v>1337000</v>
      </c>
      <c r="X158" s="279">
        <v>200136.87299199254</v>
      </c>
      <c r="Y158" s="354">
        <v>-1691927.4681778774</v>
      </c>
      <c r="Z158" s="355">
        <v>-110.50404729788239</v>
      </c>
      <c r="AB158" s="366">
        <v>-963962.55329803436</v>
      </c>
      <c r="AC158" s="349">
        <v>-62.958823936910349</v>
      </c>
      <c r="AE158" s="374">
        <v>67.403085998087676</v>
      </c>
      <c r="AF158" s="350">
        <v>37.958823936910349</v>
      </c>
      <c r="AG158" s="350">
        <v>12.958823936910349</v>
      </c>
      <c r="AH158" s="350">
        <v>0</v>
      </c>
      <c r="AI158" s="350">
        <v>0</v>
      </c>
      <c r="AJ158" s="408">
        <v>-4360</v>
      </c>
      <c r="AK158" s="387">
        <v>-88384</v>
      </c>
      <c r="AL158" s="287">
        <v>-40</v>
      </c>
      <c r="AM158" s="287">
        <v>-4320</v>
      </c>
      <c r="AN158" s="287">
        <v>-38119</v>
      </c>
      <c r="AO158" s="287">
        <v>-50265</v>
      </c>
      <c r="AP158" s="287">
        <v>49235</v>
      </c>
      <c r="AQ158" s="287">
        <v>29591</v>
      </c>
      <c r="AR158" s="287">
        <v>19644</v>
      </c>
      <c r="AS158" s="287">
        <v>8140</v>
      </c>
      <c r="AT158" s="287">
        <v>2868</v>
      </c>
      <c r="AU158" s="287">
        <v>5272</v>
      </c>
      <c r="AV158" s="353">
        <f t="shared" si="34"/>
        <v>25165.528742120154</v>
      </c>
      <c r="AW158" s="353">
        <f t="shared" si="35"/>
        <v>17916.606722081066</v>
      </c>
      <c r="AX158" s="353">
        <f t="shared" si="36"/>
        <v>7248.9220200390873</v>
      </c>
      <c r="AY158" s="390">
        <v>1032009</v>
      </c>
      <c r="AZ158" s="390">
        <v>1032009</v>
      </c>
      <c r="BA158" s="401">
        <f t="shared" si="37"/>
        <v>8076.5935530000006</v>
      </c>
      <c r="BB158" s="401">
        <v>-15435</v>
      </c>
      <c r="BC158" s="401">
        <v>1800</v>
      </c>
      <c r="BD158" s="401">
        <v>4000</v>
      </c>
      <c r="BE158" s="401">
        <v>-7887</v>
      </c>
      <c r="BG158" s="426">
        <f t="shared" si="38"/>
        <v>0.53524909331469972</v>
      </c>
      <c r="BH158" s="426">
        <f t="shared" si="39"/>
        <v>8.8496087005698179E-2</v>
      </c>
      <c r="BI158" s="426">
        <f t="shared" si="40"/>
        <v>8.7803127970552328E-2</v>
      </c>
      <c r="BJ158" s="426">
        <f t="shared" si="41"/>
        <v>0.27391675425970596</v>
      </c>
      <c r="BK158" s="426">
        <f t="shared" si="42"/>
        <v>1.4534937449343808E-2</v>
      </c>
      <c r="BL158" s="425">
        <f t="shared" si="43"/>
        <v>91985259.975120157</v>
      </c>
      <c r="BN158" s="423">
        <f t="shared" si="44"/>
        <v>0.47245118797563584</v>
      </c>
      <c r="BO158" s="423">
        <f t="shared" si="45"/>
        <v>0.12680037887205231</v>
      </c>
      <c r="BP158" s="423">
        <f t="shared" si="46"/>
        <v>0.1942493135196196</v>
      </c>
      <c r="BQ158" s="423">
        <f t="shared" si="47"/>
        <v>0.14952233840558901</v>
      </c>
      <c r="BR158" s="423">
        <f t="shared" si="48"/>
        <v>3.2156048273503039E-2</v>
      </c>
      <c r="BS158" s="423">
        <f t="shared" si="49"/>
        <v>2.4820732953600259E-2</v>
      </c>
      <c r="BT158" s="425">
        <f t="shared" si="50"/>
        <v>41578492.127768815</v>
      </c>
    </row>
    <row r="159" spans="1:72" x14ac:dyDescent="0.2">
      <c r="A159" s="309">
        <v>435</v>
      </c>
      <c r="B159" s="278" t="s">
        <v>98</v>
      </c>
      <c r="C159" s="278">
        <v>13</v>
      </c>
      <c r="D159" s="279">
        <v>761</v>
      </c>
      <c r="E159" s="364">
        <v>5315000</v>
      </c>
      <c r="F159" s="279">
        <v>1722475</v>
      </c>
      <c r="G159" s="278">
        <v>238817.18000000002</v>
      </c>
      <c r="H159" s="279">
        <v>498422.34299999999</v>
      </c>
      <c r="I159" s="279">
        <v>3390303.4110082877</v>
      </c>
      <c r="J159" s="279">
        <v>-182314</v>
      </c>
      <c r="K159" s="279">
        <v>18000</v>
      </c>
      <c r="L159" s="280">
        <v>229653.22104262642</v>
      </c>
      <c r="M159" s="369">
        <v>141050.71296566084</v>
      </c>
      <c r="N159" s="370">
        <v>185.34916289837167</v>
      </c>
      <c r="P159" s="365">
        <v>1942788.8839783785</v>
      </c>
      <c r="Q159" s="283">
        <v>615747</v>
      </c>
      <c r="R159" s="279">
        <v>498422.34299999999</v>
      </c>
      <c r="S159" s="279">
        <v>154672.30016479897</v>
      </c>
      <c r="T159" s="280">
        <v>423936.36438541056</v>
      </c>
      <c r="U159" s="280">
        <v>175436.42231951031</v>
      </c>
      <c r="V159" s="279">
        <v>-182314</v>
      </c>
      <c r="W159" s="279">
        <v>18000</v>
      </c>
      <c r="X159" s="279">
        <v>9068.4505665547404</v>
      </c>
      <c r="Y159" s="354">
        <v>-229820.00354210427</v>
      </c>
      <c r="Z159" s="355">
        <v>-301.99737653364554</v>
      </c>
      <c r="AB159" s="366">
        <v>-370870.71650776512</v>
      </c>
      <c r="AC159" s="349">
        <v>-487.34653943201721</v>
      </c>
      <c r="AE159" s="374">
        <v>491.79080149319577</v>
      </c>
      <c r="AF159" s="350">
        <v>462.3465394320184</v>
      </c>
      <c r="AG159" s="350">
        <v>437.3465394320184</v>
      </c>
      <c r="AH159" s="350">
        <v>412.3465394320184</v>
      </c>
      <c r="AI159" s="350">
        <v>387.3465394320184</v>
      </c>
      <c r="AJ159" s="408">
        <v>-196</v>
      </c>
      <c r="AK159" s="387">
        <v>-5119</v>
      </c>
      <c r="AL159" s="287">
        <v>0</v>
      </c>
      <c r="AM159" s="287">
        <v>-196</v>
      </c>
      <c r="AN159" s="287">
        <v>-1747</v>
      </c>
      <c r="AO159" s="287">
        <v>-3372</v>
      </c>
      <c r="AP159" s="287">
        <v>1722</v>
      </c>
      <c r="AQ159" s="287">
        <v>1106</v>
      </c>
      <c r="AR159" s="287">
        <v>616</v>
      </c>
      <c r="AS159" s="287">
        <v>239</v>
      </c>
      <c r="AT159" s="287">
        <v>84</v>
      </c>
      <c r="AU159" s="287">
        <v>155</v>
      </c>
      <c r="AV159" s="353">
        <f t="shared" si="34"/>
        <v>3437.6426320509145</v>
      </c>
      <c r="AW159" s="353">
        <f t="shared" si="35"/>
        <v>2646.3310454096713</v>
      </c>
      <c r="AX159" s="353">
        <f t="shared" si="36"/>
        <v>791.31158664124303</v>
      </c>
      <c r="AY159" s="390">
        <v>374253</v>
      </c>
      <c r="AZ159" s="390">
        <v>374253</v>
      </c>
      <c r="BA159" s="401">
        <f t="shared" si="37"/>
        <v>498.42234300000001</v>
      </c>
      <c r="BB159" s="401">
        <v>-1414</v>
      </c>
      <c r="BC159" s="401">
        <v>1446</v>
      </c>
      <c r="BD159" s="401">
        <v>0</v>
      </c>
      <c r="BE159" s="401">
        <v>324</v>
      </c>
      <c r="BG159" s="426">
        <f t="shared" si="38"/>
        <v>0.30294841588518939</v>
      </c>
      <c r="BH159" s="426">
        <f t="shared" si="39"/>
        <v>4.2003098081056699E-2</v>
      </c>
      <c r="BI159" s="426">
        <f t="shared" si="40"/>
        <v>8.7662380733325315E-2</v>
      </c>
      <c r="BJ159" s="426">
        <f t="shared" si="41"/>
        <v>0.56422027039081701</v>
      </c>
      <c r="BK159" s="426">
        <f t="shared" si="42"/>
        <v>3.1658349096116978E-3</v>
      </c>
      <c r="BL159" s="425">
        <f t="shared" si="43"/>
        <v>5685703.9340082873</v>
      </c>
      <c r="BN159" s="423">
        <f t="shared" si="44"/>
        <v>0.29629528331626875</v>
      </c>
      <c r="BO159" s="423">
        <f t="shared" si="45"/>
        <v>7.4427764972477439E-2</v>
      </c>
      <c r="BP159" s="423">
        <f t="shared" si="46"/>
        <v>0.23983907242803207</v>
      </c>
      <c r="BQ159" s="423">
        <f t="shared" si="47"/>
        <v>0.20068721628570474</v>
      </c>
      <c r="BR159" s="423">
        <f t="shared" si="48"/>
        <v>8.6615364747093162E-3</v>
      </c>
      <c r="BS159" s="423">
        <f t="shared" si="49"/>
        <v>0.18008912652280784</v>
      </c>
      <c r="BT159" s="425">
        <f t="shared" si="50"/>
        <v>2078153.2298060416</v>
      </c>
    </row>
    <row r="160" spans="1:72" x14ac:dyDescent="0.2">
      <c r="A160" s="309">
        <v>436</v>
      </c>
      <c r="B160" s="278" t="s">
        <v>99</v>
      </c>
      <c r="C160" s="278">
        <v>17</v>
      </c>
      <c r="D160" s="279">
        <v>2076</v>
      </c>
      <c r="E160" s="364">
        <v>11575000</v>
      </c>
      <c r="F160" s="279">
        <v>4960899</v>
      </c>
      <c r="G160" s="278">
        <v>137333.565</v>
      </c>
      <c r="H160" s="279">
        <v>293787.60800000001</v>
      </c>
      <c r="I160" s="279">
        <v>6663356.6178279286</v>
      </c>
      <c r="J160" s="279">
        <v>-374481</v>
      </c>
      <c r="K160" s="279">
        <v>-38000</v>
      </c>
      <c r="L160" s="280">
        <v>-4172.7599999999993</v>
      </c>
      <c r="M160" s="369">
        <v>72068.550827929968</v>
      </c>
      <c r="N160" s="370">
        <v>34.71510155487956</v>
      </c>
      <c r="P160" s="365">
        <v>5539503.8798988191</v>
      </c>
      <c r="Q160" s="283">
        <v>2174693</v>
      </c>
      <c r="R160" s="279">
        <v>293787.60800000001</v>
      </c>
      <c r="S160" s="279">
        <v>88945.43679136454</v>
      </c>
      <c r="T160" s="280">
        <v>3864910.1366697568</v>
      </c>
      <c r="U160" s="280">
        <v>-115025.38227930701</v>
      </c>
      <c r="V160" s="279">
        <v>-374481</v>
      </c>
      <c r="W160" s="279">
        <v>-38000</v>
      </c>
      <c r="X160" s="279">
        <v>23940.718021425368</v>
      </c>
      <c r="Y160" s="354">
        <v>379266.63730442151</v>
      </c>
      <c r="Z160" s="355">
        <v>182.69105843180228</v>
      </c>
      <c r="AB160" s="366">
        <v>307198.08647649153</v>
      </c>
      <c r="AC160" s="349">
        <v>147.97595687692271</v>
      </c>
      <c r="AE160" s="374">
        <v>-143.53169481574537</v>
      </c>
      <c r="AF160" s="350">
        <v>-122.97595687692271</v>
      </c>
      <c r="AG160" s="350">
        <v>-97.975956876922709</v>
      </c>
      <c r="AH160" s="350">
        <v>-72.975956876922709</v>
      </c>
      <c r="AI160" s="350">
        <v>-47.975956876922709</v>
      </c>
      <c r="AJ160" s="408">
        <v>-565</v>
      </c>
      <c r="AK160" s="387">
        <v>-11010</v>
      </c>
      <c r="AL160" s="287">
        <v>-6</v>
      </c>
      <c r="AM160" s="287">
        <v>-559</v>
      </c>
      <c r="AN160" s="287">
        <v>-4981</v>
      </c>
      <c r="AO160" s="287">
        <v>-6029</v>
      </c>
      <c r="AP160" s="287">
        <v>4961</v>
      </c>
      <c r="AQ160" s="287">
        <v>2786</v>
      </c>
      <c r="AR160" s="287">
        <v>2175</v>
      </c>
      <c r="AS160" s="287">
        <v>137</v>
      </c>
      <c r="AT160" s="287">
        <v>48</v>
      </c>
      <c r="AU160" s="287">
        <v>89</v>
      </c>
      <c r="AV160" s="353">
        <f t="shared" si="34"/>
        <v>6284.7028578279287</v>
      </c>
      <c r="AW160" s="353">
        <f t="shared" si="35"/>
        <v>3207.2709018749661</v>
      </c>
      <c r="AX160" s="353">
        <f t="shared" si="36"/>
        <v>3077.4319559529627</v>
      </c>
      <c r="AY160" s="390">
        <v>297972</v>
      </c>
      <c r="AZ160" s="390">
        <v>-297972</v>
      </c>
      <c r="BA160" s="401">
        <f t="shared" si="37"/>
        <v>293.78760800000003</v>
      </c>
      <c r="BB160" s="401">
        <v>-545</v>
      </c>
      <c r="BC160" s="401">
        <v>0</v>
      </c>
      <c r="BD160" s="401">
        <v>20</v>
      </c>
      <c r="BE160" s="401">
        <v>34</v>
      </c>
      <c r="BG160" s="426">
        <f t="shared" si="38"/>
        <v>0.4260880702812877</v>
      </c>
      <c r="BH160" s="426">
        <f t="shared" si="39"/>
        <v>1.1795481765643646E-2</v>
      </c>
      <c r="BI160" s="426">
        <f t="shared" si="40"/>
        <v>2.523320772409908E-2</v>
      </c>
      <c r="BJ160" s="426">
        <f t="shared" si="41"/>
        <v>0.54014703307592904</v>
      </c>
      <c r="BK160" s="426">
        <f t="shared" si="42"/>
        <v>-3.2637928469595799E-3</v>
      </c>
      <c r="BL160" s="425">
        <f t="shared" si="43"/>
        <v>11642895.79082793</v>
      </c>
      <c r="BN160" s="423">
        <f t="shared" si="44"/>
        <v>0.38855604335696686</v>
      </c>
      <c r="BO160" s="423">
        <f t="shared" si="45"/>
        <v>1.5892030274760528E-2</v>
      </c>
      <c r="BP160" s="423">
        <f t="shared" si="46"/>
        <v>5.2491524344717891E-2</v>
      </c>
      <c r="BQ160" s="423">
        <f t="shared" si="47"/>
        <v>0.60308904637951399</v>
      </c>
      <c r="BR160" s="423">
        <f t="shared" si="48"/>
        <v>-6.7895236925693608E-3</v>
      </c>
      <c r="BS160" s="423">
        <f t="shared" si="49"/>
        <v>-5.3239120663390073E-2</v>
      </c>
      <c r="BT160" s="425">
        <f t="shared" si="50"/>
        <v>5596858.0007443279</v>
      </c>
    </row>
    <row r="161" spans="1:72" x14ac:dyDescent="0.2">
      <c r="A161" s="309">
        <v>423</v>
      </c>
      <c r="B161" s="278" t="s">
        <v>273</v>
      </c>
      <c r="C161" s="278">
        <v>2</v>
      </c>
      <c r="D161" s="279">
        <v>19263</v>
      </c>
      <c r="E161" s="364">
        <v>93986000</v>
      </c>
      <c r="F161" s="279">
        <v>67260579</v>
      </c>
      <c r="G161" s="278">
        <v>2862620.91</v>
      </c>
      <c r="H161" s="279">
        <v>3602940.5224999995</v>
      </c>
      <c r="I161" s="279">
        <v>21542264.553844459</v>
      </c>
      <c r="J161" s="279">
        <v>-1459008</v>
      </c>
      <c r="K161" s="279">
        <v>-545000</v>
      </c>
      <c r="L161" s="280">
        <v>-38718.629999999997</v>
      </c>
      <c r="M161" s="369">
        <v>-682884.38365554332</v>
      </c>
      <c r="N161" s="370">
        <v>-35.45057279009206</v>
      </c>
      <c r="P161" s="365">
        <v>39715084.554809846</v>
      </c>
      <c r="Q161" s="283">
        <v>25830067</v>
      </c>
      <c r="R161" s="279">
        <v>3602940.5224999995</v>
      </c>
      <c r="S161" s="279">
        <v>1854004.6434245221</v>
      </c>
      <c r="T161" s="280">
        <v>14113656.385514906</v>
      </c>
      <c r="U161" s="280">
        <v>-2138532.1134982076</v>
      </c>
      <c r="V161" s="279">
        <v>-1459008</v>
      </c>
      <c r="W161" s="279">
        <v>-545000</v>
      </c>
      <c r="X161" s="279">
        <v>246983.3541052994</v>
      </c>
      <c r="Y161" s="354">
        <v>1790027.2372366711</v>
      </c>
      <c r="Z161" s="355">
        <v>92.92567290851224</v>
      </c>
      <c r="AB161" s="366">
        <v>2472911.6208922146</v>
      </c>
      <c r="AC161" s="349">
        <v>128.37624569860429</v>
      </c>
      <c r="AE161" s="374">
        <v>-123.93198363742775</v>
      </c>
      <c r="AF161" s="350">
        <v>-103.37624569860509</v>
      </c>
      <c r="AG161" s="350">
        <v>-78.376245698605089</v>
      </c>
      <c r="AH161" s="350">
        <v>-53.376245698605089</v>
      </c>
      <c r="AI161" s="350">
        <v>-28.376245698605089</v>
      </c>
      <c r="AJ161" s="408">
        <v>-5210</v>
      </c>
      <c r="AK161" s="387">
        <v>-88776</v>
      </c>
      <c r="AL161" s="287">
        <v>-355</v>
      </c>
      <c r="AM161" s="287">
        <v>-4855</v>
      </c>
      <c r="AN161" s="287">
        <v>-34860</v>
      </c>
      <c r="AO161" s="287">
        <v>-53916</v>
      </c>
      <c r="AP161" s="287">
        <v>67261</v>
      </c>
      <c r="AQ161" s="287">
        <v>41431</v>
      </c>
      <c r="AR161" s="287">
        <v>25830</v>
      </c>
      <c r="AS161" s="287">
        <v>2863</v>
      </c>
      <c r="AT161" s="287">
        <v>1009</v>
      </c>
      <c r="AU161" s="287">
        <v>1854</v>
      </c>
      <c r="AV161" s="353">
        <f t="shared" si="34"/>
        <v>20044.537923844462</v>
      </c>
      <c r="AW161" s="353">
        <f t="shared" si="35"/>
        <v>11915.723452635535</v>
      </c>
      <c r="AX161" s="353">
        <f t="shared" si="36"/>
        <v>8128.8144712089279</v>
      </c>
      <c r="AY161" s="390">
        <v>2387302</v>
      </c>
      <c r="AZ161" s="390">
        <v>-2387302</v>
      </c>
      <c r="BA161" s="401">
        <f t="shared" si="37"/>
        <v>3602.9405224999996</v>
      </c>
      <c r="BB161" s="401">
        <v>-19667</v>
      </c>
      <c r="BC161" s="401">
        <v>2306</v>
      </c>
      <c r="BD161" s="401">
        <v>2200</v>
      </c>
      <c r="BE161" s="401">
        <v>-11613</v>
      </c>
      <c r="BG161" s="426">
        <f t="shared" si="38"/>
        <v>0.72118172821991366</v>
      </c>
      <c r="BH161" s="426">
        <f t="shared" si="39"/>
        <v>3.0693608734951004E-2</v>
      </c>
      <c r="BI161" s="426">
        <f t="shared" si="40"/>
        <v>3.8631467515171228E-2</v>
      </c>
      <c r="BJ161" s="426">
        <f t="shared" si="41"/>
        <v>0.21533679735027933</v>
      </c>
      <c r="BK161" s="426">
        <f t="shared" si="42"/>
        <v>-5.843601820315179E-3</v>
      </c>
      <c r="BL161" s="425">
        <f t="shared" si="43"/>
        <v>93264396.986344457</v>
      </c>
      <c r="BN161" s="423">
        <f t="shared" si="44"/>
        <v>0.66451035994496821</v>
      </c>
      <c r="BO161" s="423">
        <f t="shared" si="45"/>
        <v>4.7696558159979668E-2</v>
      </c>
      <c r="BP161" s="423">
        <f t="shared" si="46"/>
        <v>9.2690092653138934E-2</v>
      </c>
      <c r="BQ161" s="423">
        <f t="shared" si="47"/>
        <v>0.27054007289802823</v>
      </c>
      <c r="BR161" s="423">
        <f t="shared" si="48"/>
        <v>-1.402079778461309E-2</v>
      </c>
      <c r="BS161" s="423">
        <f t="shared" si="49"/>
        <v>-6.1416285871501705E-2</v>
      </c>
      <c r="BT161" s="425">
        <f t="shared" si="50"/>
        <v>38870826.637133442</v>
      </c>
    </row>
    <row r="162" spans="1:72" x14ac:dyDescent="0.2">
      <c r="A162" s="309">
        <v>441</v>
      </c>
      <c r="B162" s="278" t="s">
        <v>100</v>
      </c>
      <c r="C162" s="278">
        <v>9</v>
      </c>
      <c r="D162" s="279">
        <v>4860</v>
      </c>
      <c r="E162" s="364">
        <v>29490000</v>
      </c>
      <c r="F162" s="279">
        <v>13524588</v>
      </c>
      <c r="G162" s="278">
        <v>1807029.0599999998</v>
      </c>
      <c r="H162" s="279">
        <v>1510933.2960000001</v>
      </c>
      <c r="I162" s="279">
        <v>12609358.072563995</v>
      </c>
      <c r="J162" s="279">
        <v>-543039</v>
      </c>
      <c r="K162" s="279">
        <v>518000</v>
      </c>
      <c r="L162" s="280">
        <v>-9768.5999999999985</v>
      </c>
      <c r="M162" s="369">
        <v>-53361.971436006577</v>
      </c>
      <c r="N162" s="370">
        <v>-10.979829513581601</v>
      </c>
      <c r="P162" s="365">
        <v>10611830.97765363</v>
      </c>
      <c r="Q162" s="283">
        <v>5459671</v>
      </c>
      <c r="R162" s="279">
        <v>1510933.2960000001</v>
      </c>
      <c r="S162" s="279">
        <v>1170340.1789386948</v>
      </c>
      <c r="T162" s="280">
        <v>2163968.907749448</v>
      </c>
      <c r="U162" s="280">
        <v>93490.699558160108</v>
      </c>
      <c r="V162" s="279">
        <v>-543039</v>
      </c>
      <c r="W162" s="279">
        <v>518000</v>
      </c>
      <c r="X162" s="279">
        <v>60883.014781624108</v>
      </c>
      <c r="Y162" s="354">
        <v>-177582.8806257043</v>
      </c>
      <c r="Z162" s="355">
        <v>-36.539687371544098</v>
      </c>
      <c r="AB162" s="366">
        <v>-124220.90918969773</v>
      </c>
      <c r="AC162" s="349">
        <v>-25.559857857962495</v>
      </c>
      <c r="AE162" s="374">
        <v>30.004119919139828</v>
      </c>
      <c r="AF162" s="350">
        <v>0.55985785796249843</v>
      </c>
      <c r="AG162" s="350">
        <v>0</v>
      </c>
      <c r="AH162" s="350">
        <v>0</v>
      </c>
      <c r="AI162" s="350">
        <v>0</v>
      </c>
      <c r="AJ162" s="408">
        <v>-1848</v>
      </c>
      <c r="AK162" s="387">
        <v>-27642</v>
      </c>
      <c r="AL162" s="287">
        <v>0</v>
      </c>
      <c r="AM162" s="287">
        <v>-1848</v>
      </c>
      <c r="AN162" s="287">
        <v>-8764</v>
      </c>
      <c r="AO162" s="287">
        <v>-18878</v>
      </c>
      <c r="AP162" s="287">
        <v>13525</v>
      </c>
      <c r="AQ162" s="287">
        <v>8065</v>
      </c>
      <c r="AR162" s="287">
        <v>5460</v>
      </c>
      <c r="AS162" s="287">
        <v>1807</v>
      </c>
      <c r="AT162" s="287">
        <v>637</v>
      </c>
      <c r="AU162" s="287">
        <v>1170</v>
      </c>
      <c r="AV162" s="353">
        <f t="shared" si="34"/>
        <v>12056.550472563995</v>
      </c>
      <c r="AW162" s="353">
        <f t="shared" si="35"/>
        <v>10196.309842449367</v>
      </c>
      <c r="AX162" s="353">
        <f t="shared" si="36"/>
        <v>1860.2406301146277</v>
      </c>
      <c r="AY162" s="390">
        <v>145820</v>
      </c>
      <c r="AZ162" s="390">
        <v>145820</v>
      </c>
      <c r="BA162" s="401">
        <f t="shared" si="37"/>
        <v>1510.9332960000002</v>
      </c>
      <c r="BB162" s="401">
        <v>-4184</v>
      </c>
      <c r="BC162" s="401">
        <v>180</v>
      </c>
      <c r="BD162" s="401">
        <v>100</v>
      </c>
      <c r="BE162" s="401">
        <v>-2096</v>
      </c>
      <c r="BG162" s="426">
        <f t="shared" si="38"/>
        <v>0.45959995958224459</v>
      </c>
      <c r="BH162" s="426">
        <f t="shared" si="39"/>
        <v>6.1407451594084887E-2</v>
      </c>
      <c r="BI162" s="426">
        <f t="shared" si="40"/>
        <v>5.1345363109994005E-2</v>
      </c>
      <c r="BJ162" s="426">
        <f t="shared" si="41"/>
        <v>0.410044265899773</v>
      </c>
      <c r="BK162" s="426">
        <f t="shared" si="42"/>
        <v>1.7602959813903588E-2</v>
      </c>
      <c r="BL162" s="425">
        <f t="shared" si="43"/>
        <v>29426869.428563993</v>
      </c>
      <c r="BN162" s="423">
        <f t="shared" si="44"/>
        <v>0.51902033717205187</v>
      </c>
      <c r="BO162" s="423">
        <f t="shared" si="45"/>
        <v>0.11125768462582468</v>
      </c>
      <c r="BP162" s="423">
        <f t="shared" si="46"/>
        <v>0.14363596427960579</v>
      </c>
      <c r="BQ162" s="423">
        <f t="shared" si="47"/>
        <v>0.16298036304010052</v>
      </c>
      <c r="BR162" s="423">
        <f t="shared" si="48"/>
        <v>4.9243358190470245E-2</v>
      </c>
      <c r="BS162" s="423">
        <f t="shared" si="49"/>
        <v>1.3862292691947112E-2</v>
      </c>
      <c r="BT162" s="425">
        <f t="shared" si="50"/>
        <v>10519185.105053321</v>
      </c>
    </row>
    <row r="163" spans="1:72" x14ac:dyDescent="0.2">
      <c r="A163" s="309">
        <v>475</v>
      </c>
      <c r="B163" s="278" t="s">
        <v>278</v>
      </c>
      <c r="C163" s="278">
        <v>15</v>
      </c>
      <c r="D163" s="279">
        <v>5545</v>
      </c>
      <c r="E163" s="364">
        <v>35581000</v>
      </c>
      <c r="F163" s="279">
        <v>17154213</v>
      </c>
      <c r="G163" s="278">
        <v>889202.29499999993</v>
      </c>
      <c r="H163" s="279">
        <v>1410693.5020999999</v>
      </c>
      <c r="I163" s="279">
        <v>16624191.406941973</v>
      </c>
      <c r="J163" s="279">
        <v>-113930</v>
      </c>
      <c r="K163" s="279">
        <v>-29000</v>
      </c>
      <c r="L163" s="280">
        <v>-11145.449999999999</v>
      </c>
      <c r="M163" s="369">
        <v>365515.65404197277</v>
      </c>
      <c r="N163" s="370">
        <v>65.918062045441431</v>
      </c>
      <c r="P163" s="365">
        <v>14850960.226714287</v>
      </c>
      <c r="Q163" s="283">
        <v>7913439</v>
      </c>
      <c r="R163" s="279">
        <v>1410693.5020999999</v>
      </c>
      <c r="S163" s="279">
        <v>575900.62942485162</v>
      </c>
      <c r="T163" s="280">
        <v>7004747.7445717603</v>
      </c>
      <c r="U163" s="280">
        <v>-642717.01133737108</v>
      </c>
      <c r="V163" s="279">
        <v>-113930</v>
      </c>
      <c r="W163" s="279">
        <v>-29000</v>
      </c>
      <c r="X163" s="279">
        <v>67827.22481309835</v>
      </c>
      <c r="Y163" s="354">
        <v>1336000.8628580533</v>
      </c>
      <c r="Z163" s="355">
        <v>240.93793739550105</v>
      </c>
      <c r="AB163" s="366">
        <v>970485.20881608059</v>
      </c>
      <c r="AC163" s="349">
        <v>175.01987535005961</v>
      </c>
      <c r="AE163" s="374">
        <v>-170.57561328888229</v>
      </c>
      <c r="AF163" s="350">
        <v>-150.01987535005964</v>
      </c>
      <c r="AG163" s="350">
        <v>-125.01987535005964</v>
      </c>
      <c r="AH163" s="350">
        <v>-100.01987535005964</v>
      </c>
      <c r="AI163" s="350">
        <v>-75.019875350059635</v>
      </c>
      <c r="AJ163" s="408">
        <v>-1900</v>
      </c>
      <c r="AK163" s="387">
        <v>-33681</v>
      </c>
      <c r="AL163" s="287">
        <v>-308</v>
      </c>
      <c r="AM163" s="287">
        <v>-1592</v>
      </c>
      <c r="AN163" s="287">
        <v>-13259</v>
      </c>
      <c r="AO163" s="287">
        <v>-20422</v>
      </c>
      <c r="AP163" s="287">
        <v>17154</v>
      </c>
      <c r="AQ163" s="287">
        <v>9241</v>
      </c>
      <c r="AR163" s="287">
        <v>7913</v>
      </c>
      <c r="AS163" s="287">
        <v>889</v>
      </c>
      <c r="AT163" s="287">
        <v>313</v>
      </c>
      <c r="AU163" s="287">
        <v>576</v>
      </c>
      <c r="AV163" s="353">
        <f t="shared" si="34"/>
        <v>16499.115956941972</v>
      </c>
      <c r="AW163" s="353">
        <f t="shared" si="35"/>
        <v>11196.856999394437</v>
      </c>
      <c r="AX163" s="353">
        <f t="shared" si="36"/>
        <v>5302.2589575475358</v>
      </c>
      <c r="AY163" s="390">
        <v>945842</v>
      </c>
      <c r="AZ163" s="390">
        <v>-945842</v>
      </c>
      <c r="BA163" s="401">
        <f t="shared" si="37"/>
        <v>1410.6935020999999</v>
      </c>
      <c r="BB163" s="401">
        <v>-7600</v>
      </c>
      <c r="BC163" s="401">
        <v>1200</v>
      </c>
      <c r="BD163" s="401">
        <v>100</v>
      </c>
      <c r="BE163" s="401">
        <v>-4500</v>
      </c>
      <c r="BG163" s="426">
        <f t="shared" si="38"/>
        <v>0.47736291299068101</v>
      </c>
      <c r="BH163" s="426">
        <f t="shared" si="39"/>
        <v>2.4744486837093536E-2</v>
      </c>
      <c r="BI163" s="426">
        <f t="shared" si="40"/>
        <v>3.9256406545697044E-2</v>
      </c>
      <c r="BJ163" s="426">
        <f t="shared" si="41"/>
        <v>0.45944319797448241</v>
      </c>
      <c r="BK163" s="426">
        <f t="shared" si="42"/>
        <v>-8.0700434795404194E-4</v>
      </c>
      <c r="BL163" s="425">
        <f t="shared" si="43"/>
        <v>35935370.204041973</v>
      </c>
      <c r="BN163" s="423">
        <f t="shared" si="44"/>
        <v>0.52153737986097015</v>
      </c>
      <c r="BO163" s="423">
        <f t="shared" si="45"/>
        <v>3.795488981851261E-2</v>
      </c>
      <c r="BP163" s="423">
        <f t="shared" si="46"/>
        <v>9.2972144332208781E-2</v>
      </c>
      <c r="BQ163" s="423">
        <f t="shared" si="47"/>
        <v>0.41178280208117729</v>
      </c>
      <c r="BR163" s="423">
        <f t="shared" si="48"/>
        <v>-1.9112529983447315E-3</v>
      </c>
      <c r="BS163" s="423">
        <f t="shared" si="49"/>
        <v>-6.2335963094524188E-2</v>
      </c>
      <c r="BT163" s="425">
        <f t="shared" si="50"/>
        <v>15173292.08907239</v>
      </c>
    </row>
    <row r="164" spans="1:72" x14ac:dyDescent="0.2">
      <c r="A164" s="309">
        <v>480</v>
      </c>
      <c r="B164" s="278" t="s">
        <v>102</v>
      </c>
      <c r="C164" s="278">
        <v>2</v>
      </c>
      <c r="D164" s="279">
        <v>2028</v>
      </c>
      <c r="E164" s="364">
        <v>11525000</v>
      </c>
      <c r="F164" s="279">
        <v>5521454</v>
      </c>
      <c r="G164" s="278">
        <v>281586.95</v>
      </c>
      <c r="H164" s="279">
        <v>369370.71600000001</v>
      </c>
      <c r="I164" s="279">
        <v>5379197.0307157282</v>
      </c>
      <c r="J164" s="279">
        <v>-342408</v>
      </c>
      <c r="K164" s="279">
        <v>-20000</v>
      </c>
      <c r="L164" s="280">
        <v>-4076.2799999999997</v>
      </c>
      <c r="M164" s="369">
        <v>-331723.02328427252</v>
      </c>
      <c r="N164" s="370">
        <v>-163.57151049520343</v>
      </c>
      <c r="P164" s="365">
        <v>4548687.7897091722</v>
      </c>
      <c r="Q164" s="283">
        <v>2341650</v>
      </c>
      <c r="R164" s="279">
        <v>369370.71600000001</v>
      </c>
      <c r="S164" s="279">
        <v>182372.56320039555</v>
      </c>
      <c r="T164" s="280">
        <v>1667112.2671283416</v>
      </c>
      <c r="U164" s="280">
        <v>94450.666278592398</v>
      </c>
      <c r="V164" s="279">
        <v>-342408</v>
      </c>
      <c r="W164" s="279">
        <v>-20000</v>
      </c>
      <c r="X164" s="279">
        <v>24654.331253989116</v>
      </c>
      <c r="Y164" s="354">
        <v>-231485.24584785383</v>
      </c>
      <c r="Z164" s="355">
        <v>-114.14459854430662</v>
      </c>
      <c r="AB164" s="366">
        <v>100237.77743641869</v>
      </c>
      <c r="AC164" s="349">
        <v>49.426911950896788</v>
      </c>
      <c r="AE164" s="374">
        <v>-44.98264988971853</v>
      </c>
      <c r="AF164" s="350">
        <v>-24.426911950895871</v>
      </c>
      <c r="AG164" s="350">
        <v>0</v>
      </c>
      <c r="AH164" s="350">
        <v>0</v>
      </c>
      <c r="AI164" s="350">
        <v>0</v>
      </c>
      <c r="AJ164" s="408">
        <v>-410</v>
      </c>
      <c r="AK164" s="387">
        <v>-11115</v>
      </c>
      <c r="AL164" s="287">
        <v>-52</v>
      </c>
      <c r="AM164" s="287">
        <v>-358</v>
      </c>
      <c r="AN164" s="287">
        <v>-4191</v>
      </c>
      <c r="AO164" s="287">
        <v>-6924</v>
      </c>
      <c r="AP164" s="287">
        <v>5521</v>
      </c>
      <c r="AQ164" s="287">
        <v>3179</v>
      </c>
      <c r="AR164" s="287">
        <v>2342</v>
      </c>
      <c r="AS164" s="287">
        <v>282</v>
      </c>
      <c r="AT164" s="287">
        <v>100</v>
      </c>
      <c r="AU164" s="287">
        <v>182</v>
      </c>
      <c r="AV164" s="353">
        <f t="shared" si="34"/>
        <v>5032.7127507157284</v>
      </c>
      <c r="AW164" s="353">
        <f t="shared" si="35"/>
        <v>3704.7826312851435</v>
      </c>
      <c r="AX164" s="353">
        <f t="shared" si="36"/>
        <v>1327.9301194305849</v>
      </c>
      <c r="AY164" s="390">
        <v>91225</v>
      </c>
      <c r="AZ164" s="390">
        <v>-91225</v>
      </c>
      <c r="BA164" s="401">
        <f t="shared" si="37"/>
        <v>369.37071600000002</v>
      </c>
      <c r="BB164" s="401">
        <v>-1550</v>
      </c>
      <c r="BC164" s="401">
        <v>503</v>
      </c>
      <c r="BD164" s="401">
        <v>50</v>
      </c>
      <c r="BE164" s="401">
        <v>-826</v>
      </c>
      <c r="BG164" s="426">
        <f t="shared" si="38"/>
        <v>0.49346277269123129</v>
      </c>
      <c r="BH164" s="426">
        <f t="shared" si="39"/>
        <v>2.5165957572166157E-2</v>
      </c>
      <c r="BI164" s="426">
        <f t="shared" si="40"/>
        <v>3.3011358542207429E-2</v>
      </c>
      <c r="BJ164" s="426">
        <f t="shared" si="41"/>
        <v>0.4501473489696306</v>
      </c>
      <c r="BK164" s="426">
        <f t="shared" si="42"/>
        <v>-1.7874377752354047E-3</v>
      </c>
      <c r="BL164" s="425">
        <f t="shared" si="43"/>
        <v>11189200.696715727</v>
      </c>
      <c r="BN164" s="423">
        <f t="shared" si="44"/>
        <v>0.55736009295619493</v>
      </c>
      <c r="BO164" s="423">
        <f t="shared" si="45"/>
        <v>4.3408361103509062E-2</v>
      </c>
      <c r="BP164" s="423">
        <f t="shared" si="46"/>
        <v>8.7917706149533995E-2</v>
      </c>
      <c r="BQ164" s="423">
        <f t="shared" si="47"/>
        <v>0.33778759661048036</v>
      </c>
      <c r="BR164" s="423">
        <f t="shared" si="48"/>
        <v>-4.7604047825780529E-3</v>
      </c>
      <c r="BS164" s="423">
        <f t="shared" si="49"/>
        <v>-2.1713352037140293E-2</v>
      </c>
      <c r="BT164" s="425">
        <f t="shared" si="50"/>
        <v>4201323.3986309804</v>
      </c>
    </row>
    <row r="165" spans="1:72" x14ac:dyDescent="0.2">
      <c r="A165" s="309">
        <v>481</v>
      </c>
      <c r="B165" s="278" t="s">
        <v>103</v>
      </c>
      <c r="C165" s="278">
        <v>2</v>
      </c>
      <c r="D165" s="279">
        <v>9706</v>
      </c>
      <c r="E165" s="364">
        <v>48260000</v>
      </c>
      <c r="F165" s="279">
        <v>35721326</v>
      </c>
      <c r="G165" s="278">
        <v>1348951.5150000001</v>
      </c>
      <c r="H165" s="279">
        <v>1891332.9853999999</v>
      </c>
      <c r="I165" s="279">
        <v>10180264.782825422</v>
      </c>
      <c r="J165" s="279">
        <v>-1548055</v>
      </c>
      <c r="K165" s="279">
        <v>-84000</v>
      </c>
      <c r="L165" s="280">
        <v>-19509.059999999998</v>
      </c>
      <c r="M165" s="369">
        <v>-730670.65677458281</v>
      </c>
      <c r="N165" s="370">
        <v>-75.280306694269811</v>
      </c>
      <c r="P165" s="365">
        <v>21471429.44295302</v>
      </c>
      <c r="Q165" s="283">
        <v>15198145</v>
      </c>
      <c r="R165" s="279">
        <v>1891332.9853999999</v>
      </c>
      <c r="S165" s="279">
        <v>873661.74257580773</v>
      </c>
      <c r="T165" s="280">
        <v>7456505.2517761588</v>
      </c>
      <c r="U165" s="280">
        <v>-1727046.3013143043</v>
      </c>
      <c r="V165" s="279">
        <v>-1548055</v>
      </c>
      <c r="W165" s="279">
        <v>-84000</v>
      </c>
      <c r="X165" s="279">
        <v>125623.14885462388</v>
      </c>
      <c r="Y165" s="354">
        <v>714737.38433926553</v>
      </c>
      <c r="Z165" s="355">
        <v>73.638716705055174</v>
      </c>
      <c r="AB165" s="366">
        <v>1445408.0411138483</v>
      </c>
      <c r="AC165" s="349">
        <v>148.919023399325</v>
      </c>
      <c r="AE165" s="374">
        <v>-144.47476133814689</v>
      </c>
      <c r="AF165" s="350">
        <v>-123.9190233993242</v>
      </c>
      <c r="AG165" s="350">
        <v>-98.919023399324203</v>
      </c>
      <c r="AH165" s="350">
        <v>-73.919023399324203</v>
      </c>
      <c r="AI165" s="350">
        <v>-48.919023399324203</v>
      </c>
      <c r="AJ165" s="408">
        <v>-2160</v>
      </c>
      <c r="AK165" s="387">
        <v>-46100</v>
      </c>
      <c r="AL165" s="287">
        <v>0</v>
      </c>
      <c r="AM165" s="287">
        <v>-2160</v>
      </c>
      <c r="AN165" s="287">
        <v>-19311</v>
      </c>
      <c r="AO165" s="287">
        <v>-26789</v>
      </c>
      <c r="AP165" s="287">
        <v>35721</v>
      </c>
      <c r="AQ165" s="287">
        <v>20523</v>
      </c>
      <c r="AR165" s="287">
        <v>15198</v>
      </c>
      <c r="AS165" s="287">
        <v>1349</v>
      </c>
      <c r="AT165" s="287">
        <v>475</v>
      </c>
      <c r="AU165" s="287">
        <v>874</v>
      </c>
      <c r="AV165" s="353">
        <f t="shared" si="34"/>
        <v>8612.7007228254206</v>
      </c>
      <c r="AW165" s="353">
        <f t="shared" si="35"/>
        <v>5833.5688059116201</v>
      </c>
      <c r="AX165" s="353">
        <f t="shared" si="36"/>
        <v>2779.1319169138005</v>
      </c>
      <c r="AY165" s="390">
        <v>1402272</v>
      </c>
      <c r="AZ165" s="390">
        <v>-1402272</v>
      </c>
      <c r="BA165" s="401">
        <f t="shared" si="37"/>
        <v>1891.3329853999999</v>
      </c>
      <c r="BB165" s="401">
        <v>-5433</v>
      </c>
      <c r="BC165" s="401">
        <v>80</v>
      </c>
      <c r="BD165" s="401">
        <v>800</v>
      </c>
      <c r="BE165" s="401">
        <v>3788</v>
      </c>
      <c r="BG165" s="426">
        <f t="shared" si="38"/>
        <v>0.7518724715658911</v>
      </c>
      <c r="BH165" s="426">
        <f t="shared" si="39"/>
        <v>2.8393109192128067E-2</v>
      </c>
      <c r="BI165" s="426">
        <f t="shared" si="40"/>
        <v>3.9809306247108336E-2</v>
      </c>
      <c r="BJ165" s="426">
        <f t="shared" si="41"/>
        <v>0.18169316851474701</v>
      </c>
      <c r="BK165" s="426">
        <f t="shared" si="42"/>
        <v>-1.7680555198744542E-3</v>
      </c>
      <c r="BL165" s="425">
        <f t="shared" si="43"/>
        <v>47509820.283225417</v>
      </c>
      <c r="BN165" s="423">
        <f t="shared" si="44"/>
        <v>0.73569295927811462</v>
      </c>
      <c r="BO165" s="423">
        <f t="shared" si="45"/>
        <v>4.2291134398551297E-2</v>
      </c>
      <c r="BP165" s="423">
        <f t="shared" si="46"/>
        <v>9.1553302130571668E-2</v>
      </c>
      <c r="BQ165" s="423">
        <f t="shared" si="47"/>
        <v>0.20240821799321435</v>
      </c>
      <c r="BR165" s="423">
        <f t="shared" si="48"/>
        <v>-4.0661678500475964E-3</v>
      </c>
      <c r="BS165" s="423">
        <f t="shared" si="49"/>
        <v>-6.7879445950404294E-2</v>
      </c>
      <c r="BT165" s="425">
        <f t="shared" si="50"/>
        <v>20658271.644889608</v>
      </c>
    </row>
    <row r="166" spans="1:72" x14ac:dyDescent="0.2">
      <c r="A166" s="309">
        <v>483</v>
      </c>
      <c r="B166" s="278" t="s">
        <v>104</v>
      </c>
      <c r="C166" s="278">
        <v>17</v>
      </c>
      <c r="D166" s="279">
        <v>1134</v>
      </c>
      <c r="E166" s="364">
        <v>6847000</v>
      </c>
      <c r="F166" s="279">
        <v>2321132</v>
      </c>
      <c r="G166" s="278">
        <v>114678.61000000002</v>
      </c>
      <c r="H166" s="279">
        <v>205464.43120000002</v>
      </c>
      <c r="I166" s="279">
        <v>4471254.8210565578</v>
      </c>
      <c r="J166" s="279">
        <v>-168722</v>
      </c>
      <c r="K166" s="279">
        <v>131000</v>
      </c>
      <c r="L166" s="280">
        <v>-2279.3399999999997</v>
      </c>
      <c r="M166" s="369">
        <v>230087.20225655768</v>
      </c>
      <c r="N166" s="370">
        <v>202.89876742200855</v>
      </c>
      <c r="P166" s="365">
        <v>2734963.631984436</v>
      </c>
      <c r="Q166" s="283">
        <v>1117734</v>
      </c>
      <c r="R166" s="279">
        <v>205464.43120000002</v>
      </c>
      <c r="S166" s="279">
        <v>74272.731921555707</v>
      </c>
      <c r="T166" s="280">
        <v>1961623.4003079114</v>
      </c>
      <c r="U166" s="280">
        <v>-117295.19823170529</v>
      </c>
      <c r="V166" s="279">
        <v>-168722</v>
      </c>
      <c r="W166" s="279">
        <v>131000</v>
      </c>
      <c r="X166" s="279">
        <v>12880.056024965481</v>
      </c>
      <c r="Y166" s="354">
        <v>481993.78923829133</v>
      </c>
      <c r="Z166" s="355">
        <v>425.0386148485814</v>
      </c>
      <c r="AB166" s="366">
        <v>251906.58698173365</v>
      </c>
      <c r="AC166" s="349">
        <v>222.13984742657289</v>
      </c>
      <c r="AE166" s="374">
        <v>-217.69558536539552</v>
      </c>
      <c r="AF166" s="350">
        <v>-197.13984742657286</v>
      </c>
      <c r="AG166" s="350">
        <v>-172.13984742657286</v>
      </c>
      <c r="AH166" s="350">
        <v>-147.13984742657286</v>
      </c>
      <c r="AI166" s="350">
        <v>-122.13984742657286</v>
      </c>
      <c r="AJ166" s="408">
        <v>-390</v>
      </c>
      <c r="AK166" s="387">
        <v>-6457</v>
      </c>
      <c r="AL166" s="287">
        <v>0</v>
      </c>
      <c r="AM166" s="287">
        <v>-390</v>
      </c>
      <c r="AN166" s="287">
        <v>-2345</v>
      </c>
      <c r="AO166" s="287">
        <v>-4112</v>
      </c>
      <c r="AP166" s="287">
        <v>2321</v>
      </c>
      <c r="AQ166" s="287">
        <v>1203</v>
      </c>
      <c r="AR166" s="287">
        <v>1118</v>
      </c>
      <c r="AS166" s="287">
        <v>115</v>
      </c>
      <c r="AT166" s="287">
        <v>41</v>
      </c>
      <c r="AU166" s="287">
        <v>74</v>
      </c>
      <c r="AV166" s="353">
        <f t="shared" si="34"/>
        <v>4300.2534810565585</v>
      </c>
      <c r="AW166" s="353">
        <f t="shared" si="35"/>
        <v>2871.5140727847106</v>
      </c>
      <c r="AX166" s="353">
        <f t="shared" si="36"/>
        <v>1428.7394082718479</v>
      </c>
      <c r="AY166" s="390">
        <v>246867</v>
      </c>
      <c r="AZ166" s="390">
        <v>-246867</v>
      </c>
      <c r="BA166" s="401">
        <f t="shared" si="37"/>
        <v>205.46443120000004</v>
      </c>
      <c r="BB166" s="401">
        <v>-1172</v>
      </c>
      <c r="BC166" s="401">
        <v>26</v>
      </c>
      <c r="BD166" s="401">
        <v>0</v>
      </c>
      <c r="BE166" s="401">
        <v>-491</v>
      </c>
      <c r="BG166" s="426">
        <f t="shared" si="38"/>
        <v>0.32808410421758921</v>
      </c>
      <c r="BH166" s="426">
        <f t="shared" si="39"/>
        <v>1.6209431016748842E-2</v>
      </c>
      <c r="BI166" s="426">
        <f t="shared" si="40"/>
        <v>2.9041697696998058E-2</v>
      </c>
      <c r="BJ166" s="426">
        <f t="shared" si="41"/>
        <v>0.60814836315346044</v>
      </c>
      <c r="BK166" s="426">
        <f t="shared" si="42"/>
        <v>1.8516403915203525E-2</v>
      </c>
      <c r="BL166" s="425">
        <f t="shared" si="43"/>
        <v>7074807.8622565577</v>
      </c>
      <c r="BN166" s="423">
        <f t="shared" si="44"/>
        <v>0.3779690262209961</v>
      </c>
      <c r="BO166" s="423">
        <f t="shared" si="45"/>
        <v>2.5115807660108309E-2</v>
      </c>
      <c r="BP166" s="423">
        <f t="shared" si="46"/>
        <v>6.9479134555909414E-2</v>
      </c>
      <c r="BQ166" s="423">
        <f t="shared" si="47"/>
        <v>0.56661714193950008</v>
      </c>
      <c r="BR166" s="423">
        <f t="shared" si="48"/>
        <v>4.4298502537232012E-2</v>
      </c>
      <c r="BS166" s="423">
        <f t="shared" si="49"/>
        <v>-8.3479612913745865E-2</v>
      </c>
      <c r="BT166" s="425">
        <f t="shared" si="50"/>
        <v>2957210.5713934032</v>
      </c>
    </row>
    <row r="167" spans="1:72" x14ac:dyDescent="0.2">
      <c r="A167" s="309">
        <v>489</v>
      </c>
      <c r="B167" s="278" t="s">
        <v>105</v>
      </c>
      <c r="C167" s="278">
        <v>8</v>
      </c>
      <c r="D167" s="279">
        <v>2085</v>
      </c>
      <c r="E167" s="364">
        <v>12831000</v>
      </c>
      <c r="F167" s="279">
        <v>4762463</v>
      </c>
      <c r="G167" s="278">
        <v>686692.625</v>
      </c>
      <c r="H167" s="279">
        <v>491286.39500000008</v>
      </c>
      <c r="I167" s="279">
        <v>8234107.7396935383</v>
      </c>
      <c r="J167" s="279">
        <v>-396875</v>
      </c>
      <c r="K167" s="279">
        <v>-77000</v>
      </c>
      <c r="L167" s="280">
        <v>-65851.42890943159</v>
      </c>
      <c r="M167" s="369">
        <v>935526.18860297033</v>
      </c>
      <c r="N167" s="370">
        <v>448.69361563691621</v>
      </c>
      <c r="P167" s="365">
        <v>4973077.5460317461</v>
      </c>
      <c r="Q167" s="283">
        <v>1987232</v>
      </c>
      <c r="R167" s="279">
        <v>491286.39500000008</v>
      </c>
      <c r="S167" s="279">
        <v>444743.2459212261</v>
      </c>
      <c r="T167" s="280">
        <v>1458011.3495683162</v>
      </c>
      <c r="U167" s="280">
        <v>1226756.5541191145</v>
      </c>
      <c r="V167" s="279">
        <v>-396875</v>
      </c>
      <c r="W167" s="279">
        <v>-77000</v>
      </c>
      <c r="X167" s="279">
        <v>24809.910063714004</v>
      </c>
      <c r="Y167" s="354">
        <v>185886.90864062496</v>
      </c>
      <c r="Z167" s="355">
        <v>89.154392633393257</v>
      </c>
      <c r="AB167" s="366">
        <v>-749639.27996234538</v>
      </c>
      <c r="AC167" s="349">
        <v>-359.53922300352298</v>
      </c>
      <c r="AE167" s="374">
        <v>363.98348506469938</v>
      </c>
      <c r="AF167" s="350">
        <v>334.53922300352212</v>
      </c>
      <c r="AG167" s="350">
        <v>309.53922300352212</v>
      </c>
      <c r="AH167" s="350">
        <v>284.53922300352212</v>
      </c>
      <c r="AI167" s="350">
        <v>259.53922300352212</v>
      </c>
      <c r="AJ167" s="408">
        <v>-816</v>
      </c>
      <c r="AK167" s="387">
        <v>-12015</v>
      </c>
      <c r="AL167" s="287">
        <v>-4</v>
      </c>
      <c r="AM167" s="287">
        <v>-812</v>
      </c>
      <c r="AN167" s="287">
        <v>-4161</v>
      </c>
      <c r="AO167" s="287">
        <v>-7854</v>
      </c>
      <c r="AP167" s="287">
        <v>4762</v>
      </c>
      <c r="AQ167" s="287">
        <v>2775</v>
      </c>
      <c r="AR167" s="287">
        <v>1987</v>
      </c>
      <c r="AS167" s="287">
        <v>687</v>
      </c>
      <c r="AT167" s="287">
        <v>242</v>
      </c>
      <c r="AU167" s="287">
        <v>445</v>
      </c>
      <c r="AV167" s="353">
        <f t="shared" si="34"/>
        <v>7771.381310784107</v>
      </c>
      <c r="AW167" s="353">
        <f t="shared" si="35"/>
        <v>4724.582840736779</v>
      </c>
      <c r="AX167" s="353">
        <f t="shared" si="36"/>
        <v>3046.7984700473285</v>
      </c>
      <c r="AY167" s="390">
        <v>758906</v>
      </c>
      <c r="AZ167" s="390">
        <v>758906</v>
      </c>
      <c r="BA167" s="401">
        <f t="shared" si="37"/>
        <v>491.28639500000008</v>
      </c>
      <c r="BB167" s="401">
        <v>-2050</v>
      </c>
      <c r="BC167" s="401">
        <v>475</v>
      </c>
      <c r="BD167" s="401">
        <v>138</v>
      </c>
      <c r="BE167" s="401">
        <v>163</v>
      </c>
      <c r="BG167" s="426">
        <f t="shared" si="38"/>
        <v>0.34760791592621737</v>
      </c>
      <c r="BH167" s="426">
        <f t="shared" si="39"/>
        <v>5.0121080679924129E-2</v>
      </c>
      <c r="BI167" s="426">
        <f t="shared" si="40"/>
        <v>3.5858554678294498E-2</v>
      </c>
      <c r="BJ167" s="426">
        <f t="shared" si="41"/>
        <v>0.57203260986459936</v>
      </c>
      <c r="BK167" s="426">
        <f t="shared" si="42"/>
        <v>-5.6201611490354336E-3</v>
      </c>
      <c r="BL167" s="425">
        <f t="shared" si="43"/>
        <v>13700674.759693539</v>
      </c>
      <c r="BN167" s="423">
        <f t="shared" si="44"/>
        <v>0.33721563374200642</v>
      </c>
      <c r="BO167" s="423">
        <f t="shared" si="45"/>
        <v>7.546898174234476E-2</v>
      </c>
      <c r="BP167" s="423">
        <f t="shared" si="46"/>
        <v>8.3366941071173734E-2</v>
      </c>
      <c r="BQ167" s="423">
        <f t="shared" si="47"/>
        <v>0.38823512073617783</v>
      </c>
      <c r="BR167" s="423">
        <f t="shared" si="48"/>
        <v>-1.306621662600768E-2</v>
      </c>
      <c r="BS167" s="423">
        <f t="shared" si="49"/>
        <v>0.12877953933430489</v>
      </c>
      <c r="BT167" s="425">
        <f t="shared" si="50"/>
        <v>5893060.1109685553</v>
      </c>
    </row>
    <row r="168" spans="1:72" x14ac:dyDescent="0.2">
      <c r="A168" s="309">
        <v>494</v>
      </c>
      <c r="B168" s="278" t="s">
        <v>106</v>
      </c>
      <c r="C168" s="278">
        <v>17</v>
      </c>
      <c r="D168" s="279">
        <v>9063</v>
      </c>
      <c r="E168" s="364">
        <v>53653000</v>
      </c>
      <c r="F168" s="279">
        <v>24319744</v>
      </c>
      <c r="G168" s="278">
        <v>931338.27</v>
      </c>
      <c r="H168" s="279">
        <v>3640302.9146000003</v>
      </c>
      <c r="I168" s="279">
        <v>25507059.47806862</v>
      </c>
      <c r="J168" s="279">
        <v>-320436</v>
      </c>
      <c r="K168" s="279">
        <v>-367000</v>
      </c>
      <c r="L168" s="280">
        <v>-18216.629999999997</v>
      </c>
      <c r="M168" s="369">
        <v>76225.292668615584</v>
      </c>
      <c r="N168" s="370">
        <v>8.4106027439717082</v>
      </c>
      <c r="P168" s="365">
        <v>23066518.293659359</v>
      </c>
      <c r="Q168" s="283">
        <v>10365093</v>
      </c>
      <c r="R168" s="279">
        <v>3640302.9146000003</v>
      </c>
      <c r="S168" s="279">
        <v>603190.40888266312</v>
      </c>
      <c r="T168" s="280">
        <v>12839082.012812806</v>
      </c>
      <c r="U168" s="280">
        <v>-1674880.0632677311</v>
      </c>
      <c r="V168" s="279">
        <v>-320436</v>
      </c>
      <c r="W168" s="279">
        <v>-367000</v>
      </c>
      <c r="X168" s="279">
        <v>106931.4936217596</v>
      </c>
      <c r="Y168" s="354">
        <v>2125765.4729901403</v>
      </c>
      <c r="Z168" s="355">
        <v>234.55428367981247</v>
      </c>
      <c r="AB168" s="366">
        <v>2049540.1803215249</v>
      </c>
      <c r="AC168" s="349">
        <v>226.14368093584076</v>
      </c>
      <c r="AE168" s="374">
        <v>-221.69941887466342</v>
      </c>
      <c r="AF168" s="350">
        <v>-201.14368093584076</v>
      </c>
      <c r="AG168" s="350">
        <v>-176.14368093584076</v>
      </c>
      <c r="AH168" s="350">
        <v>-151.14368093584076</v>
      </c>
      <c r="AI168" s="350">
        <v>-126.14368093584076</v>
      </c>
      <c r="AJ168" s="408">
        <v>-3051</v>
      </c>
      <c r="AK168" s="387">
        <v>-50602</v>
      </c>
      <c r="AL168" s="287">
        <v>-105</v>
      </c>
      <c r="AM168" s="287">
        <v>-2946</v>
      </c>
      <c r="AN168" s="287">
        <v>-20121</v>
      </c>
      <c r="AO168" s="287">
        <v>-30481</v>
      </c>
      <c r="AP168" s="287">
        <v>24320</v>
      </c>
      <c r="AQ168" s="287">
        <v>13955</v>
      </c>
      <c r="AR168" s="287">
        <v>10365</v>
      </c>
      <c r="AS168" s="287">
        <v>931</v>
      </c>
      <c r="AT168" s="287">
        <v>328</v>
      </c>
      <c r="AU168" s="287">
        <v>603</v>
      </c>
      <c r="AV168" s="353">
        <f t="shared" si="34"/>
        <v>25168.406848068622</v>
      </c>
      <c r="AW168" s="353">
        <f t="shared" si="35"/>
        <v>16333.902731784621</v>
      </c>
      <c r="AX168" s="353">
        <f t="shared" si="36"/>
        <v>8834.5041162840007</v>
      </c>
      <c r="AY168" s="390">
        <v>2009262</v>
      </c>
      <c r="AZ168" s="390">
        <v>-2009262</v>
      </c>
      <c r="BA168" s="401">
        <f t="shared" si="37"/>
        <v>3640.3029146000003</v>
      </c>
      <c r="BB168" s="401">
        <v>-5702</v>
      </c>
      <c r="BC168" s="401">
        <v>0</v>
      </c>
      <c r="BD168" s="401">
        <v>115</v>
      </c>
      <c r="BE168" s="401">
        <v>-2529</v>
      </c>
      <c r="BG168" s="426">
        <f t="shared" si="38"/>
        <v>0.45278881565490381</v>
      </c>
      <c r="BH168" s="426">
        <f t="shared" si="39"/>
        <v>1.7339802271248702E-2</v>
      </c>
      <c r="BI168" s="426">
        <f t="shared" si="40"/>
        <v>6.7775731739891196E-2</v>
      </c>
      <c r="BJ168" s="426">
        <f t="shared" si="41"/>
        <v>0.46892851400823476</v>
      </c>
      <c r="BK168" s="426">
        <f t="shared" si="42"/>
        <v>-6.8328636742783838E-3</v>
      </c>
      <c r="BL168" s="425">
        <f t="shared" si="43"/>
        <v>53711008.662668616</v>
      </c>
      <c r="BN168" s="423">
        <f t="shared" si="44"/>
        <v>0.44917023648589954</v>
      </c>
      <c r="BO168" s="423">
        <f t="shared" si="45"/>
        <v>2.6139194178368901E-2</v>
      </c>
      <c r="BP168" s="423">
        <f t="shared" si="46"/>
        <v>0.15775215147912242</v>
      </c>
      <c r="BQ168" s="423">
        <f t="shared" si="47"/>
        <v>0.4699134794019606</v>
      </c>
      <c r="BR168" s="423">
        <f t="shared" si="48"/>
        <v>-1.5903907161308167E-2</v>
      </c>
      <c r="BS168" s="423">
        <f t="shared" si="49"/>
        <v>-8.7071154384043531E-2</v>
      </c>
      <c r="BT168" s="425">
        <f t="shared" si="50"/>
        <v>23076090.439766668</v>
      </c>
    </row>
    <row r="169" spans="1:72" x14ac:dyDescent="0.2">
      <c r="A169" s="309">
        <v>495</v>
      </c>
      <c r="B169" s="278" t="s">
        <v>107</v>
      </c>
      <c r="C169" s="278">
        <v>13</v>
      </c>
      <c r="D169" s="279">
        <v>1710</v>
      </c>
      <c r="E169" s="364">
        <v>11216000</v>
      </c>
      <c r="F169" s="279">
        <v>4292479</v>
      </c>
      <c r="G169" s="278">
        <v>890880.94499999995</v>
      </c>
      <c r="H169" s="279">
        <v>405825.87850000005</v>
      </c>
      <c r="I169" s="279">
        <v>6301695.6789265722</v>
      </c>
      <c r="J169" s="279">
        <v>-416018</v>
      </c>
      <c r="K169" s="279">
        <v>10000</v>
      </c>
      <c r="L169" s="280">
        <v>-3437.0999999999995</v>
      </c>
      <c r="M169" s="369">
        <v>272300.60242657212</v>
      </c>
      <c r="N169" s="370">
        <v>159.24011837811236</v>
      </c>
      <c r="P169" s="365">
        <v>4163572.4389097746</v>
      </c>
      <c r="Q169" s="283">
        <v>2016094</v>
      </c>
      <c r="R169" s="279">
        <v>405825.87850000005</v>
      </c>
      <c r="S169" s="279">
        <v>576987.82364040869</v>
      </c>
      <c r="T169" s="280">
        <v>1515354.9158420775</v>
      </c>
      <c r="U169" s="280">
        <v>284501.51445292996</v>
      </c>
      <c r="V169" s="279">
        <v>-416018</v>
      </c>
      <c r="W169" s="279">
        <v>10000</v>
      </c>
      <c r="X169" s="279">
        <v>20825.830312181912</v>
      </c>
      <c r="Y169" s="354">
        <v>249999.52383782342</v>
      </c>
      <c r="Z169" s="355">
        <v>146.19855195194353</v>
      </c>
      <c r="AB169" s="366">
        <v>-22301.0785887487</v>
      </c>
      <c r="AC169" s="349">
        <v>-13.04156642616883</v>
      </c>
      <c r="AE169" s="374">
        <v>17.485828487346168</v>
      </c>
      <c r="AF169" s="350">
        <v>0</v>
      </c>
      <c r="AG169" s="350">
        <v>0</v>
      </c>
      <c r="AH169" s="350">
        <v>0</v>
      </c>
      <c r="AI169" s="350">
        <v>0</v>
      </c>
      <c r="AJ169" s="408">
        <v>-377</v>
      </c>
      <c r="AK169" s="387">
        <v>-10839</v>
      </c>
      <c r="AL169" s="287">
        <v>-2</v>
      </c>
      <c r="AM169" s="287">
        <v>-375</v>
      </c>
      <c r="AN169" s="287">
        <v>-3789</v>
      </c>
      <c r="AO169" s="287">
        <v>-7050</v>
      </c>
      <c r="AP169" s="287">
        <v>4292</v>
      </c>
      <c r="AQ169" s="287">
        <v>2276</v>
      </c>
      <c r="AR169" s="287">
        <v>2016</v>
      </c>
      <c r="AS169" s="287">
        <v>891</v>
      </c>
      <c r="AT169" s="287">
        <v>314</v>
      </c>
      <c r="AU169" s="287">
        <v>577</v>
      </c>
      <c r="AV169" s="353">
        <f t="shared" si="34"/>
        <v>5882.2405789265731</v>
      </c>
      <c r="AW169" s="353">
        <f t="shared" si="35"/>
        <v>4468.5013819182041</v>
      </c>
      <c r="AX169" s="353">
        <f t="shared" si="36"/>
        <v>1413.7391970083693</v>
      </c>
      <c r="AY169" s="390">
        <v>29901</v>
      </c>
      <c r="AZ169" s="390">
        <v>29901</v>
      </c>
      <c r="BA169" s="401">
        <f t="shared" si="37"/>
        <v>405.82587850000004</v>
      </c>
      <c r="BB169" s="401">
        <v>-400</v>
      </c>
      <c r="BC169" s="401">
        <v>0</v>
      </c>
      <c r="BD169" s="401">
        <v>0</v>
      </c>
      <c r="BE169" s="401">
        <v>-19</v>
      </c>
      <c r="BG169" s="426">
        <f t="shared" si="38"/>
        <v>0.37375098094052805</v>
      </c>
      <c r="BH169" s="426">
        <f t="shared" si="39"/>
        <v>7.7570007237070845E-2</v>
      </c>
      <c r="BI169" s="426">
        <f t="shared" si="40"/>
        <v>3.5335716302963061E-2</v>
      </c>
      <c r="BJ169" s="426">
        <f t="shared" si="41"/>
        <v>0.51247258425692399</v>
      </c>
      <c r="BK169" s="426">
        <f t="shared" si="42"/>
        <v>8.7071126251410445E-4</v>
      </c>
      <c r="BL169" s="425">
        <f t="shared" si="43"/>
        <v>11484863.502426572</v>
      </c>
      <c r="BN169" s="423">
        <f t="shared" si="44"/>
        <v>0.45585687620416526</v>
      </c>
      <c r="BO169" s="423">
        <f t="shared" si="45"/>
        <v>0.13046210488824259</v>
      </c>
      <c r="BP169" s="423">
        <f t="shared" si="46"/>
        <v>9.1760858995573194E-2</v>
      </c>
      <c r="BQ169" s="423">
        <f t="shared" si="47"/>
        <v>0.31289823986657245</v>
      </c>
      <c r="BR169" s="423">
        <f t="shared" si="48"/>
        <v>2.2610893946619815E-3</v>
      </c>
      <c r="BS169" s="423">
        <f t="shared" si="49"/>
        <v>6.7608306507844686E-3</v>
      </c>
      <c r="BT169" s="425">
        <f t="shared" si="50"/>
        <v>4422646.8991487781</v>
      </c>
    </row>
    <row r="170" spans="1:72" x14ac:dyDescent="0.2">
      <c r="A170" s="309">
        <v>498</v>
      </c>
      <c r="B170" s="278" t="s">
        <v>108</v>
      </c>
      <c r="C170" s="278">
        <v>19</v>
      </c>
      <c r="D170" s="279">
        <v>2358</v>
      </c>
      <c r="E170" s="364">
        <v>17103000</v>
      </c>
      <c r="F170" s="279">
        <v>7141948</v>
      </c>
      <c r="G170" s="278">
        <v>615808.18000000005</v>
      </c>
      <c r="H170" s="279">
        <v>977196.34350000008</v>
      </c>
      <c r="I170" s="279">
        <v>8879950.9598056823</v>
      </c>
      <c r="J170" s="279">
        <v>440198</v>
      </c>
      <c r="K170" s="279">
        <v>-109000</v>
      </c>
      <c r="L170" s="280">
        <v>-4739.58</v>
      </c>
      <c r="M170" s="369">
        <v>847841.06330568145</v>
      </c>
      <c r="N170" s="370">
        <v>359.55939919664183</v>
      </c>
      <c r="P170" s="365">
        <v>7075853.4801167268</v>
      </c>
      <c r="Q170" s="283">
        <v>3302321</v>
      </c>
      <c r="R170" s="279">
        <v>977196.34350000008</v>
      </c>
      <c r="S170" s="279">
        <v>398834.2365524061</v>
      </c>
      <c r="T170" s="280">
        <v>3632173.5453514527</v>
      </c>
      <c r="U170" s="280">
        <v>-426171.63793432672</v>
      </c>
      <c r="V170" s="279">
        <v>440198</v>
      </c>
      <c r="W170" s="279">
        <v>-109000</v>
      </c>
      <c r="X170" s="279">
        <v>28906.550124938447</v>
      </c>
      <c r="Y170" s="354">
        <v>1168604.5574777434</v>
      </c>
      <c r="Z170" s="355">
        <v>495.59141538496328</v>
      </c>
      <c r="AB170" s="366">
        <v>320763.49417206191</v>
      </c>
      <c r="AC170" s="349">
        <v>136.03201618832142</v>
      </c>
      <c r="AE170" s="374">
        <v>-131.58775412714414</v>
      </c>
      <c r="AF170" s="350">
        <v>-111.03201618832145</v>
      </c>
      <c r="AG170" s="350">
        <v>-86.03201618832145</v>
      </c>
      <c r="AH170" s="350">
        <v>-61.03201618832145</v>
      </c>
      <c r="AI170" s="350">
        <v>-36.03201618832145</v>
      </c>
      <c r="AJ170" s="408">
        <v>-630</v>
      </c>
      <c r="AK170" s="387">
        <v>-16473</v>
      </c>
      <c r="AL170" s="287">
        <v>-2</v>
      </c>
      <c r="AM170" s="287">
        <v>-628</v>
      </c>
      <c r="AN170" s="287">
        <v>-6448</v>
      </c>
      <c r="AO170" s="287">
        <v>-10025</v>
      </c>
      <c r="AP170" s="287">
        <v>7142</v>
      </c>
      <c r="AQ170" s="287">
        <v>3840</v>
      </c>
      <c r="AR170" s="287">
        <v>3302</v>
      </c>
      <c r="AS170" s="287">
        <v>616</v>
      </c>
      <c r="AT170" s="287">
        <v>217</v>
      </c>
      <c r="AU170" s="287">
        <v>399</v>
      </c>
      <c r="AV170" s="353">
        <f t="shared" si="34"/>
        <v>9315.409379805682</v>
      </c>
      <c r="AW170" s="353">
        <f t="shared" si="35"/>
        <v>5979.4933966203616</v>
      </c>
      <c r="AX170" s="353">
        <f t="shared" si="36"/>
        <v>3335.9159831853203</v>
      </c>
      <c r="AY170" s="390">
        <v>310284</v>
      </c>
      <c r="AZ170" s="390">
        <v>-310284</v>
      </c>
      <c r="BA170" s="401">
        <f t="shared" si="37"/>
        <v>977.19634350000013</v>
      </c>
      <c r="BB170" s="401">
        <v>-1582</v>
      </c>
      <c r="BC170" s="401">
        <v>4</v>
      </c>
      <c r="BD170" s="401">
        <v>0</v>
      </c>
      <c r="BE170" s="401">
        <v>-532</v>
      </c>
      <c r="BG170" s="426">
        <f t="shared" si="38"/>
        <v>0.39796654480326998</v>
      </c>
      <c r="BH170" s="426">
        <f t="shared" si="39"/>
        <v>3.4314315037884645E-2</v>
      </c>
      <c r="BI170" s="426">
        <f t="shared" si="40"/>
        <v>5.4451733955089614E-2</v>
      </c>
      <c r="BJ170" s="426">
        <f t="shared" si="41"/>
        <v>0.5193411487434042</v>
      </c>
      <c r="BK170" s="426">
        <f t="shared" si="42"/>
        <v>-6.073742539648346E-3</v>
      </c>
      <c r="BL170" s="425">
        <f t="shared" si="43"/>
        <v>17946101.483305681</v>
      </c>
      <c r="BN170" s="423">
        <f t="shared" si="44"/>
        <v>0.41773677786150515</v>
      </c>
      <c r="BO170" s="423">
        <f t="shared" si="45"/>
        <v>5.0451706202472586E-2</v>
      </c>
      <c r="BP170" s="423">
        <f t="shared" si="46"/>
        <v>0.12361331677681686</v>
      </c>
      <c r="BQ170" s="423">
        <f t="shared" si="47"/>
        <v>0.46123674856664409</v>
      </c>
      <c r="BR170" s="423">
        <f t="shared" si="48"/>
        <v>-1.3788274606527973E-2</v>
      </c>
      <c r="BS170" s="423">
        <f t="shared" si="49"/>
        <v>-3.9250274800910631E-2</v>
      </c>
      <c r="BT170" s="425">
        <f t="shared" si="50"/>
        <v>7905267.5632377258</v>
      </c>
    </row>
    <row r="171" spans="1:72" x14ac:dyDescent="0.2">
      <c r="A171" s="309">
        <v>500</v>
      </c>
      <c r="B171" s="278" t="s">
        <v>109</v>
      </c>
      <c r="C171" s="278">
        <v>13</v>
      </c>
      <c r="D171" s="279">
        <v>9791</v>
      </c>
      <c r="E171" s="364">
        <v>48174000</v>
      </c>
      <c r="F171" s="279">
        <v>32992477</v>
      </c>
      <c r="G171" s="278">
        <v>1931726.25</v>
      </c>
      <c r="H171" s="279">
        <v>2070805.1420000002</v>
      </c>
      <c r="I171" s="279">
        <v>10705620.595343824</v>
      </c>
      <c r="J171" s="279">
        <v>-725074</v>
      </c>
      <c r="K171" s="279">
        <v>92000</v>
      </c>
      <c r="L171" s="280">
        <v>-19679.909999999996</v>
      </c>
      <c r="M171" s="369">
        <v>-1086765.1026561821</v>
      </c>
      <c r="N171" s="370">
        <v>-110.99633363866634</v>
      </c>
      <c r="P171" s="365">
        <v>24761162.883978378</v>
      </c>
      <c r="Q171" s="283">
        <v>12692195</v>
      </c>
      <c r="R171" s="279">
        <v>2070805.1420000002</v>
      </c>
      <c r="S171" s="279">
        <v>1251101.5429301253</v>
      </c>
      <c r="T171" s="280">
        <v>7476761.9375807988</v>
      </c>
      <c r="U171" s="280">
        <v>514269.2944840056</v>
      </c>
      <c r="V171" s="279">
        <v>-725074</v>
      </c>
      <c r="W171" s="279">
        <v>92000</v>
      </c>
      <c r="X171" s="279">
        <v>124509.19584332843</v>
      </c>
      <c r="Y171" s="354">
        <v>-1264594.7711401209</v>
      </c>
      <c r="Z171" s="355">
        <v>-129.15889808396699</v>
      </c>
      <c r="AB171" s="366">
        <v>-177829.66848393879</v>
      </c>
      <c r="AC171" s="349">
        <v>-18.162564445300664</v>
      </c>
      <c r="AE171" s="374">
        <v>22.60682650647874</v>
      </c>
      <c r="AF171" s="350">
        <v>0</v>
      </c>
      <c r="AG171" s="350">
        <v>0</v>
      </c>
      <c r="AH171" s="350">
        <v>0</v>
      </c>
      <c r="AI171" s="350">
        <v>0</v>
      </c>
      <c r="AJ171" s="408">
        <v>-3778</v>
      </c>
      <c r="AK171" s="387">
        <v>-44396</v>
      </c>
      <c r="AL171" s="287">
        <v>-65</v>
      </c>
      <c r="AM171" s="287">
        <v>-3713</v>
      </c>
      <c r="AN171" s="287">
        <v>-21048</v>
      </c>
      <c r="AO171" s="287">
        <v>-23348</v>
      </c>
      <c r="AP171" s="287">
        <v>32992</v>
      </c>
      <c r="AQ171" s="287">
        <v>20300</v>
      </c>
      <c r="AR171" s="287">
        <v>12692</v>
      </c>
      <c r="AS171" s="287">
        <v>1932</v>
      </c>
      <c r="AT171" s="287">
        <v>681</v>
      </c>
      <c r="AU171" s="287">
        <v>1251</v>
      </c>
      <c r="AV171" s="353">
        <f t="shared" si="34"/>
        <v>9960.8666853438244</v>
      </c>
      <c r="AW171" s="353">
        <f t="shared" si="35"/>
        <v>2473.5660149540872</v>
      </c>
      <c r="AX171" s="353">
        <f t="shared" si="36"/>
        <v>7487.3006703897372</v>
      </c>
      <c r="AY171" s="390">
        <v>221343</v>
      </c>
      <c r="AZ171" s="390">
        <v>221343</v>
      </c>
      <c r="BA171" s="401">
        <f t="shared" si="37"/>
        <v>2070.8051420000002</v>
      </c>
      <c r="BB171" s="401">
        <v>-3090</v>
      </c>
      <c r="BC171" s="401">
        <v>69</v>
      </c>
      <c r="BD171" s="401">
        <v>1060</v>
      </c>
      <c r="BE171" s="401">
        <v>-141</v>
      </c>
      <c r="BG171" s="426">
        <f t="shared" si="38"/>
        <v>0.70096007767710644</v>
      </c>
      <c r="BH171" s="426">
        <f t="shared" si="39"/>
        <v>4.1041567817139205E-2</v>
      </c>
      <c r="BI171" s="426">
        <f t="shared" si="40"/>
        <v>4.3996446013752515E-2</v>
      </c>
      <c r="BJ171" s="426">
        <f t="shared" si="41"/>
        <v>0.21204727116221639</v>
      </c>
      <c r="BK171" s="426">
        <f t="shared" si="42"/>
        <v>1.9546373297856293E-3</v>
      </c>
      <c r="BL171" s="425">
        <f t="shared" si="43"/>
        <v>47067554.987343818</v>
      </c>
      <c r="BN171" s="423">
        <f t="shared" si="44"/>
        <v>0.53795526430880169</v>
      </c>
      <c r="BO171" s="423">
        <f t="shared" si="45"/>
        <v>5.3027601703576496E-2</v>
      </c>
      <c r="BP171" s="423">
        <f t="shared" si="46"/>
        <v>8.7770517825847758E-2</v>
      </c>
      <c r="BQ171" s="423">
        <f t="shared" si="47"/>
        <v>0.30796563897985108</v>
      </c>
      <c r="BR171" s="423">
        <f t="shared" si="48"/>
        <v>3.8993952044078864E-3</v>
      </c>
      <c r="BS171" s="423">
        <f t="shared" si="49"/>
        <v>9.3815819775151937E-3</v>
      </c>
      <c r="BT171" s="425">
        <f t="shared" si="50"/>
        <v>23593402.355319861</v>
      </c>
    </row>
    <row r="172" spans="1:72" x14ac:dyDescent="0.2">
      <c r="A172" s="309">
        <v>503</v>
      </c>
      <c r="B172" s="278" t="s">
        <v>110</v>
      </c>
      <c r="C172" s="278">
        <v>2</v>
      </c>
      <c r="D172" s="279">
        <v>7859</v>
      </c>
      <c r="E172" s="364">
        <v>36341000</v>
      </c>
      <c r="F172" s="279">
        <v>24372168</v>
      </c>
      <c r="G172" s="278">
        <v>937525.71499999997</v>
      </c>
      <c r="H172" s="279">
        <v>1599581.2966</v>
      </c>
      <c r="I172" s="279">
        <v>15923999.650683224</v>
      </c>
      <c r="J172" s="279">
        <v>-73574</v>
      </c>
      <c r="K172" s="279">
        <v>-48000</v>
      </c>
      <c r="L172" s="280">
        <v>-15796.589999999998</v>
      </c>
      <c r="M172" s="369">
        <v>6386497.2522832267</v>
      </c>
      <c r="N172" s="370">
        <v>812.63484569070192</v>
      </c>
      <c r="P172" s="365">
        <v>8741922.6107382551</v>
      </c>
      <c r="Q172" s="283">
        <v>10822008</v>
      </c>
      <c r="R172" s="279">
        <v>1599581.2966</v>
      </c>
      <c r="S172" s="279">
        <v>607197.76861404092</v>
      </c>
      <c r="T172" s="280">
        <v>5158608.587762367</v>
      </c>
      <c r="U172" s="280">
        <v>-1484624.1626080198</v>
      </c>
      <c r="V172" s="279">
        <v>-73574</v>
      </c>
      <c r="W172" s="279">
        <v>-48000</v>
      </c>
      <c r="X172" s="279">
        <v>96353.870896299399</v>
      </c>
      <c r="Y172" s="354">
        <v>7935628.7505264338</v>
      </c>
      <c r="Z172" s="355">
        <v>1009.750445416266</v>
      </c>
      <c r="AB172" s="366">
        <v>1549131.4982432071</v>
      </c>
      <c r="AC172" s="349">
        <v>197.11559972556395</v>
      </c>
      <c r="AE172" s="374">
        <v>-192.67133766438667</v>
      </c>
      <c r="AF172" s="350">
        <v>-172.11559972556404</v>
      </c>
      <c r="AG172" s="350">
        <v>-147.11559972556404</v>
      </c>
      <c r="AH172" s="350">
        <v>-122.11559972556404</v>
      </c>
      <c r="AI172" s="350">
        <v>-97.115599725564039</v>
      </c>
      <c r="AJ172" s="408">
        <v>-1760</v>
      </c>
      <c r="AK172" s="387">
        <v>-34581</v>
      </c>
      <c r="AL172" s="287">
        <v>0</v>
      </c>
      <c r="AM172" s="287">
        <v>-1760</v>
      </c>
      <c r="AN172" s="287">
        <v>-6982</v>
      </c>
      <c r="AO172" s="287">
        <v>-27599</v>
      </c>
      <c r="AP172" s="287">
        <v>24372</v>
      </c>
      <c r="AQ172" s="287">
        <v>13550</v>
      </c>
      <c r="AR172" s="287">
        <v>10822</v>
      </c>
      <c r="AS172" s="287">
        <v>938</v>
      </c>
      <c r="AT172" s="287">
        <v>331</v>
      </c>
      <c r="AU172" s="287">
        <v>607</v>
      </c>
      <c r="AV172" s="353">
        <f t="shared" si="34"/>
        <v>15834.629060683224</v>
      </c>
      <c r="AW172" s="353">
        <f t="shared" si="35"/>
        <v>13748.422678233292</v>
      </c>
      <c r="AX172" s="353">
        <f t="shared" si="36"/>
        <v>2086.2063824499323</v>
      </c>
      <c r="AY172" s="390">
        <v>1514204</v>
      </c>
      <c r="AZ172" s="390">
        <v>-1514204</v>
      </c>
      <c r="BA172" s="401">
        <f t="shared" si="37"/>
        <v>1599.5812966000001</v>
      </c>
      <c r="BB172" s="401">
        <v>-2222</v>
      </c>
      <c r="BC172" s="401">
        <v>50</v>
      </c>
      <c r="BD172" s="401">
        <v>0</v>
      </c>
      <c r="BE172" s="401">
        <v>-1494</v>
      </c>
      <c r="BG172" s="426">
        <f t="shared" si="38"/>
        <v>0.57062040663536395</v>
      </c>
      <c r="BH172" s="426">
        <f t="shared" si="39"/>
        <v>2.1950090969519425E-2</v>
      </c>
      <c r="BI172" s="426">
        <f t="shared" si="40"/>
        <v>3.7450658058495852E-2</v>
      </c>
      <c r="BJ172" s="426">
        <f t="shared" si="41"/>
        <v>0.37110265816879584</v>
      </c>
      <c r="BK172" s="426">
        <f t="shared" si="42"/>
        <v>-1.1238138321751872E-3</v>
      </c>
      <c r="BL172" s="425">
        <f t="shared" si="43"/>
        <v>42711700.662283227</v>
      </c>
      <c r="BN172" s="423">
        <f t="shared" si="44"/>
        <v>0.71825928892786983</v>
      </c>
      <c r="BO172" s="423">
        <f t="shared" si="45"/>
        <v>4.0299862791019027E-2</v>
      </c>
      <c r="BP172" s="423">
        <f t="shared" si="46"/>
        <v>0.10616459761240576</v>
      </c>
      <c r="BQ172" s="423">
        <f t="shared" si="47"/>
        <v>0.23896011089807462</v>
      </c>
      <c r="BR172" s="423">
        <f t="shared" si="48"/>
        <v>-3.1857716117505877E-3</v>
      </c>
      <c r="BS172" s="423">
        <f t="shared" si="49"/>
        <v>-0.10049808861761873</v>
      </c>
      <c r="BT172" s="425">
        <f t="shared" si="50"/>
        <v>15066993.447663974</v>
      </c>
    </row>
    <row r="173" spans="1:72" x14ac:dyDescent="0.2">
      <c r="A173" s="309">
        <v>505</v>
      </c>
      <c r="B173" s="278" t="s">
        <v>111</v>
      </c>
      <c r="C173" s="278">
        <v>1</v>
      </c>
      <c r="D173" s="279">
        <v>20685</v>
      </c>
      <c r="E173" s="364">
        <v>106833000</v>
      </c>
      <c r="F173" s="279">
        <v>69216549</v>
      </c>
      <c r="G173" s="278">
        <v>2361180.875</v>
      </c>
      <c r="H173" s="279">
        <v>6813895.3890000004</v>
      </c>
      <c r="I173" s="279">
        <v>31215658.376199294</v>
      </c>
      <c r="J173" s="279">
        <v>-2381333</v>
      </c>
      <c r="K173" s="279">
        <v>1456000</v>
      </c>
      <c r="L173" s="280">
        <v>-41576.85</v>
      </c>
      <c r="M173" s="369">
        <v>1890527.4901992888</v>
      </c>
      <c r="N173" s="370">
        <v>91.396059473013722</v>
      </c>
      <c r="P173" s="365">
        <v>47439828.316996872</v>
      </c>
      <c r="Q173" s="283">
        <v>29092962</v>
      </c>
      <c r="R173" s="279">
        <v>6813895.3890000004</v>
      </c>
      <c r="S173" s="279">
        <v>1529242.0630767965</v>
      </c>
      <c r="T173" s="280">
        <v>17564224.532678906</v>
      </c>
      <c r="U173" s="280">
        <v>-2710333.7774442947</v>
      </c>
      <c r="V173" s="279">
        <v>-2381333</v>
      </c>
      <c r="W173" s="279">
        <v>1456000</v>
      </c>
      <c r="X173" s="279">
        <v>258718.20307399111</v>
      </c>
      <c r="Y173" s="354">
        <v>4183547.0933885202</v>
      </c>
      <c r="Z173" s="355">
        <v>202.25028249400629</v>
      </c>
      <c r="AB173" s="366">
        <v>2293019.6031892314</v>
      </c>
      <c r="AC173" s="349">
        <v>110.85422302099258</v>
      </c>
      <c r="AE173" s="374">
        <v>-106.40996095981524</v>
      </c>
      <c r="AF173" s="350">
        <v>-85.854223020992563</v>
      </c>
      <c r="AG173" s="350">
        <v>-60.854223020992563</v>
      </c>
      <c r="AH173" s="350">
        <v>-35.854223020992563</v>
      </c>
      <c r="AI173" s="350">
        <v>-10.854223020992563</v>
      </c>
      <c r="AJ173" s="408">
        <v>-6600</v>
      </c>
      <c r="AK173" s="387">
        <v>-100233</v>
      </c>
      <c r="AL173" s="287">
        <v>-352</v>
      </c>
      <c r="AM173" s="287">
        <v>-6248</v>
      </c>
      <c r="AN173" s="287">
        <v>-41192</v>
      </c>
      <c r="AO173" s="287">
        <v>-59041</v>
      </c>
      <c r="AP173" s="287">
        <v>69217</v>
      </c>
      <c r="AQ173" s="287">
        <v>40124</v>
      </c>
      <c r="AR173" s="287">
        <v>29093</v>
      </c>
      <c r="AS173" s="287">
        <v>2361</v>
      </c>
      <c r="AT173" s="287">
        <v>832</v>
      </c>
      <c r="AU173" s="287">
        <v>1529</v>
      </c>
      <c r="AV173" s="353">
        <f t="shared" si="34"/>
        <v>28792.748526199292</v>
      </c>
      <c r="AW173" s="353">
        <f t="shared" si="35"/>
        <v>18521.28081341846</v>
      </c>
      <c r="AX173" s="353">
        <f t="shared" si="36"/>
        <v>10271.467712780834</v>
      </c>
      <c r="AY173" s="390">
        <v>2201090</v>
      </c>
      <c r="AZ173" s="390">
        <v>-2201090</v>
      </c>
      <c r="BA173" s="401">
        <f t="shared" si="37"/>
        <v>6813.8953890000003</v>
      </c>
      <c r="BB173" s="401">
        <v>-33881</v>
      </c>
      <c r="BC173" s="401">
        <v>0</v>
      </c>
      <c r="BD173" s="401">
        <v>1700</v>
      </c>
      <c r="BE173" s="401">
        <v>-25307</v>
      </c>
      <c r="BG173" s="426">
        <f t="shared" si="38"/>
        <v>0.63687253120020992</v>
      </c>
      <c r="BH173" s="426">
        <f t="shared" si="39"/>
        <v>2.1725602651510068E-2</v>
      </c>
      <c r="BI173" s="426">
        <f t="shared" si="40"/>
        <v>6.269574063459693E-2</v>
      </c>
      <c r="BJ173" s="426">
        <f t="shared" si="41"/>
        <v>0.26530923678079488</v>
      </c>
      <c r="BK173" s="426">
        <f t="shared" si="42"/>
        <v>1.3396888732888225E-2</v>
      </c>
      <c r="BL173" s="425">
        <f t="shared" si="43"/>
        <v>108681950.64019929</v>
      </c>
      <c r="BN173" s="423">
        <f t="shared" si="44"/>
        <v>0.59175856589990905</v>
      </c>
      <c r="BO173" s="423">
        <f t="shared" si="45"/>
        <v>3.1105189294927869E-2</v>
      </c>
      <c r="BP173" s="423">
        <f t="shared" si="46"/>
        <v>0.13859644004576238</v>
      </c>
      <c r="BQ173" s="423">
        <f t="shared" si="47"/>
        <v>0.25369513390700543</v>
      </c>
      <c r="BR173" s="423">
        <f t="shared" si="48"/>
        <v>2.961542629967576E-2</v>
      </c>
      <c r="BS173" s="423">
        <f t="shared" si="49"/>
        <v>-4.4770755447280257E-2</v>
      </c>
      <c r="BT173" s="425">
        <f t="shared" si="50"/>
        <v>49163567.164857619</v>
      </c>
    </row>
    <row r="174" spans="1:72" x14ac:dyDescent="0.2">
      <c r="A174" s="309">
        <v>508</v>
      </c>
      <c r="B174" s="278" t="s">
        <v>283</v>
      </c>
      <c r="C174" s="278">
        <v>6</v>
      </c>
      <c r="D174" s="279">
        <v>10604</v>
      </c>
      <c r="E174" s="364">
        <v>67144000</v>
      </c>
      <c r="F174" s="279">
        <v>36979933</v>
      </c>
      <c r="G174" s="278">
        <v>1492271.8</v>
      </c>
      <c r="H174" s="279">
        <v>3223734.5444999998</v>
      </c>
      <c r="I174" s="279">
        <v>27593965.512598652</v>
      </c>
      <c r="J174" s="279">
        <v>-841976</v>
      </c>
      <c r="K174" s="279">
        <v>83000</v>
      </c>
      <c r="L174" s="280">
        <v>-21314.039999999997</v>
      </c>
      <c r="M174" s="369">
        <v>1408242.8970986539</v>
      </c>
      <c r="N174" s="370">
        <v>132.80298916433929</v>
      </c>
      <c r="P174" s="365">
        <v>23378066.329473682</v>
      </c>
      <c r="Q174" s="283">
        <v>17301880</v>
      </c>
      <c r="R174" s="279">
        <v>3223734.5444999998</v>
      </c>
      <c r="S174" s="279">
        <v>966484.53757415956</v>
      </c>
      <c r="T174" s="280">
        <v>3592796.4990778798</v>
      </c>
      <c r="U174" s="280">
        <v>131091.45835462675</v>
      </c>
      <c r="V174" s="279">
        <v>-841976</v>
      </c>
      <c r="W174" s="279">
        <v>83000</v>
      </c>
      <c r="X174" s="279">
        <v>133511.07820530111</v>
      </c>
      <c r="Y174" s="354">
        <v>1212455.788238287</v>
      </c>
      <c r="Z174" s="355">
        <v>114.33947456038165</v>
      </c>
      <c r="AB174" s="366">
        <v>-195787.10886036698</v>
      </c>
      <c r="AC174" s="349">
        <v>-18.463514603957655</v>
      </c>
      <c r="AE174" s="374">
        <v>22.907776665133596</v>
      </c>
      <c r="AF174" s="350">
        <v>0</v>
      </c>
      <c r="AG174" s="350">
        <v>0</v>
      </c>
      <c r="AH174" s="350">
        <v>0</v>
      </c>
      <c r="AI174" s="350">
        <v>0</v>
      </c>
      <c r="AJ174" s="408">
        <v>-2475</v>
      </c>
      <c r="AK174" s="387">
        <v>-64669</v>
      </c>
      <c r="AL174" s="287">
        <v>0</v>
      </c>
      <c r="AM174" s="287">
        <v>-2475</v>
      </c>
      <c r="AN174" s="287">
        <v>-20903</v>
      </c>
      <c r="AO174" s="287">
        <v>-43766</v>
      </c>
      <c r="AP174" s="287">
        <v>36980</v>
      </c>
      <c r="AQ174" s="287">
        <v>19678</v>
      </c>
      <c r="AR174" s="287">
        <v>17302</v>
      </c>
      <c r="AS174" s="287">
        <v>1492</v>
      </c>
      <c r="AT174" s="287">
        <v>526</v>
      </c>
      <c r="AU174" s="287">
        <v>966</v>
      </c>
      <c r="AV174" s="353">
        <f t="shared" si="34"/>
        <v>26730.675472598654</v>
      </c>
      <c r="AW174" s="353">
        <f t="shared" si="35"/>
        <v>23605.849451409071</v>
      </c>
      <c r="AX174" s="353">
        <f t="shared" si="36"/>
        <v>3124.8260211895836</v>
      </c>
      <c r="AY174" s="390">
        <v>242914</v>
      </c>
      <c r="AZ174" s="390">
        <v>242914</v>
      </c>
      <c r="BA174" s="401">
        <f t="shared" si="37"/>
        <v>3223.7345445000001</v>
      </c>
      <c r="BB174" s="401">
        <v>-2305</v>
      </c>
      <c r="BC174" s="401">
        <v>96</v>
      </c>
      <c r="BD174" s="401">
        <v>1320</v>
      </c>
      <c r="BE174" s="401">
        <v>-954</v>
      </c>
      <c r="BG174" s="426">
        <f t="shared" si="38"/>
        <v>0.53960939413371889</v>
      </c>
      <c r="BH174" s="426">
        <f t="shared" si="39"/>
        <v>2.1775157945278976E-2</v>
      </c>
      <c r="BI174" s="426">
        <f t="shared" si="40"/>
        <v>4.7040578586380492E-2</v>
      </c>
      <c r="BJ174" s="426">
        <f t="shared" si="41"/>
        <v>0.39036373734817104</v>
      </c>
      <c r="BK174" s="426">
        <f t="shared" si="42"/>
        <v>1.2111319864505615E-3</v>
      </c>
      <c r="BL174" s="425">
        <f t="shared" si="43"/>
        <v>68530928.857098654</v>
      </c>
      <c r="BN174" s="423">
        <f t="shared" si="44"/>
        <v>0.70048309570435918</v>
      </c>
      <c r="BO174" s="423">
        <f t="shared" si="45"/>
        <v>3.912904729603623E-2</v>
      </c>
      <c r="BP174" s="423">
        <f t="shared" si="46"/>
        <v>0.13051596436112389</v>
      </c>
      <c r="BQ174" s="423">
        <f t="shared" si="47"/>
        <v>0.1166769512613503</v>
      </c>
      <c r="BR174" s="423">
        <f t="shared" si="48"/>
        <v>3.3603340760346165E-3</v>
      </c>
      <c r="BS174" s="423">
        <f t="shared" si="49"/>
        <v>9.8346073010957841E-3</v>
      </c>
      <c r="BT174" s="425">
        <f t="shared" si="50"/>
        <v>24699925.103263743</v>
      </c>
    </row>
    <row r="175" spans="1:72" x14ac:dyDescent="0.2">
      <c r="A175" s="309">
        <v>507</v>
      </c>
      <c r="B175" s="278" t="s">
        <v>112</v>
      </c>
      <c r="C175" s="278">
        <v>10</v>
      </c>
      <c r="D175" s="279">
        <v>6159</v>
      </c>
      <c r="E175" s="364">
        <v>38735000</v>
      </c>
      <c r="F175" s="279">
        <v>16154211</v>
      </c>
      <c r="G175" s="278">
        <v>1939117.425</v>
      </c>
      <c r="H175" s="279">
        <v>2591911.2340000002</v>
      </c>
      <c r="I175" s="279">
        <v>18938249.226014253</v>
      </c>
      <c r="J175" s="279">
        <v>-280006</v>
      </c>
      <c r="K175" s="279">
        <v>-112000</v>
      </c>
      <c r="L175" s="280">
        <v>-12379.589999999998</v>
      </c>
      <c r="M175" s="369">
        <v>508862.4750142509</v>
      </c>
      <c r="N175" s="370">
        <v>82.620957138212518</v>
      </c>
      <c r="P175" s="365">
        <v>15175249.834479243</v>
      </c>
      <c r="Q175" s="283">
        <v>6561314</v>
      </c>
      <c r="R175" s="279">
        <v>2591911.2340000002</v>
      </c>
      <c r="S175" s="279">
        <v>1255888.5102587342</v>
      </c>
      <c r="T175" s="280">
        <v>2507083.3540908038</v>
      </c>
      <c r="U175" s="280">
        <v>1735904.3621601006</v>
      </c>
      <c r="V175" s="279">
        <v>-280006</v>
      </c>
      <c r="W175" s="279">
        <v>-112000</v>
      </c>
      <c r="X175" s="279">
        <v>75838.522384231386</v>
      </c>
      <c r="Y175" s="354">
        <v>-839315.85158537142</v>
      </c>
      <c r="Z175" s="355">
        <v>-136.27469582486953</v>
      </c>
      <c r="AB175" s="366">
        <v>-1348178.3265996224</v>
      </c>
      <c r="AC175" s="349">
        <v>-218.89565296308206</v>
      </c>
      <c r="AE175" s="374">
        <v>223.33991502425937</v>
      </c>
      <c r="AF175" s="350">
        <v>193.89565296308206</v>
      </c>
      <c r="AG175" s="350">
        <v>168.89565296308206</v>
      </c>
      <c r="AH175" s="350">
        <v>143.89565296308206</v>
      </c>
      <c r="AI175" s="350">
        <v>118.89565296308206</v>
      </c>
      <c r="AJ175" s="408">
        <v>-1297</v>
      </c>
      <c r="AK175" s="387">
        <v>-37438</v>
      </c>
      <c r="AL175" s="287">
        <v>0</v>
      </c>
      <c r="AM175" s="287">
        <v>-1297</v>
      </c>
      <c r="AN175" s="287">
        <v>-13878</v>
      </c>
      <c r="AO175" s="287">
        <v>-23560</v>
      </c>
      <c r="AP175" s="287">
        <v>16154</v>
      </c>
      <c r="AQ175" s="287">
        <v>9593</v>
      </c>
      <c r="AR175" s="287">
        <v>6561</v>
      </c>
      <c r="AS175" s="287">
        <v>1939</v>
      </c>
      <c r="AT175" s="287">
        <v>683</v>
      </c>
      <c r="AU175" s="287">
        <v>1256</v>
      </c>
      <c r="AV175" s="353">
        <f t="shared" si="34"/>
        <v>18645.863636014252</v>
      </c>
      <c r="AW175" s="353">
        <f t="shared" si="35"/>
        <v>13307.331383128934</v>
      </c>
      <c r="AX175" s="353">
        <f t="shared" si="36"/>
        <v>5338.5322528853176</v>
      </c>
      <c r="AY175" s="390">
        <v>1375551</v>
      </c>
      <c r="AZ175" s="390">
        <v>1375551</v>
      </c>
      <c r="BA175" s="401">
        <f t="shared" si="37"/>
        <v>2591.9112340000001</v>
      </c>
      <c r="BB175" s="401">
        <v>-1470</v>
      </c>
      <c r="BC175" s="401">
        <v>30</v>
      </c>
      <c r="BD175" s="401">
        <v>10</v>
      </c>
      <c r="BE175" s="401">
        <v>-85</v>
      </c>
      <c r="BG175" s="426">
        <f t="shared" si="38"/>
        <v>0.41176651536082082</v>
      </c>
      <c r="BH175" s="426">
        <f t="shared" si="39"/>
        <v>4.9427584235943053E-2</v>
      </c>
      <c r="BI175" s="426">
        <f t="shared" si="40"/>
        <v>6.6067123733170571E-2</v>
      </c>
      <c r="BJ175" s="426">
        <f t="shared" si="41"/>
        <v>0.47559362669774025</v>
      </c>
      <c r="BK175" s="426">
        <f t="shared" si="42"/>
        <v>-2.8548500276746377E-3</v>
      </c>
      <c r="BL175" s="425">
        <f t="shared" si="43"/>
        <v>39231482.885014251</v>
      </c>
      <c r="BN175" s="423">
        <f t="shared" si="44"/>
        <v>0.41963817812186749</v>
      </c>
      <c r="BO175" s="423">
        <f t="shared" si="45"/>
        <v>8.0322137664675317E-2</v>
      </c>
      <c r="BP175" s="423">
        <f t="shared" si="46"/>
        <v>0.16576937303859582</v>
      </c>
      <c r="BQ175" s="423">
        <f t="shared" si="47"/>
        <v>0.25345813770500858</v>
      </c>
      <c r="BR175" s="423">
        <f t="shared" si="48"/>
        <v>-7.1631194528487974E-3</v>
      </c>
      <c r="BS175" s="423">
        <f t="shared" si="49"/>
        <v>8.7975292922701523E-2</v>
      </c>
      <c r="BT175" s="425">
        <f t="shared" si="50"/>
        <v>15635645.997144053</v>
      </c>
    </row>
    <row r="176" spans="1:72" x14ac:dyDescent="0.2">
      <c r="A176" s="309">
        <v>504</v>
      </c>
      <c r="B176" s="278" t="s">
        <v>282</v>
      </c>
      <c r="C176" s="278">
        <v>1</v>
      </c>
      <c r="D176" s="279">
        <v>1969</v>
      </c>
      <c r="E176" s="364">
        <v>10868000</v>
      </c>
      <c r="F176" s="279">
        <v>5497397</v>
      </c>
      <c r="G176" s="278">
        <v>380008.54000000004</v>
      </c>
      <c r="H176" s="279">
        <v>404067.80800000002</v>
      </c>
      <c r="I176" s="279">
        <v>4695223.4291888531</v>
      </c>
      <c r="J176" s="279">
        <v>-439099</v>
      </c>
      <c r="K176" s="279">
        <v>255000</v>
      </c>
      <c r="L176" s="280">
        <v>-3957.6899999999996</v>
      </c>
      <c r="M176" s="369">
        <v>-71444.532811147568</v>
      </c>
      <c r="N176" s="370">
        <v>-36.284678928972866</v>
      </c>
      <c r="P176" s="365">
        <v>4134167.3577430975</v>
      </c>
      <c r="Q176" s="283">
        <v>2537585</v>
      </c>
      <c r="R176" s="279">
        <v>404067.80800000002</v>
      </c>
      <c r="S176" s="279">
        <v>246116.27590639424</v>
      </c>
      <c r="T176" s="280">
        <v>1585567.1577550664</v>
      </c>
      <c r="U176" s="280">
        <v>-360546.79202367534</v>
      </c>
      <c r="V176" s="279">
        <v>-439099</v>
      </c>
      <c r="W176" s="279">
        <v>255000</v>
      </c>
      <c r="X176" s="279">
        <v>23631.686633578407</v>
      </c>
      <c r="Y176" s="354">
        <v>118154.77852826659</v>
      </c>
      <c r="Z176" s="355">
        <v>60.007505600947987</v>
      </c>
      <c r="AB176" s="366">
        <v>189599.31133941415</v>
      </c>
      <c r="AC176" s="349">
        <v>96.292184529920846</v>
      </c>
      <c r="AE176" s="374">
        <v>-91.847922468742567</v>
      </c>
      <c r="AF176" s="350">
        <v>-71.292184529919894</v>
      </c>
      <c r="AG176" s="350">
        <v>-46.292184529919894</v>
      </c>
      <c r="AH176" s="350">
        <v>-21.292184529919894</v>
      </c>
      <c r="AI176" s="350">
        <v>0</v>
      </c>
      <c r="AJ176" s="408">
        <v>-515</v>
      </c>
      <c r="AK176" s="387">
        <v>-10353</v>
      </c>
      <c r="AL176" s="287">
        <v>0</v>
      </c>
      <c r="AM176" s="287">
        <v>-515</v>
      </c>
      <c r="AN176" s="287">
        <v>-3619</v>
      </c>
      <c r="AO176" s="287">
        <v>-6734</v>
      </c>
      <c r="AP176" s="287">
        <v>5497</v>
      </c>
      <c r="AQ176" s="287">
        <v>2959</v>
      </c>
      <c r="AR176" s="287">
        <v>2538</v>
      </c>
      <c r="AS176" s="287">
        <v>380</v>
      </c>
      <c r="AT176" s="287">
        <v>134</v>
      </c>
      <c r="AU176" s="287">
        <v>246</v>
      </c>
      <c r="AV176" s="353">
        <f t="shared" si="34"/>
        <v>4252.1667391888532</v>
      </c>
      <c r="AW176" s="353">
        <f t="shared" si="35"/>
        <v>3647.0939327984161</v>
      </c>
      <c r="AX176" s="353">
        <f t="shared" si="36"/>
        <v>605.07280639043711</v>
      </c>
      <c r="AY176" s="390">
        <v>180849</v>
      </c>
      <c r="AZ176" s="390">
        <v>-180849</v>
      </c>
      <c r="BA176" s="401">
        <f t="shared" si="37"/>
        <v>404.06780800000001</v>
      </c>
      <c r="BB176" s="401">
        <v>-460</v>
      </c>
      <c r="BC176" s="401">
        <v>0</v>
      </c>
      <c r="BD176" s="401">
        <v>0</v>
      </c>
      <c r="BE176" s="401">
        <v>-15</v>
      </c>
      <c r="BG176" s="426">
        <f t="shared" si="38"/>
        <v>0.50936735654313492</v>
      </c>
      <c r="BH176" s="426">
        <f t="shared" si="39"/>
        <v>3.5210108617517742E-2</v>
      </c>
      <c r="BI176" s="426">
        <f t="shared" si="40"/>
        <v>3.7439346517113281E-2</v>
      </c>
      <c r="BJ176" s="426">
        <f t="shared" si="41"/>
        <v>0.39435588326886073</v>
      </c>
      <c r="BK176" s="426">
        <f t="shared" si="42"/>
        <v>2.3627305053373335E-2</v>
      </c>
      <c r="BL176" s="425">
        <f t="shared" si="43"/>
        <v>10792597.777188852</v>
      </c>
      <c r="BN176" s="423">
        <f t="shared" si="44"/>
        <v>0.6268982506660894</v>
      </c>
      <c r="BO176" s="423">
        <f t="shared" si="45"/>
        <v>6.0801850115827116E-2</v>
      </c>
      <c r="BP176" s="423">
        <f t="shared" si="46"/>
        <v>9.9823021489203828E-2</v>
      </c>
      <c r="BQ176" s="423">
        <f t="shared" si="47"/>
        <v>0.19415811858050586</v>
      </c>
      <c r="BR176" s="423">
        <f t="shared" si="48"/>
        <v>6.2996531710209816E-2</v>
      </c>
      <c r="BS176" s="423">
        <f t="shared" si="49"/>
        <v>-4.4677772561835999E-2</v>
      </c>
      <c r="BT176" s="425">
        <f t="shared" si="50"/>
        <v>4047841.8902968313</v>
      </c>
    </row>
    <row r="177" spans="1:72" x14ac:dyDescent="0.2">
      <c r="A177" s="309">
        <v>531</v>
      </c>
      <c r="B177" s="278" t="s">
        <v>113</v>
      </c>
      <c r="C177" s="278">
        <v>4</v>
      </c>
      <c r="D177" s="279">
        <v>5651</v>
      </c>
      <c r="E177" s="364">
        <v>29948000</v>
      </c>
      <c r="F177" s="279">
        <v>17813141</v>
      </c>
      <c r="G177" s="278">
        <v>552131.08000000007</v>
      </c>
      <c r="H177" s="279">
        <v>1301475.0261999997</v>
      </c>
      <c r="I177" s="279">
        <v>11226060.989988947</v>
      </c>
      <c r="J177" s="279">
        <v>-531352</v>
      </c>
      <c r="K177" s="279">
        <v>11000</v>
      </c>
      <c r="L177" s="280">
        <v>-11358.509999999998</v>
      </c>
      <c r="M177" s="369">
        <v>435814.60618894757</v>
      </c>
      <c r="N177" s="370">
        <v>77.12167867438464</v>
      </c>
      <c r="P177" s="365">
        <v>11572917.066976745</v>
      </c>
      <c r="Q177" s="283">
        <v>7965628</v>
      </c>
      <c r="R177" s="279">
        <v>1301475.0261999997</v>
      </c>
      <c r="S177" s="279">
        <v>357593.13520105474</v>
      </c>
      <c r="T177" s="280">
        <v>3701329.0231371922</v>
      </c>
      <c r="U177" s="280">
        <v>-364999.66284441086</v>
      </c>
      <c r="V177" s="279">
        <v>-531352</v>
      </c>
      <c r="W177" s="279">
        <v>11000</v>
      </c>
      <c r="X177" s="279">
        <v>68827.775339836764</v>
      </c>
      <c r="Y177" s="354">
        <v>936584.23005693033</v>
      </c>
      <c r="Z177" s="355">
        <v>165.73778624259961</v>
      </c>
      <c r="AB177" s="366">
        <v>500769.62386798277</v>
      </c>
      <c r="AC177" s="349">
        <v>88.616107568214971</v>
      </c>
      <c r="AE177" s="374">
        <v>-84.171845507038313</v>
      </c>
      <c r="AF177" s="350">
        <v>-63.616107568215639</v>
      </c>
      <c r="AG177" s="350">
        <v>-38.616107568215639</v>
      </c>
      <c r="AH177" s="350">
        <v>-13.616107568215639</v>
      </c>
      <c r="AI177" s="350">
        <v>0</v>
      </c>
      <c r="AJ177" s="408">
        <v>-1396</v>
      </c>
      <c r="AK177" s="387">
        <v>-28552</v>
      </c>
      <c r="AL177" s="287">
        <v>-122</v>
      </c>
      <c r="AM177" s="287">
        <v>-1274</v>
      </c>
      <c r="AN177" s="287">
        <v>-10299</v>
      </c>
      <c r="AO177" s="287">
        <v>-18253</v>
      </c>
      <c r="AP177" s="287">
        <v>17813</v>
      </c>
      <c r="AQ177" s="287">
        <v>9847</v>
      </c>
      <c r="AR177" s="287">
        <v>7966</v>
      </c>
      <c r="AS177" s="287">
        <v>552</v>
      </c>
      <c r="AT177" s="287">
        <v>194</v>
      </c>
      <c r="AU177" s="287">
        <v>358</v>
      </c>
      <c r="AV177" s="353">
        <f t="shared" si="34"/>
        <v>10683.350479988947</v>
      </c>
      <c r="AW177" s="353">
        <f t="shared" si="35"/>
        <v>8354.02821865644</v>
      </c>
      <c r="AX177" s="353">
        <f t="shared" si="36"/>
        <v>2329.3222613325079</v>
      </c>
      <c r="AY177" s="390">
        <v>475655</v>
      </c>
      <c r="AZ177" s="390">
        <v>-475655</v>
      </c>
      <c r="BA177" s="401">
        <f t="shared" si="37"/>
        <v>1301.4750261999998</v>
      </c>
      <c r="BB177" s="401">
        <v>-3403</v>
      </c>
      <c r="BC177" s="401">
        <v>250</v>
      </c>
      <c r="BD177" s="401">
        <v>0</v>
      </c>
      <c r="BE177" s="401">
        <v>-2080</v>
      </c>
      <c r="BG177" s="426">
        <f t="shared" si="38"/>
        <v>0.5864899744553469</v>
      </c>
      <c r="BH177" s="426">
        <f t="shared" si="39"/>
        <v>1.8178677359888585E-2</v>
      </c>
      <c r="BI177" s="426">
        <f t="shared" si="40"/>
        <v>4.2850503168998084E-2</v>
      </c>
      <c r="BJ177" s="426">
        <f t="shared" si="41"/>
        <v>0.35211867476634168</v>
      </c>
      <c r="BK177" s="426">
        <f t="shared" si="42"/>
        <v>3.621702494247823E-4</v>
      </c>
      <c r="BL177" s="425">
        <f t="shared" si="43"/>
        <v>30372456.096188948</v>
      </c>
      <c r="BN177" s="423">
        <f t="shared" si="44"/>
        <v>0.66574306186318</v>
      </c>
      <c r="BO177" s="423">
        <f t="shared" si="45"/>
        <v>2.9886551158302178E-2</v>
      </c>
      <c r="BP177" s="423">
        <f t="shared" si="46"/>
        <v>0.10877334076871907</v>
      </c>
      <c r="BQ177" s="423">
        <f t="shared" si="47"/>
        <v>0.23443151202870838</v>
      </c>
      <c r="BR177" s="423">
        <f t="shared" si="48"/>
        <v>9.1934668308575032E-4</v>
      </c>
      <c r="BS177" s="423">
        <f t="shared" si="49"/>
        <v>-3.9753812501995618E-2</v>
      </c>
      <c r="BT177" s="425">
        <f t="shared" si="50"/>
        <v>11965018.422733566</v>
      </c>
    </row>
    <row r="178" spans="1:72" x14ac:dyDescent="0.2">
      <c r="A178" s="309">
        <v>535</v>
      </c>
      <c r="B178" s="278" t="s">
        <v>114</v>
      </c>
      <c r="C178" s="278">
        <v>17</v>
      </c>
      <c r="D178" s="279">
        <v>10876</v>
      </c>
      <c r="E178" s="364">
        <v>67043000</v>
      </c>
      <c r="F178" s="279">
        <v>27348101</v>
      </c>
      <c r="G178" s="278">
        <v>1025543.705</v>
      </c>
      <c r="H178" s="279">
        <v>2425960.219</v>
      </c>
      <c r="I178" s="279">
        <v>38168154.144155607</v>
      </c>
      <c r="J178" s="279">
        <v>-1146288</v>
      </c>
      <c r="K178" s="279">
        <v>785000</v>
      </c>
      <c r="L178" s="280">
        <v>-21860.76</v>
      </c>
      <c r="M178" s="369">
        <v>1585331.8281556016</v>
      </c>
      <c r="N178" s="370">
        <v>145.76423576274379</v>
      </c>
      <c r="P178" s="365">
        <v>28311403.977627121</v>
      </c>
      <c r="Q178" s="283">
        <v>12705738</v>
      </c>
      <c r="R178" s="279">
        <v>2425960.219</v>
      </c>
      <c r="S178" s="279">
        <v>664203.48725280166</v>
      </c>
      <c r="T178" s="280">
        <v>15319176.573427457</v>
      </c>
      <c r="U178" s="280">
        <v>-137349.59519906621</v>
      </c>
      <c r="V178" s="279">
        <v>-1146288</v>
      </c>
      <c r="W178" s="279">
        <v>785000</v>
      </c>
      <c r="X178" s="279">
        <v>127366.41963286043</v>
      </c>
      <c r="Y178" s="354">
        <v>2432403.126486931</v>
      </c>
      <c r="Z178" s="355">
        <v>223.64868761373032</v>
      </c>
      <c r="AB178" s="366">
        <v>847071.29833132937</v>
      </c>
      <c r="AC178" s="349">
        <v>77.884451850986522</v>
      </c>
      <c r="AE178" s="374">
        <v>-73.440189789809182</v>
      </c>
      <c r="AF178" s="350">
        <v>-52.884451850986522</v>
      </c>
      <c r="AG178" s="350">
        <v>-27.884451850986522</v>
      </c>
      <c r="AH178" s="350">
        <v>-2.8844518509865225</v>
      </c>
      <c r="AI178" s="350">
        <v>0</v>
      </c>
      <c r="AJ178" s="408">
        <v>-2186</v>
      </c>
      <c r="AK178" s="387">
        <v>-64857</v>
      </c>
      <c r="AL178" s="287">
        <v>0</v>
      </c>
      <c r="AM178" s="287">
        <v>-2186</v>
      </c>
      <c r="AN178" s="287">
        <v>-26125</v>
      </c>
      <c r="AO178" s="287">
        <v>-38732</v>
      </c>
      <c r="AP178" s="287">
        <v>27348</v>
      </c>
      <c r="AQ178" s="287">
        <v>14642</v>
      </c>
      <c r="AR178" s="287">
        <v>12706</v>
      </c>
      <c r="AS178" s="287">
        <v>1026</v>
      </c>
      <c r="AT178" s="287">
        <v>362</v>
      </c>
      <c r="AU178" s="287">
        <v>664</v>
      </c>
      <c r="AV178" s="353">
        <f t="shared" si="34"/>
        <v>37000.005384155607</v>
      </c>
      <c r="AW178" s="353">
        <f t="shared" si="35"/>
        <v>23763.201910081181</v>
      </c>
      <c r="AX178" s="353">
        <f t="shared" si="36"/>
        <v>13236.803474074426</v>
      </c>
      <c r="AY178" s="390">
        <v>798736</v>
      </c>
      <c r="AZ178" s="390">
        <v>-798736</v>
      </c>
      <c r="BA178" s="401">
        <f t="shared" si="37"/>
        <v>2425.9602190000001</v>
      </c>
      <c r="BB178" s="401">
        <v>-5491</v>
      </c>
      <c r="BC178" s="401">
        <v>115</v>
      </c>
      <c r="BD178" s="401">
        <v>200</v>
      </c>
      <c r="BE178" s="401">
        <v>-2481</v>
      </c>
      <c r="BG178" s="426">
        <f t="shared" si="38"/>
        <v>0.39862276217110226</v>
      </c>
      <c r="BH178" s="426">
        <f t="shared" si="39"/>
        <v>1.4948206620060606E-2</v>
      </c>
      <c r="BI178" s="426">
        <f t="shared" si="40"/>
        <v>3.5360516015901518E-2</v>
      </c>
      <c r="BJ178" s="426">
        <f t="shared" si="41"/>
        <v>0.53962644584032082</v>
      </c>
      <c r="BK178" s="426">
        <f t="shared" si="42"/>
        <v>1.1442069352614841E-2</v>
      </c>
      <c r="BL178" s="425">
        <f t="shared" si="43"/>
        <v>68606471.068155602</v>
      </c>
      <c r="BN178" s="423">
        <f t="shared" si="44"/>
        <v>0.42611387842089338</v>
      </c>
      <c r="BO178" s="423">
        <f t="shared" si="45"/>
        <v>2.2275473019668257E-2</v>
      </c>
      <c r="BP178" s="423">
        <f t="shared" si="46"/>
        <v>8.1359722498046932E-2</v>
      </c>
      <c r="BQ178" s="423">
        <f t="shared" si="47"/>
        <v>0.47071157533238311</v>
      </c>
      <c r="BR178" s="423">
        <f t="shared" si="48"/>
        <v>2.632664033843617E-2</v>
      </c>
      <c r="BS178" s="423">
        <f t="shared" si="49"/>
        <v>-2.678728960942792E-2</v>
      </c>
      <c r="BT178" s="425">
        <f t="shared" si="50"/>
        <v>29817705.180327229</v>
      </c>
    </row>
    <row r="179" spans="1:72" x14ac:dyDescent="0.2">
      <c r="A179" s="309">
        <v>536</v>
      </c>
      <c r="B179" s="278" t="s">
        <v>115</v>
      </c>
      <c r="C179" s="278">
        <v>6</v>
      </c>
      <c r="D179" s="279">
        <v>33162</v>
      </c>
      <c r="E179" s="364">
        <v>164909000</v>
      </c>
      <c r="F179" s="279">
        <v>113268878</v>
      </c>
      <c r="G179" s="278">
        <v>6198224.7850000001</v>
      </c>
      <c r="H179" s="279">
        <v>8686670.7679999992</v>
      </c>
      <c r="I179" s="279">
        <v>41227124.069668256</v>
      </c>
      <c r="J179" s="279">
        <v>-2199549</v>
      </c>
      <c r="K179" s="279">
        <v>396000</v>
      </c>
      <c r="L179" s="280">
        <v>-66655.62</v>
      </c>
      <c r="M179" s="369">
        <v>2735004.2426682664</v>
      </c>
      <c r="N179" s="370">
        <v>82.474043865516748</v>
      </c>
      <c r="P179" s="365">
        <v>73591678.070209667</v>
      </c>
      <c r="Q179" s="283">
        <v>45590242</v>
      </c>
      <c r="R179" s="279">
        <v>8686670.7679999992</v>
      </c>
      <c r="S179" s="279">
        <v>4014341.3653675015</v>
      </c>
      <c r="T179" s="280">
        <v>20097619.876864899</v>
      </c>
      <c r="U179" s="280">
        <v>-533091.62374783237</v>
      </c>
      <c r="V179" s="279">
        <v>-2199549</v>
      </c>
      <c r="W179" s="279">
        <v>396000</v>
      </c>
      <c r="X179" s="279">
        <v>420350.3213915521</v>
      </c>
      <c r="Y179" s="354">
        <v>2880905.6376664639</v>
      </c>
      <c r="Z179" s="355">
        <v>86.873699947725228</v>
      </c>
      <c r="AB179" s="366">
        <v>145901.39499819744</v>
      </c>
      <c r="AC179" s="349">
        <v>4.3996560822084749</v>
      </c>
      <c r="AE179" s="374">
        <v>4.4605978968846216E-2</v>
      </c>
      <c r="AF179" s="350">
        <v>0</v>
      </c>
      <c r="AG179" s="350">
        <v>0</v>
      </c>
      <c r="AH179" s="350">
        <v>0</v>
      </c>
      <c r="AI179" s="350">
        <v>0</v>
      </c>
      <c r="AJ179" s="408">
        <v>-10627</v>
      </c>
      <c r="AK179" s="387">
        <v>-154282</v>
      </c>
      <c r="AL179" s="287">
        <v>-170</v>
      </c>
      <c r="AM179" s="287">
        <v>-10457</v>
      </c>
      <c r="AN179" s="287">
        <v>-63135</v>
      </c>
      <c r="AO179" s="287">
        <v>-91147</v>
      </c>
      <c r="AP179" s="287">
        <v>113269</v>
      </c>
      <c r="AQ179" s="287">
        <v>67679</v>
      </c>
      <c r="AR179" s="287">
        <v>45590</v>
      </c>
      <c r="AS179" s="287">
        <v>6198</v>
      </c>
      <c r="AT179" s="287">
        <v>2184</v>
      </c>
      <c r="AU179" s="287">
        <v>4014</v>
      </c>
      <c r="AV179" s="353">
        <f t="shared" si="34"/>
        <v>38960.919449668261</v>
      </c>
      <c r="AW179" s="353">
        <f t="shared" si="35"/>
        <v>21594.460973076628</v>
      </c>
      <c r="AX179" s="353">
        <f t="shared" si="36"/>
        <v>17366.458476591633</v>
      </c>
      <c r="AY179" s="390">
        <v>1479</v>
      </c>
      <c r="AZ179" s="390">
        <v>1479</v>
      </c>
      <c r="BA179" s="401">
        <f t="shared" si="37"/>
        <v>8686.670768</v>
      </c>
      <c r="BB179" s="401">
        <v>-19090</v>
      </c>
      <c r="BC179" s="401">
        <v>1000</v>
      </c>
      <c r="BD179" s="401">
        <v>3400</v>
      </c>
      <c r="BE179" s="401">
        <v>6115</v>
      </c>
      <c r="BG179" s="426">
        <f t="shared" si="38"/>
        <v>0.67591997922730029</v>
      </c>
      <c r="BH179" s="426">
        <f t="shared" si="39"/>
        <v>3.6987246999333201E-2</v>
      </c>
      <c r="BI179" s="426">
        <f t="shared" si="40"/>
        <v>5.1836783666745219E-2</v>
      </c>
      <c r="BJ179" s="426">
        <f t="shared" si="41"/>
        <v>0.23289290223552908</v>
      </c>
      <c r="BK179" s="426">
        <f t="shared" si="42"/>
        <v>2.3630878710921011E-3</v>
      </c>
      <c r="BL179" s="425">
        <f t="shared" si="43"/>
        <v>167577348.62266827</v>
      </c>
      <c r="BN179" s="423">
        <f t="shared" si="44"/>
        <v>0.5994479485019909</v>
      </c>
      <c r="BO179" s="423">
        <f t="shared" si="45"/>
        <v>5.2782977025132474E-2</v>
      </c>
      <c r="BP179" s="423">
        <f t="shared" si="46"/>
        <v>0.11421757689265639</v>
      </c>
      <c r="BQ179" s="423">
        <f t="shared" si="47"/>
        <v>0.22832520145562418</v>
      </c>
      <c r="BR179" s="423">
        <f t="shared" si="48"/>
        <v>5.2068464038157198E-3</v>
      </c>
      <c r="BS179" s="423">
        <f t="shared" si="49"/>
        <v>1.9449720780247295E-5</v>
      </c>
      <c r="BT179" s="425">
        <f t="shared" si="50"/>
        <v>76053712.60995914</v>
      </c>
    </row>
    <row r="180" spans="1:72" x14ac:dyDescent="0.2">
      <c r="A180" s="309">
        <v>538</v>
      </c>
      <c r="B180" s="278" t="s">
        <v>285</v>
      </c>
      <c r="C180" s="278">
        <v>2</v>
      </c>
      <c r="D180" s="279">
        <v>4859</v>
      </c>
      <c r="E180" s="364">
        <v>26162000</v>
      </c>
      <c r="F180" s="279">
        <v>15918199</v>
      </c>
      <c r="G180" s="278">
        <v>392409.77999999997</v>
      </c>
      <c r="H180" s="279">
        <v>884038.82</v>
      </c>
      <c r="I180" s="279">
        <v>8456804.3373494651</v>
      </c>
      <c r="J180" s="279">
        <v>406508</v>
      </c>
      <c r="K180" s="279">
        <v>-78000</v>
      </c>
      <c r="L180" s="280">
        <v>-9766.5899999999983</v>
      </c>
      <c r="M180" s="369">
        <v>-172273.47265053898</v>
      </c>
      <c r="N180" s="370">
        <v>-35.454511761790286</v>
      </c>
      <c r="P180" s="365">
        <v>11476334.458612975</v>
      </c>
      <c r="Q180" s="283">
        <v>6980745</v>
      </c>
      <c r="R180" s="279">
        <v>884038.82</v>
      </c>
      <c r="S180" s="279">
        <v>254148.06120632828</v>
      </c>
      <c r="T180" s="280">
        <v>4778007.9354886543</v>
      </c>
      <c r="U180" s="280">
        <v>-1009036.4998990661</v>
      </c>
      <c r="V180" s="279">
        <v>406508</v>
      </c>
      <c r="W180" s="279">
        <v>-78000</v>
      </c>
      <c r="X180" s="279">
        <v>59806.814078151765</v>
      </c>
      <c r="Y180" s="354">
        <v>799883.67226109281</v>
      </c>
      <c r="Z180" s="355">
        <v>164.61898996935435</v>
      </c>
      <c r="AB180" s="366">
        <v>972157.14491163183</v>
      </c>
      <c r="AC180" s="349">
        <v>200.07350173114463</v>
      </c>
      <c r="AE180" s="374">
        <v>-195.62923966996652</v>
      </c>
      <c r="AF180" s="350">
        <v>-175.07350173114386</v>
      </c>
      <c r="AG180" s="350">
        <v>-150.07350173114386</v>
      </c>
      <c r="AH180" s="350">
        <v>-125.07350173114386</v>
      </c>
      <c r="AI180" s="350">
        <v>-100.07350173114386</v>
      </c>
      <c r="AJ180" s="408">
        <v>-672</v>
      </c>
      <c r="AK180" s="387">
        <v>-25490</v>
      </c>
      <c r="AL180" s="287">
        <v>0</v>
      </c>
      <c r="AM180" s="287">
        <v>-672</v>
      </c>
      <c r="AN180" s="287">
        <v>-10804</v>
      </c>
      <c r="AO180" s="287">
        <v>-14686</v>
      </c>
      <c r="AP180" s="287">
        <v>15918</v>
      </c>
      <c r="AQ180" s="287">
        <v>8937</v>
      </c>
      <c r="AR180" s="287">
        <v>6981</v>
      </c>
      <c r="AS180" s="287">
        <v>392</v>
      </c>
      <c r="AT180" s="287">
        <v>138</v>
      </c>
      <c r="AU180" s="287">
        <v>254</v>
      </c>
      <c r="AV180" s="353">
        <f t="shared" si="34"/>
        <v>8853.5457473494662</v>
      </c>
      <c r="AW180" s="353">
        <f t="shared" si="35"/>
        <v>5628.6287873162455</v>
      </c>
      <c r="AX180" s="353">
        <f t="shared" si="36"/>
        <v>3224.9169600332211</v>
      </c>
      <c r="AY180" s="390">
        <v>950562</v>
      </c>
      <c r="AZ180" s="390">
        <v>-950562</v>
      </c>
      <c r="BA180" s="401">
        <f t="shared" si="37"/>
        <v>884.03881999999999</v>
      </c>
      <c r="BB180" s="401">
        <v>-1441</v>
      </c>
      <c r="BC180" s="401">
        <v>0</v>
      </c>
      <c r="BD180" s="401">
        <v>400</v>
      </c>
      <c r="BE180" s="401">
        <v>-626</v>
      </c>
      <c r="BG180" s="426">
        <f t="shared" si="38"/>
        <v>0.61271068309522625</v>
      </c>
      <c r="BH180" s="426">
        <f t="shared" si="39"/>
        <v>1.510432583215271E-2</v>
      </c>
      <c r="BI180" s="426">
        <f t="shared" si="40"/>
        <v>3.4027720679010089E-2</v>
      </c>
      <c r="BJ180" s="426">
        <f t="shared" si="41"/>
        <v>0.34115958449217387</v>
      </c>
      <c r="BK180" s="426">
        <f t="shared" si="42"/>
        <v>-3.0023140985627611E-3</v>
      </c>
      <c r="BL180" s="425">
        <f t="shared" si="43"/>
        <v>25979959.937349461</v>
      </c>
      <c r="BN180" s="423">
        <f t="shared" si="44"/>
        <v>0.61963772977730902</v>
      </c>
      <c r="BO180" s="423">
        <f t="shared" si="45"/>
        <v>2.2559157750812246E-2</v>
      </c>
      <c r="BP180" s="423">
        <f t="shared" si="46"/>
        <v>7.8470680057760464E-2</v>
      </c>
      <c r="BQ180" s="423">
        <f t="shared" si="47"/>
        <v>0.37063158705848326</v>
      </c>
      <c r="BR180" s="423">
        <f t="shared" si="48"/>
        <v>-6.9235794922504834E-3</v>
      </c>
      <c r="BS180" s="423">
        <f t="shared" si="49"/>
        <v>-8.4375575152114302E-2</v>
      </c>
      <c r="BT180" s="425">
        <f t="shared" si="50"/>
        <v>11265848.841239547</v>
      </c>
    </row>
    <row r="181" spans="1:72" x14ac:dyDescent="0.2">
      <c r="A181" s="309">
        <v>541</v>
      </c>
      <c r="B181" s="278" t="s">
        <v>116</v>
      </c>
      <c r="C181" s="278">
        <v>12</v>
      </c>
      <c r="D181" s="279">
        <v>7996</v>
      </c>
      <c r="E181" s="364">
        <v>52051000</v>
      </c>
      <c r="F181" s="279">
        <v>20564013</v>
      </c>
      <c r="G181" s="278">
        <v>2418870.79</v>
      </c>
      <c r="H181" s="279">
        <v>1707049.7322999998</v>
      </c>
      <c r="I181" s="279">
        <v>30762835.744364157</v>
      </c>
      <c r="J181" s="279">
        <v>-775230</v>
      </c>
      <c r="K181" s="279">
        <v>-230000</v>
      </c>
      <c r="L181" s="280">
        <v>-122842.44350911959</v>
      </c>
      <c r="M181" s="369">
        <v>2519381.7101732744</v>
      </c>
      <c r="N181" s="370">
        <v>315.08025389860859</v>
      </c>
      <c r="P181" s="365">
        <v>21297691.108108107</v>
      </c>
      <c r="Q181" s="283">
        <v>8969429</v>
      </c>
      <c r="R181" s="279">
        <v>1707049.7322999998</v>
      </c>
      <c r="S181" s="279">
        <v>1566605.5050593275</v>
      </c>
      <c r="T181" s="280">
        <v>5326181.2428604094</v>
      </c>
      <c r="U181" s="280">
        <v>4502232.100214676</v>
      </c>
      <c r="V181" s="279">
        <v>-775230</v>
      </c>
      <c r="W181" s="279">
        <v>-230000</v>
      </c>
      <c r="X181" s="279">
        <v>96381.064826652277</v>
      </c>
      <c r="Y181" s="354">
        <v>-135042.46284704283</v>
      </c>
      <c r="Z181" s="355">
        <v>-16.888752231996353</v>
      </c>
      <c r="AB181" s="366">
        <v>-2654424.1730203172</v>
      </c>
      <c r="AC181" s="349">
        <v>-331.96900613060495</v>
      </c>
      <c r="AE181" s="374">
        <v>336.41326819178227</v>
      </c>
      <c r="AF181" s="350">
        <v>306.96900613060495</v>
      </c>
      <c r="AG181" s="350">
        <v>281.96900613060495</v>
      </c>
      <c r="AH181" s="350">
        <v>256.96900613060495</v>
      </c>
      <c r="AI181" s="350">
        <v>231.96900613060495</v>
      </c>
      <c r="AJ181" s="408">
        <v>-3738</v>
      </c>
      <c r="AK181" s="387">
        <v>-48313</v>
      </c>
      <c r="AL181" s="287">
        <v>0</v>
      </c>
      <c r="AM181" s="287">
        <v>-3738</v>
      </c>
      <c r="AN181" s="287">
        <v>-17560</v>
      </c>
      <c r="AO181" s="287">
        <v>-30753</v>
      </c>
      <c r="AP181" s="287">
        <v>20564</v>
      </c>
      <c r="AQ181" s="287">
        <v>11595</v>
      </c>
      <c r="AR181" s="287">
        <v>8969</v>
      </c>
      <c r="AS181" s="287">
        <v>2419</v>
      </c>
      <c r="AT181" s="287">
        <v>852</v>
      </c>
      <c r="AU181" s="287">
        <v>1567</v>
      </c>
      <c r="AV181" s="353">
        <f t="shared" si="34"/>
        <v>29864.763300855037</v>
      </c>
      <c r="AW181" s="353">
        <f t="shared" si="35"/>
        <v>18121.619465318458</v>
      </c>
      <c r="AX181" s="353">
        <f t="shared" si="36"/>
        <v>11743.143835536577</v>
      </c>
      <c r="AY181" s="390">
        <v>2689960</v>
      </c>
      <c r="AZ181" s="390">
        <v>2689960</v>
      </c>
      <c r="BA181" s="401">
        <f t="shared" si="37"/>
        <v>1707.0497322999997</v>
      </c>
      <c r="BB181" s="401">
        <v>-5818</v>
      </c>
      <c r="BC181" s="401">
        <v>345</v>
      </c>
      <c r="BD181" s="401">
        <v>0</v>
      </c>
      <c r="BE181" s="401">
        <v>581</v>
      </c>
      <c r="BG181" s="426">
        <f t="shared" si="38"/>
        <v>0.37768489222781909</v>
      </c>
      <c r="BH181" s="426">
        <f t="shared" si="39"/>
        <v>4.4425713679240024E-2</v>
      </c>
      <c r="BI181" s="426">
        <f t="shared" si="40"/>
        <v>3.1352192501106317E-2</v>
      </c>
      <c r="BJ181" s="426">
        <f t="shared" si="41"/>
        <v>0.55076145126588405</v>
      </c>
      <c r="BK181" s="426">
        <f t="shared" si="42"/>
        <v>-4.2242496740494372E-3</v>
      </c>
      <c r="BL181" s="425">
        <f t="shared" si="43"/>
        <v>54447539.266664155</v>
      </c>
      <c r="BN181" s="423">
        <f t="shared" si="44"/>
        <v>0.37756115880338154</v>
      </c>
      <c r="BO181" s="423">
        <f t="shared" si="45"/>
        <v>6.5945043979717816E-2</v>
      </c>
      <c r="BP181" s="423">
        <f t="shared" si="46"/>
        <v>7.1856934824077442E-2</v>
      </c>
      <c r="BQ181" s="423">
        <f t="shared" si="47"/>
        <v>0.38108673293148321</v>
      </c>
      <c r="BR181" s="423">
        <f t="shared" si="48"/>
        <v>-9.6816716565544751E-3</v>
      </c>
      <c r="BS181" s="423">
        <f t="shared" si="49"/>
        <v>0.11323180111789449</v>
      </c>
      <c r="BT181" s="425">
        <f t="shared" si="50"/>
        <v>23756228.072895903</v>
      </c>
    </row>
    <row r="182" spans="1:72" x14ac:dyDescent="0.2">
      <c r="A182" s="309">
        <v>543</v>
      </c>
      <c r="B182" s="278" t="s">
        <v>117</v>
      </c>
      <c r="C182" s="278">
        <v>1</v>
      </c>
      <c r="D182" s="279">
        <v>41897</v>
      </c>
      <c r="E182" s="364">
        <v>213565000</v>
      </c>
      <c r="F182" s="279">
        <v>162952734</v>
      </c>
      <c r="G182" s="278">
        <v>6552099.3949999996</v>
      </c>
      <c r="H182" s="279">
        <v>9404150.3530999999</v>
      </c>
      <c r="I182" s="279">
        <v>36229668.563113362</v>
      </c>
      <c r="J182" s="279">
        <v>-6430304</v>
      </c>
      <c r="K182" s="279">
        <v>1766000</v>
      </c>
      <c r="L182" s="280">
        <v>-84212.969999999987</v>
      </c>
      <c r="M182" s="369">
        <v>-3006438.7187866257</v>
      </c>
      <c r="N182" s="370">
        <v>-71.757851845875024</v>
      </c>
      <c r="P182" s="365">
        <v>97560497.382690296</v>
      </c>
      <c r="Q182" s="283">
        <v>61783259</v>
      </c>
      <c r="R182" s="279">
        <v>9404150.3530999999</v>
      </c>
      <c r="S182" s="279">
        <v>4243531.7439601179</v>
      </c>
      <c r="T182" s="280">
        <v>29319154.998611964</v>
      </c>
      <c r="U182" s="280">
        <v>-3215202.4797350406</v>
      </c>
      <c r="V182" s="279">
        <v>-6430304</v>
      </c>
      <c r="W182" s="279">
        <v>1766000</v>
      </c>
      <c r="X182" s="279">
        <v>553719.65948768263</v>
      </c>
      <c r="Y182" s="354">
        <v>-136188.10726559162</v>
      </c>
      <c r="Z182" s="355">
        <v>-3.2505455585266634</v>
      </c>
      <c r="AB182" s="366">
        <v>2870250.611521034</v>
      </c>
      <c r="AC182" s="349">
        <v>68.507306287348356</v>
      </c>
      <c r="AE182" s="374">
        <v>-64.06304422617103</v>
      </c>
      <c r="AF182" s="350">
        <v>-43.507306287348356</v>
      </c>
      <c r="AG182" s="350">
        <v>-18.507306287348356</v>
      </c>
      <c r="AH182" s="350">
        <v>0</v>
      </c>
      <c r="AI182" s="350">
        <v>0</v>
      </c>
      <c r="AJ182" s="408">
        <v>-16292</v>
      </c>
      <c r="AK182" s="387">
        <v>-197273</v>
      </c>
      <c r="AL182" s="287">
        <v>-456</v>
      </c>
      <c r="AM182" s="287">
        <v>-15836</v>
      </c>
      <c r="AN182" s="287">
        <v>-81724</v>
      </c>
      <c r="AO182" s="287">
        <v>-115549</v>
      </c>
      <c r="AP182" s="287">
        <v>162953</v>
      </c>
      <c r="AQ182" s="287">
        <v>101170</v>
      </c>
      <c r="AR182" s="287">
        <v>61783</v>
      </c>
      <c r="AS182" s="287">
        <v>6552</v>
      </c>
      <c r="AT182" s="287">
        <v>2308</v>
      </c>
      <c r="AU182" s="287">
        <v>4244</v>
      </c>
      <c r="AV182" s="353">
        <f t="shared" si="34"/>
        <v>29715.151593113362</v>
      </c>
      <c r="AW182" s="353">
        <f t="shared" si="35"/>
        <v>12725.552438180326</v>
      </c>
      <c r="AX182" s="353">
        <f t="shared" si="36"/>
        <v>16989.599154933036</v>
      </c>
      <c r="AY182" s="390">
        <v>2684049</v>
      </c>
      <c r="AZ182" s="390">
        <v>-2684049</v>
      </c>
      <c r="BA182" s="401">
        <f t="shared" si="37"/>
        <v>9404.1503530999998</v>
      </c>
      <c r="BB182" s="401">
        <v>-43682</v>
      </c>
      <c r="BC182" s="401">
        <v>2130</v>
      </c>
      <c r="BD182" s="401">
        <v>5200</v>
      </c>
      <c r="BE182" s="401">
        <v>-28121</v>
      </c>
      <c r="BG182" s="426">
        <f t="shared" si="38"/>
        <v>0.7742165984001691</v>
      </c>
      <c r="BH182" s="426">
        <f t="shared" si="39"/>
        <v>3.1130156465964579E-2</v>
      </c>
      <c r="BI182" s="426">
        <f t="shared" si="40"/>
        <v>4.4680743418645752E-2</v>
      </c>
      <c r="BJ182" s="426">
        <f t="shared" si="41"/>
        <v>0.14158193054030113</v>
      </c>
      <c r="BK182" s="426">
        <f t="shared" si="42"/>
        <v>8.3905711749193406E-3</v>
      </c>
      <c r="BL182" s="425">
        <f t="shared" si="43"/>
        <v>210474348.31121337</v>
      </c>
      <c r="BN182" s="423">
        <f t="shared" si="44"/>
        <v>0.6559669654995377</v>
      </c>
      <c r="BO182" s="423">
        <f t="shared" si="45"/>
        <v>4.5054545294971889E-2</v>
      </c>
      <c r="BP182" s="423">
        <f t="shared" si="46"/>
        <v>9.9846011202232188E-2</v>
      </c>
      <c r="BQ182" s="423">
        <f t="shared" si="47"/>
        <v>0.20887961768465743</v>
      </c>
      <c r="BR182" s="423">
        <f t="shared" si="48"/>
        <v>1.8750025165752159E-2</v>
      </c>
      <c r="BS182" s="423">
        <f t="shared" si="49"/>
        <v>-2.8497164847151174E-2</v>
      </c>
      <c r="BT182" s="425">
        <f t="shared" si="50"/>
        <v>94186540.251993135</v>
      </c>
    </row>
    <row r="183" spans="1:72" x14ac:dyDescent="0.2">
      <c r="A183" s="309">
        <v>893</v>
      </c>
      <c r="B183" s="278" t="s">
        <v>313</v>
      </c>
      <c r="C183" s="278">
        <v>15</v>
      </c>
      <c r="D183" s="279">
        <v>7564</v>
      </c>
      <c r="E183" s="364">
        <v>43585000</v>
      </c>
      <c r="F183" s="279">
        <v>21766653</v>
      </c>
      <c r="G183" s="278">
        <v>2594419.2949999999</v>
      </c>
      <c r="H183" s="279">
        <v>2241736.9149999996</v>
      </c>
      <c r="I183" s="279">
        <v>16431947.632040057</v>
      </c>
      <c r="J183" s="279">
        <v>-421785</v>
      </c>
      <c r="K183" s="279">
        <v>-75000</v>
      </c>
      <c r="L183" s="280">
        <v>-15203.639999999998</v>
      </c>
      <c r="M183" s="369">
        <v>-1031824.517959938</v>
      </c>
      <c r="N183" s="370">
        <v>-136.41254864621075</v>
      </c>
      <c r="P183" s="365">
        <v>18588665.834811531</v>
      </c>
      <c r="Q183" s="283">
        <v>9721122</v>
      </c>
      <c r="R183" s="279">
        <v>2241736.9149999996</v>
      </c>
      <c r="S183" s="279">
        <v>1680301.2243490443</v>
      </c>
      <c r="T183" s="280">
        <v>6912205.8922629487</v>
      </c>
      <c r="U183" s="280">
        <v>-1004793.1041969615</v>
      </c>
      <c r="V183" s="279">
        <v>-421785</v>
      </c>
      <c r="W183" s="279">
        <v>-75000</v>
      </c>
      <c r="X183" s="279">
        <v>94184.038549099831</v>
      </c>
      <c r="Y183" s="354">
        <v>559306.13115260005</v>
      </c>
      <c r="Z183" s="355">
        <v>73.943169110602867</v>
      </c>
      <c r="AB183" s="366">
        <v>1591130.649112538</v>
      </c>
      <c r="AC183" s="349">
        <v>210.35571775681359</v>
      </c>
      <c r="AE183" s="374">
        <v>-205.91145569563724</v>
      </c>
      <c r="AF183" s="350">
        <v>-185.35571775681458</v>
      </c>
      <c r="AG183" s="350">
        <v>-160.35571775681458</v>
      </c>
      <c r="AH183" s="350">
        <v>-135.35571775681458</v>
      </c>
      <c r="AI183" s="350">
        <v>-110.35571775681458</v>
      </c>
      <c r="AJ183" s="408">
        <v>-2040</v>
      </c>
      <c r="AK183" s="387">
        <v>-41545</v>
      </c>
      <c r="AL183" s="287">
        <v>0</v>
      </c>
      <c r="AM183" s="287">
        <v>-2040</v>
      </c>
      <c r="AN183" s="287">
        <v>-16549</v>
      </c>
      <c r="AO183" s="287">
        <v>-24996</v>
      </c>
      <c r="AP183" s="287">
        <v>21767</v>
      </c>
      <c r="AQ183" s="287">
        <v>12046</v>
      </c>
      <c r="AR183" s="287">
        <v>9721</v>
      </c>
      <c r="AS183" s="287">
        <v>2594</v>
      </c>
      <c r="AT183" s="287">
        <v>914</v>
      </c>
      <c r="AU183" s="287">
        <v>1680</v>
      </c>
      <c r="AV183" s="353">
        <f t="shared" si="34"/>
        <v>15994.958992040058</v>
      </c>
      <c r="AW183" s="353">
        <f t="shared" si="35"/>
        <v>12066.845454855871</v>
      </c>
      <c r="AX183" s="353">
        <f t="shared" si="36"/>
        <v>3928.1135371841865</v>
      </c>
      <c r="AY183" s="390">
        <v>1557514</v>
      </c>
      <c r="AZ183" s="390">
        <v>-1557514</v>
      </c>
      <c r="BA183" s="401">
        <f t="shared" si="37"/>
        <v>2241.7369149999995</v>
      </c>
      <c r="BB183" s="401">
        <v>-4179</v>
      </c>
      <c r="BC183" s="401">
        <v>330</v>
      </c>
      <c r="BD183" s="401">
        <v>68</v>
      </c>
      <c r="BE183" s="401">
        <v>-2353</v>
      </c>
      <c r="BG183" s="426">
        <f t="shared" si="38"/>
        <v>0.51169936076943201</v>
      </c>
      <c r="BH183" s="426">
        <f t="shared" si="39"/>
        <v>6.099066745904299E-2</v>
      </c>
      <c r="BI183" s="426">
        <f t="shared" si="40"/>
        <v>5.2699666155322018E-2</v>
      </c>
      <c r="BJ183" s="426">
        <f t="shared" si="41"/>
        <v>0.37637343622051334</v>
      </c>
      <c r="BK183" s="426">
        <f t="shared" si="42"/>
        <v>-1.7631306043105206E-3</v>
      </c>
      <c r="BL183" s="425">
        <f t="shared" si="43"/>
        <v>42537971.842040062</v>
      </c>
      <c r="BN183" s="423">
        <f t="shared" si="44"/>
        <v>0.55561099350191312</v>
      </c>
      <c r="BO183" s="423">
        <f t="shared" si="45"/>
        <v>9.6037662385376241E-2</v>
      </c>
      <c r="BP183" s="423">
        <f t="shared" si="46"/>
        <v>0.12812653462358187</v>
      </c>
      <c r="BQ183" s="423">
        <f t="shared" si="47"/>
        <v>0.31353120610039098</v>
      </c>
      <c r="BR183" s="423">
        <f t="shared" si="48"/>
        <v>-4.2866270490837877E-3</v>
      </c>
      <c r="BS183" s="423">
        <f t="shared" si="49"/>
        <v>-8.9019769562178622E-2</v>
      </c>
      <c r="BT183" s="425">
        <f t="shared" si="50"/>
        <v>17496273.676533233</v>
      </c>
    </row>
    <row r="184" spans="1:72" x14ac:dyDescent="0.2">
      <c r="A184" s="309">
        <v>740</v>
      </c>
      <c r="B184" s="278" t="s">
        <v>303</v>
      </c>
      <c r="C184" s="278">
        <v>10</v>
      </c>
      <c r="D184" s="279">
        <v>35523</v>
      </c>
      <c r="E184" s="364">
        <v>208799000</v>
      </c>
      <c r="F184" s="279">
        <v>117665141</v>
      </c>
      <c r="G184" s="278">
        <v>7468796.6750000007</v>
      </c>
      <c r="H184" s="279">
        <v>14079153.9013</v>
      </c>
      <c r="I184" s="279">
        <v>83921791.783262834</v>
      </c>
      <c r="J184" s="279">
        <v>-2220309</v>
      </c>
      <c r="K184" s="279">
        <v>-628000</v>
      </c>
      <c r="L184" s="280">
        <v>-71401.23</v>
      </c>
      <c r="M184" s="369">
        <v>11558975.589562815</v>
      </c>
      <c r="N184" s="370">
        <v>325.39412745440461</v>
      </c>
      <c r="P184" s="365">
        <v>71394834.290841877</v>
      </c>
      <c r="Q184" s="283">
        <v>56952026</v>
      </c>
      <c r="R184" s="279">
        <v>14079153.9013</v>
      </c>
      <c r="S184" s="279">
        <v>4837239.7713826634</v>
      </c>
      <c r="T184" s="280">
        <v>14470301.613084935</v>
      </c>
      <c r="U184" s="280">
        <v>-3912169.5188205913</v>
      </c>
      <c r="V184" s="279">
        <v>-2220309</v>
      </c>
      <c r="W184" s="279">
        <v>-628000</v>
      </c>
      <c r="X184" s="279">
        <v>442328.83956019481</v>
      </c>
      <c r="Y184" s="354">
        <v>12625737.31566532</v>
      </c>
      <c r="Z184" s="355">
        <v>355.42429737537145</v>
      </c>
      <c r="AB184" s="366">
        <v>1066761.7261025049</v>
      </c>
      <c r="AC184" s="349">
        <v>30.030169920966834</v>
      </c>
      <c r="AE184" s="374">
        <v>-25.585907859788676</v>
      </c>
      <c r="AF184" s="350">
        <v>-5.0301699209659887</v>
      </c>
      <c r="AG184" s="350">
        <v>0</v>
      </c>
      <c r="AH184" s="350">
        <v>0</v>
      </c>
      <c r="AI184" s="350">
        <v>0</v>
      </c>
      <c r="AJ184" s="408">
        <v>-8853</v>
      </c>
      <c r="AK184" s="387">
        <v>-199946</v>
      </c>
      <c r="AL184" s="287">
        <v>-2</v>
      </c>
      <c r="AM184" s="287">
        <v>-8851</v>
      </c>
      <c r="AN184" s="287">
        <v>-62544</v>
      </c>
      <c r="AO184" s="287">
        <v>-137402</v>
      </c>
      <c r="AP184" s="287">
        <v>117665</v>
      </c>
      <c r="AQ184" s="287">
        <v>60713</v>
      </c>
      <c r="AR184" s="287">
        <v>56952</v>
      </c>
      <c r="AS184" s="287">
        <v>7469</v>
      </c>
      <c r="AT184" s="287">
        <v>2632</v>
      </c>
      <c r="AU184" s="287">
        <v>4837</v>
      </c>
      <c r="AV184" s="353">
        <f t="shared" si="34"/>
        <v>81630.081553262833</v>
      </c>
      <c r="AW184" s="353">
        <f t="shared" si="35"/>
        <v>74201.14666390176</v>
      </c>
      <c r="AX184" s="353">
        <f t="shared" si="36"/>
        <v>7428.9348893610704</v>
      </c>
      <c r="AY184" s="390">
        <v>908888</v>
      </c>
      <c r="AZ184" s="390">
        <v>-908888</v>
      </c>
      <c r="BA184" s="401">
        <f t="shared" si="37"/>
        <v>14079.1539013</v>
      </c>
      <c r="BB184" s="401">
        <v>-8756</v>
      </c>
      <c r="BC184" s="401">
        <v>647</v>
      </c>
      <c r="BD184" s="401">
        <v>3600</v>
      </c>
      <c r="BE184" s="401">
        <v>3945</v>
      </c>
      <c r="BG184" s="426">
        <f t="shared" si="38"/>
        <v>0.53414576599634733</v>
      </c>
      <c r="BH184" s="426">
        <f t="shared" si="39"/>
        <v>3.3904910894883025E-2</v>
      </c>
      <c r="BI184" s="426">
        <f t="shared" si="40"/>
        <v>6.3912900467185521E-2</v>
      </c>
      <c r="BJ184" s="426">
        <f t="shared" si="41"/>
        <v>0.37088725457188132</v>
      </c>
      <c r="BK184" s="426">
        <f t="shared" si="42"/>
        <v>-2.8508319302970632E-3</v>
      </c>
      <c r="BL184" s="425">
        <f t="shared" si="43"/>
        <v>220286574.35956281</v>
      </c>
      <c r="BN184" s="423">
        <f t="shared" si="44"/>
        <v>0.68891339846202915</v>
      </c>
      <c r="BO184" s="423">
        <f t="shared" si="45"/>
        <v>5.8513094689184891E-2</v>
      </c>
      <c r="BP184" s="423">
        <f t="shared" si="46"/>
        <v>0.17030680807763574</v>
      </c>
      <c r="BQ184" s="423">
        <f t="shared" si="47"/>
        <v>0.10085748386975453</v>
      </c>
      <c r="BR184" s="423">
        <f t="shared" si="48"/>
        <v>-7.5965271935041316E-3</v>
      </c>
      <c r="BS184" s="423">
        <f t="shared" si="49"/>
        <v>-1.0994257905100112E-2</v>
      </c>
      <c r="BT184" s="425">
        <f t="shared" si="50"/>
        <v>82669354.562043726</v>
      </c>
    </row>
    <row r="185" spans="1:72" x14ac:dyDescent="0.2">
      <c r="A185" s="309">
        <v>895</v>
      </c>
      <c r="B185" s="278" t="s">
        <v>314</v>
      </c>
      <c r="C185" s="278">
        <v>2</v>
      </c>
      <c r="D185" s="279">
        <v>15510</v>
      </c>
      <c r="E185" s="364">
        <v>85822000</v>
      </c>
      <c r="F185" s="279">
        <v>53469618</v>
      </c>
      <c r="G185" s="278">
        <v>3604174.39</v>
      </c>
      <c r="H185" s="279">
        <v>4825626.4141999995</v>
      </c>
      <c r="I185" s="279">
        <v>26234412.499192134</v>
      </c>
      <c r="J185" s="279">
        <v>-1535689</v>
      </c>
      <c r="K185" s="279">
        <v>237000</v>
      </c>
      <c r="L185" s="280">
        <v>-31175.099999999995</v>
      </c>
      <c r="M185" s="369">
        <v>1044317.403392142</v>
      </c>
      <c r="N185" s="370">
        <v>67.331876427604257</v>
      </c>
      <c r="P185" s="365">
        <v>29987537.265171506</v>
      </c>
      <c r="Q185" s="283">
        <v>23123972</v>
      </c>
      <c r="R185" s="279">
        <v>4825626.4141999995</v>
      </c>
      <c r="S185" s="279">
        <v>2334279.0627389587</v>
      </c>
      <c r="T185" s="280">
        <v>3553423.7378082541</v>
      </c>
      <c r="U185" s="280">
        <v>-1244275.696980966</v>
      </c>
      <c r="V185" s="279">
        <v>-1535689</v>
      </c>
      <c r="W185" s="279">
        <v>237000</v>
      </c>
      <c r="X185" s="279">
        <v>197688.88380337422</v>
      </c>
      <c r="Y185" s="354">
        <v>1504488.136398118</v>
      </c>
      <c r="Z185" s="355">
        <v>97.001169335790976</v>
      </c>
      <c r="AB185" s="366">
        <v>460170.73300597596</v>
      </c>
      <c r="AC185" s="349">
        <v>29.669292908186716</v>
      </c>
      <c r="AE185" s="374">
        <v>-25.225030847010359</v>
      </c>
      <c r="AF185" s="350">
        <v>-4.6692929081876855</v>
      </c>
      <c r="AG185" s="350">
        <v>0</v>
      </c>
      <c r="AH185" s="350">
        <v>0</v>
      </c>
      <c r="AI185" s="350">
        <v>0</v>
      </c>
      <c r="AJ185" s="408">
        <v>-5499</v>
      </c>
      <c r="AK185" s="387">
        <v>-80323</v>
      </c>
      <c r="AL185" s="287">
        <v>-318</v>
      </c>
      <c r="AM185" s="287">
        <v>-5181</v>
      </c>
      <c r="AN185" s="287">
        <v>-24807</v>
      </c>
      <c r="AO185" s="287">
        <v>-55516</v>
      </c>
      <c r="AP185" s="287">
        <v>53470</v>
      </c>
      <c r="AQ185" s="287">
        <v>30346</v>
      </c>
      <c r="AR185" s="287">
        <v>23124</v>
      </c>
      <c r="AS185" s="287">
        <v>3604</v>
      </c>
      <c r="AT185" s="287">
        <v>1270</v>
      </c>
      <c r="AU185" s="287">
        <v>2334</v>
      </c>
      <c r="AV185" s="353">
        <f t="shared" si="34"/>
        <v>24667.548399192132</v>
      </c>
      <c r="AW185" s="353">
        <f t="shared" si="35"/>
        <v>24285.329586801974</v>
      </c>
      <c r="AX185" s="353">
        <f t="shared" si="36"/>
        <v>382.21881239015761</v>
      </c>
      <c r="AY185" s="390">
        <v>391240</v>
      </c>
      <c r="AZ185" s="390">
        <v>-391240</v>
      </c>
      <c r="BA185" s="401">
        <f t="shared" si="37"/>
        <v>4825.6264142</v>
      </c>
      <c r="BB185" s="401">
        <v>-15507</v>
      </c>
      <c r="BC185" s="401">
        <v>46</v>
      </c>
      <c r="BD185" s="401">
        <v>0</v>
      </c>
      <c r="BE185" s="401">
        <v>-10098</v>
      </c>
      <c r="BG185" s="426">
        <f t="shared" si="38"/>
        <v>0.61576012408873837</v>
      </c>
      <c r="BH185" s="426">
        <f t="shared" si="39"/>
        <v>4.1505942115087728E-2</v>
      </c>
      <c r="BI185" s="426">
        <f t="shared" si="40"/>
        <v>5.5572275074298925E-2</v>
      </c>
      <c r="BJ185" s="426">
        <f t="shared" si="41"/>
        <v>0.28443234897799319</v>
      </c>
      <c r="BK185" s="426">
        <f t="shared" si="42"/>
        <v>2.7293097438816751E-3</v>
      </c>
      <c r="BL185" s="425">
        <f t="shared" si="43"/>
        <v>86835142.303392142</v>
      </c>
      <c r="BN185" s="423">
        <f t="shared" si="44"/>
        <v>0.74827362874912762</v>
      </c>
      <c r="BO185" s="423">
        <f t="shared" si="45"/>
        <v>7.5535442820497845E-2</v>
      </c>
      <c r="BP185" s="423">
        <f t="shared" si="46"/>
        <v>0.15615349248567997</v>
      </c>
      <c r="BQ185" s="423">
        <f t="shared" si="47"/>
        <v>2.5028528972818972E-2</v>
      </c>
      <c r="BR185" s="423">
        <f t="shared" si="48"/>
        <v>7.6691344382160314E-3</v>
      </c>
      <c r="BS185" s="423">
        <f t="shared" si="49"/>
        <v>-1.2660227466340532E-2</v>
      </c>
      <c r="BT185" s="425">
        <f t="shared" si="50"/>
        <v>30903096.289329119</v>
      </c>
    </row>
    <row r="186" spans="1:72" x14ac:dyDescent="0.2">
      <c r="A186" s="309">
        <v>529</v>
      </c>
      <c r="B186" s="278" t="s">
        <v>284</v>
      </c>
      <c r="C186" s="278">
        <v>2</v>
      </c>
      <c r="D186" s="279">
        <v>18961</v>
      </c>
      <c r="E186" s="364">
        <v>99443000</v>
      </c>
      <c r="F186" s="279">
        <v>70671008</v>
      </c>
      <c r="G186" s="278">
        <v>6377384.6349999998</v>
      </c>
      <c r="H186" s="279">
        <v>6432695.4854999995</v>
      </c>
      <c r="I186" s="279">
        <v>16978393.280022316</v>
      </c>
      <c r="J186" s="279">
        <v>-950569</v>
      </c>
      <c r="K186" s="279">
        <v>1100000</v>
      </c>
      <c r="L186" s="280">
        <v>574488.30134358956</v>
      </c>
      <c r="M186" s="369">
        <v>591424.09917873191</v>
      </c>
      <c r="N186" s="370">
        <v>31.191609049033907</v>
      </c>
      <c r="P186" s="365">
        <v>40578743.183445193</v>
      </c>
      <c r="Q186" s="283">
        <v>25736365</v>
      </c>
      <c r="R186" s="279">
        <v>6432695.4854999995</v>
      </c>
      <c r="S186" s="279">
        <v>4130376.0078361901</v>
      </c>
      <c r="T186" s="280">
        <v>5392532.0857076598</v>
      </c>
      <c r="U186" s="280">
        <v>3660.5000722372279</v>
      </c>
      <c r="V186" s="279">
        <v>-950569</v>
      </c>
      <c r="W186" s="279">
        <v>1100000</v>
      </c>
      <c r="X186" s="279">
        <v>252324.44269296329</v>
      </c>
      <c r="Y186" s="354">
        <v>1518641.3383638635</v>
      </c>
      <c r="Z186" s="355">
        <v>80.092892693627107</v>
      </c>
      <c r="AB186" s="366">
        <v>927217.23918513162</v>
      </c>
      <c r="AC186" s="349">
        <v>48.9012836445932</v>
      </c>
      <c r="AE186" s="374">
        <v>-44.457021583416655</v>
      </c>
      <c r="AF186" s="350">
        <v>-23.901283644593988</v>
      </c>
      <c r="AG186" s="350">
        <v>0</v>
      </c>
      <c r="AH186" s="350">
        <v>0</v>
      </c>
      <c r="AI186" s="350">
        <v>0</v>
      </c>
      <c r="AJ186" s="408">
        <v>-7311</v>
      </c>
      <c r="AK186" s="387">
        <v>-92132</v>
      </c>
      <c r="AL186" s="287">
        <v>-147</v>
      </c>
      <c r="AM186" s="287">
        <v>-7164</v>
      </c>
      <c r="AN186" s="287">
        <v>-33415</v>
      </c>
      <c r="AO186" s="287">
        <v>-58717</v>
      </c>
      <c r="AP186" s="287">
        <v>70671</v>
      </c>
      <c r="AQ186" s="287">
        <v>44935</v>
      </c>
      <c r="AR186" s="287">
        <v>25736</v>
      </c>
      <c r="AS186" s="287">
        <v>6377</v>
      </c>
      <c r="AT186" s="287">
        <v>2247</v>
      </c>
      <c r="AU186" s="287">
        <v>4130</v>
      </c>
      <c r="AV186" s="353">
        <f t="shared" si="34"/>
        <v>16602.312581365906</v>
      </c>
      <c r="AW186" s="353">
        <f t="shared" si="35"/>
        <v>12999.638581829173</v>
      </c>
      <c r="AX186" s="353">
        <f t="shared" si="36"/>
        <v>3602.6739995367338</v>
      </c>
      <c r="AY186" s="390">
        <v>842950</v>
      </c>
      <c r="AZ186" s="390">
        <v>-842950</v>
      </c>
      <c r="BA186" s="401">
        <f t="shared" si="37"/>
        <v>6432.6954854999994</v>
      </c>
      <c r="BB186" s="401">
        <v>-9623</v>
      </c>
      <c r="BC186" s="401">
        <v>60</v>
      </c>
      <c r="BD186" s="401">
        <v>250</v>
      </c>
      <c r="BE186" s="401">
        <v>-2645</v>
      </c>
      <c r="BG186" s="426">
        <f t="shared" si="38"/>
        <v>0.70243287909385155</v>
      </c>
      <c r="BH186" s="426">
        <f t="shared" si="39"/>
        <v>6.3387869750661283E-2</v>
      </c>
      <c r="BI186" s="426">
        <f t="shared" si="40"/>
        <v>6.3937630693109482E-2</v>
      </c>
      <c r="BJ186" s="426">
        <f t="shared" si="41"/>
        <v>0.15930819544312166</v>
      </c>
      <c r="BK186" s="426">
        <f t="shared" si="42"/>
        <v>1.0933425019255941E-2</v>
      </c>
      <c r="BL186" s="425">
        <f t="shared" si="43"/>
        <v>100608912.40052232</v>
      </c>
      <c r="BN186" s="423">
        <f t="shared" si="44"/>
        <v>0.62768390920934536</v>
      </c>
      <c r="BO186" s="423">
        <f t="shared" si="45"/>
        <v>0.10073569282620562</v>
      </c>
      <c r="BP186" s="423">
        <f t="shared" si="46"/>
        <v>0.15688693601804091</v>
      </c>
      <c r="BQ186" s="423">
        <f t="shared" si="47"/>
        <v>0.10842426236943692</v>
      </c>
      <c r="BR186" s="423">
        <f t="shared" si="48"/>
        <v>2.6827887315488411E-2</v>
      </c>
      <c r="BS186" s="423">
        <f t="shared" si="49"/>
        <v>-2.055868773851742E-2</v>
      </c>
      <c r="BT186" s="425">
        <f t="shared" si="50"/>
        <v>41002110.492872931</v>
      </c>
    </row>
    <row r="187" spans="1:72" x14ac:dyDescent="0.2">
      <c r="A187" s="309">
        <v>545</v>
      </c>
      <c r="B187" s="278" t="s">
        <v>286</v>
      </c>
      <c r="C187" s="278">
        <v>15</v>
      </c>
      <c r="D187" s="279">
        <v>9387</v>
      </c>
      <c r="E187" s="364">
        <v>57709000</v>
      </c>
      <c r="F187" s="279">
        <v>26272806</v>
      </c>
      <c r="G187" s="278">
        <v>2174461.9849999999</v>
      </c>
      <c r="H187" s="279">
        <v>2903826.3898999998</v>
      </c>
      <c r="I187" s="279">
        <v>28120496.533878386</v>
      </c>
      <c r="J187" s="279">
        <v>81680</v>
      </c>
      <c r="K187" s="279">
        <v>295000</v>
      </c>
      <c r="L187" s="280">
        <v>-18867.87</v>
      </c>
      <c r="M187" s="369">
        <v>2158138.7787783844</v>
      </c>
      <c r="N187" s="370">
        <v>229.90718853503617</v>
      </c>
      <c r="P187" s="365">
        <v>23501504.849942856</v>
      </c>
      <c r="Q187" s="283">
        <v>11942973</v>
      </c>
      <c r="R187" s="279">
        <v>2903826.3898999998</v>
      </c>
      <c r="S187" s="279">
        <v>1408311.7338579432</v>
      </c>
      <c r="T187" s="280">
        <v>9153980.0420172717</v>
      </c>
      <c r="U187" s="280">
        <v>83153.343143488746</v>
      </c>
      <c r="V187" s="279">
        <v>81680</v>
      </c>
      <c r="W187" s="279">
        <v>295000</v>
      </c>
      <c r="X187" s="279">
        <v>113050.3099025191</v>
      </c>
      <c r="Y187" s="354">
        <v>2480469.9688783661</v>
      </c>
      <c r="Z187" s="355">
        <v>264.24522945332546</v>
      </c>
      <c r="AB187" s="366">
        <v>322331.19009998161</v>
      </c>
      <c r="AC187" s="349">
        <v>34.338040918289295</v>
      </c>
      <c r="AE187" s="374">
        <v>-29.893778857111954</v>
      </c>
      <c r="AF187" s="350">
        <v>-9.3380409182892947</v>
      </c>
      <c r="AG187" s="350">
        <v>0</v>
      </c>
      <c r="AH187" s="350">
        <v>0</v>
      </c>
      <c r="AI187" s="350">
        <v>0</v>
      </c>
      <c r="AJ187" s="408">
        <v>-2823</v>
      </c>
      <c r="AK187" s="387">
        <v>-54886</v>
      </c>
      <c r="AL187" s="287">
        <v>-159</v>
      </c>
      <c r="AM187" s="287">
        <v>-2664</v>
      </c>
      <c r="AN187" s="287">
        <v>-20838</v>
      </c>
      <c r="AO187" s="287">
        <v>-34048</v>
      </c>
      <c r="AP187" s="287">
        <v>26273</v>
      </c>
      <c r="AQ187" s="287">
        <v>14330</v>
      </c>
      <c r="AR187" s="287">
        <v>11943</v>
      </c>
      <c r="AS187" s="287">
        <v>2174</v>
      </c>
      <c r="AT187" s="287">
        <v>766</v>
      </c>
      <c r="AU187" s="287">
        <v>1408</v>
      </c>
      <c r="AV187" s="353">
        <f t="shared" si="34"/>
        <v>28183.308663878386</v>
      </c>
      <c r="AW187" s="353">
        <f t="shared" si="35"/>
        <v>19145.108180849333</v>
      </c>
      <c r="AX187" s="353">
        <f t="shared" si="36"/>
        <v>9038.2004830290516</v>
      </c>
      <c r="AY187" s="390">
        <v>280613</v>
      </c>
      <c r="AZ187" s="390">
        <v>-280613</v>
      </c>
      <c r="BA187" s="401">
        <f t="shared" si="37"/>
        <v>2903.8263898999999</v>
      </c>
      <c r="BB187" s="401">
        <v>-8002</v>
      </c>
      <c r="BC187" s="401">
        <v>900</v>
      </c>
      <c r="BD187" s="401">
        <v>250</v>
      </c>
      <c r="BE187" s="401">
        <v>-3616</v>
      </c>
      <c r="BG187" s="426">
        <f t="shared" si="38"/>
        <v>0.4389902264686209</v>
      </c>
      <c r="BH187" s="426">
        <f t="shared" si="39"/>
        <v>3.6332912413031063E-2</v>
      </c>
      <c r="BI187" s="426">
        <f t="shared" si="40"/>
        <v>4.8519804261781513E-2</v>
      </c>
      <c r="BJ187" s="426">
        <f t="shared" si="41"/>
        <v>0.47122792531240476</v>
      </c>
      <c r="BK187" s="426">
        <f t="shared" si="42"/>
        <v>4.9291315441617909E-3</v>
      </c>
      <c r="BL187" s="425">
        <f t="shared" si="43"/>
        <v>59848270.908778384</v>
      </c>
      <c r="BN187" s="423">
        <f t="shared" si="44"/>
        <v>0.46673548390087094</v>
      </c>
      <c r="BO187" s="423">
        <f t="shared" si="45"/>
        <v>5.5037305919176216E-2</v>
      </c>
      <c r="BP187" s="423">
        <f t="shared" si="46"/>
        <v>0.11348253196704837</v>
      </c>
      <c r="BQ187" s="423">
        <f t="shared" si="47"/>
        <v>0.36418242549027963</v>
      </c>
      <c r="BR187" s="423">
        <f t="shared" si="48"/>
        <v>1.1528701249743839E-2</v>
      </c>
      <c r="BS187" s="423">
        <f t="shared" si="49"/>
        <v>-1.0966448527118949E-2</v>
      </c>
      <c r="BT187" s="425">
        <f t="shared" si="50"/>
        <v>25588311.606786992</v>
      </c>
    </row>
    <row r="188" spans="1:72" x14ac:dyDescent="0.2">
      <c r="A188" s="309">
        <v>560</v>
      </c>
      <c r="B188" s="278" t="s">
        <v>118</v>
      </c>
      <c r="C188" s="278">
        <v>7</v>
      </c>
      <c r="D188" s="279">
        <v>16326</v>
      </c>
      <c r="E188" s="364">
        <v>86780000</v>
      </c>
      <c r="F188" s="279">
        <v>47772164</v>
      </c>
      <c r="G188" s="278">
        <v>2185627.875</v>
      </c>
      <c r="H188" s="279">
        <v>4456746.4529999997</v>
      </c>
      <c r="I188" s="279">
        <v>34111183.656698674</v>
      </c>
      <c r="J188" s="279">
        <v>-1717126</v>
      </c>
      <c r="K188" s="279">
        <v>1455000</v>
      </c>
      <c r="L188" s="280">
        <v>-32815.259999999995</v>
      </c>
      <c r="M188" s="369">
        <v>1516411.244698683</v>
      </c>
      <c r="N188" s="370">
        <v>92.883207442036195</v>
      </c>
      <c r="P188" s="365">
        <v>33650942.41896759</v>
      </c>
      <c r="Q188" s="283">
        <v>20825754</v>
      </c>
      <c r="R188" s="279">
        <v>4456746.4529999997</v>
      </c>
      <c r="S188" s="279">
        <v>1415543.4325560317</v>
      </c>
      <c r="T188" s="280">
        <v>11645523.887363058</v>
      </c>
      <c r="U188" s="280">
        <v>-1795214.7433277408</v>
      </c>
      <c r="V188" s="279">
        <v>-1717126</v>
      </c>
      <c r="W188" s="279">
        <v>1455000</v>
      </c>
      <c r="X188" s="279">
        <v>197457.14015449808</v>
      </c>
      <c r="Y188" s="354">
        <v>2832741.7507782504</v>
      </c>
      <c r="Z188" s="355">
        <v>173.51107134498656</v>
      </c>
      <c r="AB188" s="366">
        <v>1316330.5060795674</v>
      </c>
      <c r="AC188" s="349">
        <v>80.627863902950352</v>
      </c>
      <c r="AE188" s="374">
        <v>-76.18360184177395</v>
      </c>
      <c r="AF188" s="350">
        <v>-55.627863902951276</v>
      </c>
      <c r="AG188" s="350">
        <v>-30.627863902951276</v>
      </c>
      <c r="AH188" s="350">
        <v>-5.627863902951276</v>
      </c>
      <c r="AI188" s="350">
        <v>0</v>
      </c>
      <c r="AJ188" s="408">
        <v>-3500</v>
      </c>
      <c r="AK188" s="387">
        <v>-83280</v>
      </c>
      <c r="AL188" s="287">
        <v>0</v>
      </c>
      <c r="AM188" s="287">
        <v>-3500</v>
      </c>
      <c r="AN188" s="287">
        <v>-30151</v>
      </c>
      <c r="AO188" s="287">
        <v>-53129</v>
      </c>
      <c r="AP188" s="287">
        <v>47772</v>
      </c>
      <c r="AQ188" s="287">
        <v>26946</v>
      </c>
      <c r="AR188" s="287">
        <v>20826</v>
      </c>
      <c r="AS188" s="287">
        <v>2186</v>
      </c>
      <c r="AT188" s="287">
        <v>770</v>
      </c>
      <c r="AU188" s="287">
        <v>1416</v>
      </c>
      <c r="AV188" s="353">
        <f t="shared" si="34"/>
        <v>32361.242396698672</v>
      </c>
      <c r="AW188" s="353">
        <f t="shared" si="35"/>
        <v>25471.832736332155</v>
      </c>
      <c r="AX188" s="353">
        <f t="shared" si="36"/>
        <v>6889.4096603665157</v>
      </c>
      <c r="AY188" s="390">
        <v>1243773</v>
      </c>
      <c r="AZ188" s="390">
        <v>-1243773</v>
      </c>
      <c r="BA188" s="401">
        <f t="shared" si="37"/>
        <v>4456.7464529999997</v>
      </c>
      <c r="BB188" s="401">
        <v>-13724</v>
      </c>
      <c r="BC188" s="401">
        <v>0</v>
      </c>
      <c r="BD188" s="401">
        <v>85</v>
      </c>
      <c r="BE188" s="401">
        <v>-9190</v>
      </c>
      <c r="BG188" s="426">
        <f t="shared" si="38"/>
        <v>0.54124425214084582</v>
      </c>
      <c r="BH188" s="426">
        <f t="shared" si="39"/>
        <v>2.476250656475518E-2</v>
      </c>
      <c r="BI188" s="426">
        <f t="shared" si="40"/>
        <v>5.0493597085854269E-2</v>
      </c>
      <c r="BJ188" s="426">
        <f t="shared" si="41"/>
        <v>0.36701493175413435</v>
      </c>
      <c r="BK188" s="426">
        <f t="shared" si="42"/>
        <v>1.6484712454410286E-2</v>
      </c>
      <c r="BL188" s="425">
        <f t="shared" si="43"/>
        <v>88263595.984698683</v>
      </c>
      <c r="BN188" s="423">
        <f t="shared" si="44"/>
        <v>0.59430068082156984</v>
      </c>
      <c r="BO188" s="423">
        <f t="shared" si="45"/>
        <v>4.0395100494347122E-2</v>
      </c>
      <c r="BP188" s="423">
        <f t="shared" si="46"/>
        <v>0.12718134725239799</v>
      </c>
      <c r="BQ188" s="423">
        <f t="shared" si="47"/>
        <v>0.23209513949635172</v>
      </c>
      <c r="BR188" s="423">
        <f t="shared" si="48"/>
        <v>4.1521065244282833E-2</v>
      </c>
      <c r="BS188" s="423">
        <f t="shared" si="49"/>
        <v>-3.5493333308949319E-2</v>
      </c>
      <c r="BT188" s="425">
        <f t="shared" si="50"/>
        <v>35042453.54592254</v>
      </c>
    </row>
    <row r="189" spans="1:72" x14ac:dyDescent="0.2">
      <c r="A189" s="309">
        <v>561</v>
      </c>
      <c r="B189" s="278" t="s">
        <v>119</v>
      </c>
      <c r="C189" s="278">
        <v>2</v>
      </c>
      <c r="D189" s="279">
        <v>1377</v>
      </c>
      <c r="E189" s="364">
        <v>8183000</v>
      </c>
      <c r="F189" s="279">
        <v>3391461</v>
      </c>
      <c r="G189" s="278">
        <v>300171.14</v>
      </c>
      <c r="H189" s="279">
        <v>340180.83500000002</v>
      </c>
      <c r="I189" s="279">
        <v>4034431.939181895</v>
      </c>
      <c r="J189" s="279">
        <v>-238740</v>
      </c>
      <c r="K189" s="279">
        <v>-44000</v>
      </c>
      <c r="L189" s="280">
        <v>10145.510357700783</v>
      </c>
      <c r="M189" s="369">
        <v>-409640.5961758052</v>
      </c>
      <c r="N189" s="370">
        <v>-297.48772416543585</v>
      </c>
      <c r="P189" s="365">
        <v>3275823.5760000004</v>
      </c>
      <c r="Q189" s="283">
        <v>1364020</v>
      </c>
      <c r="R189" s="279">
        <v>340180.83500000002</v>
      </c>
      <c r="S189" s="279">
        <v>194408.79700065922</v>
      </c>
      <c r="T189" s="280">
        <v>1393257.5880032992</v>
      </c>
      <c r="U189" s="280">
        <v>-94576.398567229669</v>
      </c>
      <c r="V189" s="279">
        <v>-238740</v>
      </c>
      <c r="W189" s="279">
        <v>-44000</v>
      </c>
      <c r="X189" s="279">
        <v>16815.56516069045</v>
      </c>
      <c r="Y189" s="354">
        <v>-344457.18940258119</v>
      </c>
      <c r="Z189" s="355">
        <v>-250.15046434464864</v>
      </c>
      <c r="AB189" s="366">
        <v>65183.406773224007</v>
      </c>
      <c r="AC189" s="349">
        <v>47.337259820787224</v>
      </c>
      <c r="AE189" s="374">
        <v>-42.89299775961058</v>
      </c>
      <c r="AF189" s="350">
        <v>-22.337259820787892</v>
      </c>
      <c r="AG189" s="350">
        <v>0</v>
      </c>
      <c r="AH189" s="350">
        <v>0</v>
      </c>
      <c r="AI189" s="350">
        <v>0</v>
      </c>
      <c r="AJ189" s="408">
        <v>-393</v>
      </c>
      <c r="AK189" s="387">
        <v>-7790</v>
      </c>
      <c r="AL189" s="287">
        <v>0</v>
      </c>
      <c r="AM189" s="287">
        <v>-393</v>
      </c>
      <c r="AN189" s="287">
        <v>-2883</v>
      </c>
      <c r="AO189" s="287">
        <v>-4907</v>
      </c>
      <c r="AP189" s="287">
        <v>3391</v>
      </c>
      <c r="AQ189" s="287">
        <v>2027</v>
      </c>
      <c r="AR189" s="287">
        <v>1364</v>
      </c>
      <c r="AS189" s="287">
        <v>300</v>
      </c>
      <c r="AT189" s="287">
        <v>106</v>
      </c>
      <c r="AU189" s="287">
        <v>194</v>
      </c>
      <c r="AV189" s="353">
        <f t="shared" si="34"/>
        <v>3805.837449539596</v>
      </c>
      <c r="AW189" s="353">
        <f t="shared" si="35"/>
        <v>2804.9599180185105</v>
      </c>
      <c r="AX189" s="353">
        <f t="shared" si="36"/>
        <v>1000.8775315210856</v>
      </c>
      <c r="AY189" s="390">
        <v>59064</v>
      </c>
      <c r="AZ189" s="390">
        <v>-59064</v>
      </c>
      <c r="BA189" s="401">
        <f t="shared" si="37"/>
        <v>340.180835</v>
      </c>
      <c r="BB189" s="401">
        <v>-655</v>
      </c>
      <c r="BC189" s="401">
        <v>22</v>
      </c>
      <c r="BD189" s="401">
        <v>0</v>
      </c>
      <c r="BE189" s="401">
        <v>-588</v>
      </c>
      <c r="BG189" s="426">
        <f t="shared" si="38"/>
        <v>0.43572414193772857</v>
      </c>
      <c r="BH189" s="426">
        <f t="shared" si="39"/>
        <v>3.8565035072191542E-2</v>
      </c>
      <c r="BI189" s="426">
        <f t="shared" si="40"/>
        <v>4.3705353661455941E-2</v>
      </c>
      <c r="BJ189" s="426">
        <f t="shared" si="41"/>
        <v>0.48765844963571281</v>
      </c>
      <c r="BK189" s="426">
        <f t="shared" si="42"/>
        <v>-5.6529803070889083E-3</v>
      </c>
      <c r="BL189" s="425">
        <f t="shared" si="43"/>
        <v>7783504.9141818956</v>
      </c>
      <c r="BN189" s="423">
        <f t="shared" si="44"/>
        <v>0.47768381431549473</v>
      </c>
      <c r="BO189" s="423">
        <f t="shared" si="45"/>
        <v>6.8082532285275582E-2</v>
      </c>
      <c r="BP189" s="423">
        <f t="shared" si="46"/>
        <v>0.11913232857277016</v>
      </c>
      <c r="BQ189" s="423">
        <f t="shared" si="47"/>
        <v>0.37119452084274718</v>
      </c>
      <c r="BR189" s="423">
        <f t="shared" si="48"/>
        <v>-1.5408929363119137E-2</v>
      </c>
      <c r="BS189" s="423">
        <f t="shared" si="49"/>
        <v>-2.0684266653168581E-2</v>
      </c>
      <c r="BT189" s="425">
        <f t="shared" si="50"/>
        <v>2855487.1635217452</v>
      </c>
    </row>
    <row r="190" spans="1:72" x14ac:dyDescent="0.2">
      <c r="A190" s="309">
        <v>562</v>
      </c>
      <c r="B190" s="278" t="s">
        <v>120</v>
      </c>
      <c r="C190" s="278">
        <v>6</v>
      </c>
      <c r="D190" s="279">
        <v>9408</v>
      </c>
      <c r="E190" s="364">
        <v>57009000</v>
      </c>
      <c r="F190" s="279">
        <v>29151180</v>
      </c>
      <c r="G190" s="278">
        <v>1635714.5349999999</v>
      </c>
      <c r="H190" s="279">
        <v>3035265.929</v>
      </c>
      <c r="I190" s="279">
        <v>24338820.013175424</v>
      </c>
      <c r="J190" s="279">
        <v>-532671</v>
      </c>
      <c r="K190" s="279">
        <v>-210000</v>
      </c>
      <c r="L190" s="280">
        <v>1333600.1346297546</v>
      </c>
      <c r="M190" s="369">
        <v>-924290.65745432512</v>
      </c>
      <c r="N190" s="370">
        <v>-98.245180426692727</v>
      </c>
      <c r="P190" s="365">
        <v>23334759.022784166</v>
      </c>
      <c r="Q190" s="283">
        <v>13788414</v>
      </c>
      <c r="R190" s="279">
        <v>3035265.929</v>
      </c>
      <c r="S190" s="279">
        <v>1059386.6385217533</v>
      </c>
      <c r="T190" s="280">
        <v>5886201.7988929572</v>
      </c>
      <c r="U190" s="280">
        <v>-387164.52946542879</v>
      </c>
      <c r="V190" s="279">
        <v>-532671</v>
      </c>
      <c r="W190" s="279">
        <v>-210000</v>
      </c>
      <c r="X190" s="279">
        <v>115292.03383122318</v>
      </c>
      <c r="Y190" s="354">
        <v>-580034.1520036608</v>
      </c>
      <c r="Z190" s="355">
        <v>-61.65328996637551</v>
      </c>
      <c r="AB190" s="366">
        <v>344256.50545066432</v>
      </c>
      <c r="AC190" s="349">
        <v>36.591890460317209</v>
      </c>
      <c r="AE190" s="374">
        <v>-32.147628399140672</v>
      </c>
      <c r="AF190" s="350">
        <v>-11.591890460317998</v>
      </c>
      <c r="AG190" s="350">
        <v>0</v>
      </c>
      <c r="AH190" s="350">
        <v>0</v>
      </c>
      <c r="AI190" s="350">
        <v>0</v>
      </c>
      <c r="AJ190" s="408">
        <v>-3077</v>
      </c>
      <c r="AK190" s="387">
        <v>-53932</v>
      </c>
      <c r="AL190" s="287">
        <v>0</v>
      </c>
      <c r="AM190" s="287">
        <v>-3077</v>
      </c>
      <c r="AN190" s="287">
        <v>-20258</v>
      </c>
      <c r="AO190" s="287">
        <v>-33674</v>
      </c>
      <c r="AP190" s="287">
        <v>29151</v>
      </c>
      <c r="AQ190" s="287">
        <v>15363</v>
      </c>
      <c r="AR190" s="287">
        <v>13788</v>
      </c>
      <c r="AS190" s="287">
        <v>1636</v>
      </c>
      <c r="AT190" s="287">
        <v>577</v>
      </c>
      <c r="AU190" s="287">
        <v>1059</v>
      </c>
      <c r="AV190" s="353">
        <f t="shared" si="34"/>
        <v>25139.749147805182</v>
      </c>
      <c r="AW190" s="353">
        <f t="shared" si="35"/>
        <v>20475.827766356768</v>
      </c>
      <c r="AX190" s="353">
        <f t="shared" si="36"/>
        <v>4663.9213814484137</v>
      </c>
      <c r="AY190" s="390">
        <v>302445</v>
      </c>
      <c r="AZ190" s="390">
        <v>-302445</v>
      </c>
      <c r="BA190" s="401">
        <f t="shared" si="37"/>
        <v>3035.2659290000001</v>
      </c>
      <c r="BB190" s="401">
        <v>-3327</v>
      </c>
      <c r="BC190" s="401">
        <v>13</v>
      </c>
      <c r="BD190" s="401">
        <v>360</v>
      </c>
      <c r="BE190" s="401">
        <v>-1343</v>
      </c>
      <c r="BG190" s="426">
        <f t="shared" si="38"/>
        <v>0.50769833290873878</v>
      </c>
      <c r="BH190" s="426">
        <f t="shared" si="39"/>
        <v>2.8487681889175422E-2</v>
      </c>
      <c r="BI190" s="426">
        <f t="shared" si="40"/>
        <v>5.2862335318432881E-2</v>
      </c>
      <c r="BJ190" s="426">
        <f t="shared" si="41"/>
        <v>0.41460901983954607</v>
      </c>
      <c r="BK190" s="426">
        <f t="shared" si="42"/>
        <v>-3.6573699558932137E-3</v>
      </c>
      <c r="BL190" s="425">
        <f t="shared" si="43"/>
        <v>57418309.477175429</v>
      </c>
      <c r="BN190" s="423">
        <f t="shared" si="44"/>
        <v>0.6172906585032969</v>
      </c>
      <c r="BO190" s="423">
        <f t="shared" si="45"/>
        <v>4.7427461613981654E-2</v>
      </c>
      <c r="BP190" s="423">
        <f t="shared" si="46"/>
        <v>0.13588519347076691</v>
      </c>
      <c r="BQ190" s="423">
        <f t="shared" si="47"/>
        <v>0.22233822576138787</v>
      </c>
      <c r="BR190" s="423">
        <f t="shared" si="48"/>
        <v>-9.4014466265440206E-3</v>
      </c>
      <c r="BS190" s="423">
        <f t="shared" si="49"/>
        <v>-1.3540092722889233E-2</v>
      </c>
      <c r="BT190" s="425">
        <f t="shared" si="50"/>
        <v>22336987.948970165</v>
      </c>
    </row>
    <row r="191" spans="1:72" x14ac:dyDescent="0.2">
      <c r="A191" s="309">
        <v>563</v>
      </c>
      <c r="B191" s="278" t="s">
        <v>121</v>
      </c>
      <c r="C191" s="278">
        <v>17</v>
      </c>
      <c r="D191" s="279">
        <v>7610</v>
      </c>
      <c r="E191" s="364">
        <v>49769000</v>
      </c>
      <c r="F191" s="279">
        <v>21860852</v>
      </c>
      <c r="G191" s="278">
        <v>1079346.0649999999</v>
      </c>
      <c r="H191" s="279">
        <v>1846394.1214999999</v>
      </c>
      <c r="I191" s="279">
        <v>25097967.6668154</v>
      </c>
      <c r="J191" s="279">
        <v>-430142</v>
      </c>
      <c r="K191" s="279">
        <v>306000</v>
      </c>
      <c r="L191" s="280">
        <v>-15296.099999999999</v>
      </c>
      <c r="M191" s="369">
        <v>6713.9533153980956</v>
      </c>
      <c r="N191" s="370">
        <v>0.88225404932957896</v>
      </c>
      <c r="P191" s="365">
        <v>20691096.025254238</v>
      </c>
      <c r="Q191" s="283">
        <v>10065237</v>
      </c>
      <c r="R191" s="279">
        <v>1846394.1214999999</v>
      </c>
      <c r="S191" s="279">
        <v>699049.115927818</v>
      </c>
      <c r="T191" s="280">
        <v>7709423.7491605468</v>
      </c>
      <c r="U191" s="280">
        <v>620725.80664826208</v>
      </c>
      <c r="V191" s="279">
        <v>-430142</v>
      </c>
      <c r="W191" s="279">
        <v>306000</v>
      </c>
      <c r="X191" s="279">
        <v>92175.461894046355</v>
      </c>
      <c r="Y191" s="354">
        <v>217767.22987643629</v>
      </c>
      <c r="Z191" s="355">
        <v>28.615930338559302</v>
      </c>
      <c r="AB191" s="366">
        <v>211053.27656103819</v>
      </c>
      <c r="AC191" s="349">
        <v>27.733676289229724</v>
      </c>
      <c r="AE191" s="374">
        <v>-23.28941422805239</v>
      </c>
      <c r="AF191" s="350">
        <v>-2.7336762892297237</v>
      </c>
      <c r="AG191" s="350">
        <v>0</v>
      </c>
      <c r="AH191" s="350">
        <v>0</v>
      </c>
      <c r="AI191" s="350">
        <v>0</v>
      </c>
      <c r="AJ191" s="408">
        <v>-2422</v>
      </c>
      <c r="AK191" s="387">
        <v>-47347</v>
      </c>
      <c r="AL191" s="287">
        <v>-199</v>
      </c>
      <c r="AM191" s="287">
        <v>-2223</v>
      </c>
      <c r="AN191" s="287">
        <v>-18468</v>
      </c>
      <c r="AO191" s="287">
        <v>-28879</v>
      </c>
      <c r="AP191" s="287">
        <v>21861</v>
      </c>
      <c r="AQ191" s="287">
        <v>11796</v>
      </c>
      <c r="AR191" s="287">
        <v>10065</v>
      </c>
      <c r="AS191" s="287">
        <v>1079</v>
      </c>
      <c r="AT191" s="287">
        <v>380</v>
      </c>
      <c r="AU191" s="287">
        <v>699</v>
      </c>
      <c r="AV191" s="353">
        <f t="shared" si="34"/>
        <v>24652.529566815399</v>
      </c>
      <c r="AW191" s="353">
        <f t="shared" si="35"/>
        <v>16929.754453282068</v>
      </c>
      <c r="AX191" s="353">
        <f t="shared" si="36"/>
        <v>7722.7751135333301</v>
      </c>
      <c r="AY191" s="390">
        <v>177232</v>
      </c>
      <c r="AZ191" s="390">
        <v>-177232</v>
      </c>
      <c r="BA191" s="401">
        <f t="shared" si="37"/>
        <v>1846.3941215</v>
      </c>
      <c r="BB191" s="401">
        <v>-5450</v>
      </c>
      <c r="BC191" s="401">
        <v>352</v>
      </c>
      <c r="BD191" s="401">
        <v>100</v>
      </c>
      <c r="BE191" s="401">
        <v>-2694</v>
      </c>
      <c r="BG191" s="426">
        <f t="shared" si="38"/>
        <v>0.43932211470654825</v>
      </c>
      <c r="BH191" s="426">
        <f t="shared" si="39"/>
        <v>2.169085613753716E-2</v>
      </c>
      <c r="BI191" s="426">
        <f t="shared" si="40"/>
        <v>3.7105679597442924E-2</v>
      </c>
      <c r="BJ191" s="426">
        <f t="shared" si="41"/>
        <v>0.49573188351294867</v>
      </c>
      <c r="BK191" s="426">
        <f t="shared" si="42"/>
        <v>6.1494660455230091E-3</v>
      </c>
      <c r="BL191" s="425">
        <f t="shared" si="43"/>
        <v>49760417.853315398</v>
      </c>
      <c r="BN191" s="423">
        <f t="shared" si="44"/>
        <v>0.48766970004037807</v>
      </c>
      <c r="BO191" s="423">
        <f t="shared" si="45"/>
        <v>3.3869552468363186E-2</v>
      </c>
      <c r="BP191" s="423">
        <f t="shared" si="46"/>
        <v>8.9459440188862163E-2</v>
      </c>
      <c r="BQ191" s="423">
        <f t="shared" si="47"/>
        <v>0.38276240440816267</v>
      </c>
      <c r="BR191" s="423">
        <f t="shared" si="48"/>
        <v>1.4825972623630789E-2</v>
      </c>
      <c r="BS191" s="423">
        <f t="shared" si="49"/>
        <v>-8.587069729396964E-3</v>
      </c>
      <c r="BT191" s="425">
        <f t="shared" si="50"/>
        <v>20639455.350961149</v>
      </c>
    </row>
    <row r="192" spans="1:72" x14ac:dyDescent="0.2">
      <c r="A192" s="309">
        <v>309</v>
      </c>
      <c r="B192" s="278" t="s">
        <v>81</v>
      </c>
      <c r="C192" s="278">
        <v>12</v>
      </c>
      <c r="D192" s="279">
        <v>7139</v>
      </c>
      <c r="E192" s="364">
        <v>42333000</v>
      </c>
      <c r="F192" s="279">
        <v>19544122</v>
      </c>
      <c r="G192" s="278">
        <v>1164423.395</v>
      </c>
      <c r="H192" s="279">
        <v>1789455.6545000002</v>
      </c>
      <c r="I192" s="279">
        <v>21262785.033609565</v>
      </c>
      <c r="J192" s="279">
        <v>-524543</v>
      </c>
      <c r="K192" s="279">
        <v>320000</v>
      </c>
      <c r="L192" s="280">
        <v>-14349.389999999998</v>
      </c>
      <c r="M192" s="369">
        <v>1237592.473109565</v>
      </c>
      <c r="N192" s="370">
        <v>173.35655877707873</v>
      </c>
      <c r="P192" s="365">
        <v>14987631.885714285</v>
      </c>
      <c r="Q192" s="283">
        <v>9195036</v>
      </c>
      <c r="R192" s="279">
        <v>1789455.6545000002</v>
      </c>
      <c r="S192" s="279">
        <v>754150.28713744227</v>
      </c>
      <c r="T192" s="280">
        <v>4637813.3395814924</v>
      </c>
      <c r="U192" s="280">
        <v>54965.086899588554</v>
      </c>
      <c r="V192" s="279">
        <v>-524543</v>
      </c>
      <c r="W192" s="279">
        <v>320000</v>
      </c>
      <c r="X192" s="279">
        <v>85461.92979634169</v>
      </c>
      <c r="Y192" s="354">
        <v>1324707.4122005794</v>
      </c>
      <c r="Z192" s="355">
        <v>185.55923969751777</v>
      </c>
      <c r="AB192" s="366">
        <v>87114.939091014443</v>
      </c>
      <c r="AC192" s="349">
        <v>12.202680920439059</v>
      </c>
      <c r="AE192" s="374">
        <v>-7.7584188592616954</v>
      </c>
      <c r="AF192" s="350">
        <v>0</v>
      </c>
      <c r="AG192" s="350">
        <v>0</v>
      </c>
      <c r="AH192" s="350">
        <v>0</v>
      </c>
      <c r="AI192" s="350">
        <v>0</v>
      </c>
      <c r="AJ192" s="408">
        <v>-2016</v>
      </c>
      <c r="AK192" s="387">
        <v>-40317</v>
      </c>
      <c r="AL192" s="287">
        <v>-48</v>
      </c>
      <c r="AM192" s="287">
        <v>-1968</v>
      </c>
      <c r="AN192" s="287">
        <v>-13020</v>
      </c>
      <c r="AO192" s="287">
        <v>-27297</v>
      </c>
      <c r="AP192" s="287">
        <v>19544</v>
      </c>
      <c r="AQ192" s="287">
        <v>10349</v>
      </c>
      <c r="AR192" s="287">
        <v>9195</v>
      </c>
      <c r="AS192" s="287">
        <v>1164</v>
      </c>
      <c r="AT192" s="287">
        <v>410</v>
      </c>
      <c r="AU192" s="287">
        <v>754</v>
      </c>
      <c r="AV192" s="353">
        <f t="shared" si="34"/>
        <v>20723.892643609564</v>
      </c>
      <c r="AW192" s="353">
        <f t="shared" si="35"/>
        <v>16611.044569364753</v>
      </c>
      <c r="AX192" s="353">
        <f t="shared" si="36"/>
        <v>4112.8480742448119</v>
      </c>
      <c r="AY192" s="390">
        <v>55387</v>
      </c>
      <c r="AZ192" s="390">
        <v>-55387</v>
      </c>
      <c r="BA192" s="401">
        <f t="shared" si="37"/>
        <v>1789.4556545000003</v>
      </c>
      <c r="BB192" s="401">
        <v>-2325</v>
      </c>
      <c r="BC192" s="401">
        <v>22</v>
      </c>
      <c r="BD192" s="401">
        <v>27</v>
      </c>
      <c r="BE192" s="401">
        <v>324</v>
      </c>
      <c r="BG192" s="426">
        <f t="shared" si="38"/>
        <v>0.44871000381524889</v>
      </c>
      <c r="BH192" s="426">
        <f t="shared" si="39"/>
        <v>2.6733788604728064E-2</v>
      </c>
      <c r="BI192" s="426">
        <f t="shared" si="40"/>
        <v>4.1083792536595595E-2</v>
      </c>
      <c r="BJ192" s="426">
        <f t="shared" si="41"/>
        <v>0.4761255922380398</v>
      </c>
      <c r="BK192" s="426">
        <f t="shared" si="42"/>
        <v>7.346822805387709E-3</v>
      </c>
      <c r="BL192" s="425">
        <f t="shared" si="43"/>
        <v>43556243.083109565</v>
      </c>
      <c r="BN192" s="423">
        <f t="shared" si="44"/>
        <v>0.56859547209128058</v>
      </c>
      <c r="BO192" s="423">
        <f t="shared" si="45"/>
        <v>4.6634557879130518E-2</v>
      </c>
      <c r="BP192" s="423">
        <f t="shared" si="46"/>
        <v>0.11065496455444428</v>
      </c>
      <c r="BQ192" s="423">
        <f t="shared" si="47"/>
        <v>0.25775209472889615</v>
      </c>
      <c r="BR192" s="423">
        <f t="shared" si="48"/>
        <v>1.9787910680198507E-2</v>
      </c>
      <c r="BS192" s="423">
        <f t="shared" si="49"/>
        <v>-3.4249999339499657E-3</v>
      </c>
      <c r="BT192" s="425">
        <f t="shared" si="50"/>
        <v>16171490.015882254</v>
      </c>
    </row>
    <row r="193" spans="1:72" x14ac:dyDescent="0.2">
      <c r="A193" s="309">
        <v>576</v>
      </c>
      <c r="B193" s="278" t="s">
        <v>122</v>
      </c>
      <c r="C193" s="278">
        <v>7</v>
      </c>
      <c r="D193" s="279">
        <v>3143</v>
      </c>
      <c r="E193" s="364">
        <v>20730000</v>
      </c>
      <c r="F193" s="279">
        <v>8468083</v>
      </c>
      <c r="G193" s="278">
        <v>1033323.6200000001</v>
      </c>
      <c r="H193" s="279">
        <v>1497095.1954000001</v>
      </c>
      <c r="I193" s="279">
        <v>9841303.3438354153</v>
      </c>
      <c r="J193" s="279">
        <v>-267610</v>
      </c>
      <c r="K193" s="279">
        <v>49000</v>
      </c>
      <c r="L193" s="280">
        <v>-6317.4299999999994</v>
      </c>
      <c r="M193" s="369">
        <v>-102487.41076458216</v>
      </c>
      <c r="N193" s="370">
        <v>-32.608148509252999</v>
      </c>
      <c r="P193" s="365">
        <v>7089338.5688375924</v>
      </c>
      <c r="Q193" s="283">
        <v>3833830</v>
      </c>
      <c r="R193" s="279">
        <v>1497095.1954000001</v>
      </c>
      <c r="S193" s="279">
        <v>669242.22587343445</v>
      </c>
      <c r="T193" s="280">
        <v>1007452.1205809875</v>
      </c>
      <c r="U193" s="280">
        <v>-21671.121886303838</v>
      </c>
      <c r="V193" s="279">
        <v>-267610</v>
      </c>
      <c r="W193" s="279">
        <v>49000</v>
      </c>
      <c r="X193" s="279">
        <v>38272.096070146828</v>
      </c>
      <c r="Y193" s="354">
        <v>-283728.05279932637</v>
      </c>
      <c r="Z193" s="355">
        <v>-90.273004390495188</v>
      </c>
      <c r="AB193" s="366">
        <v>-181240.6420347442</v>
      </c>
      <c r="AC193" s="349">
        <v>-57.66485588124219</v>
      </c>
      <c r="AE193" s="374">
        <v>62.109117942419523</v>
      </c>
      <c r="AF193" s="350">
        <v>32.66485588124219</v>
      </c>
      <c r="AG193" s="350">
        <v>7.6648558812421896</v>
      </c>
      <c r="AH193" s="350">
        <v>0</v>
      </c>
      <c r="AI193" s="350">
        <v>0</v>
      </c>
      <c r="AJ193" s="408">
        <v>-1402</v>
      </c>
      <c r="AK193" s="387">
        <v>-19328</v>
      </c>
      <c r="AL193" s="287">
        <v>0</v>
      </c>
      <c r="AM193" s="287">
        <v>-1402</v>
      </c>
      <c r="AN193" s="287">
        <v>-5687</v>
      </c>
      <c r="AO193" s="287">
        <v>-13641</v>
      </c>
      <c r="AP193" s="287">
        <v>8468</v>
      </c>
      <c r="AQ193" s="287">
        <v>4634</v>
      </c>
      <c r="AR193" s="287">
        <v>3834</v>
      </c>
      <c r="AS193" s="287">
        <v>1033</v>
      </c>
      <c r="AT193" s="287">
        <v>364</v>
      </c>
      <c r="AU193" s="287">
        <v>669</v>
      </c>
      <c r="AV193" s="353">
        <f t="shared" si="34"/>
        <v>9567.3759138354162</v>
      </c>
      <c r="AW193" s="353">
        <f t="shared" si="35"/>
        <v>8653.995957447707</v>
      </c>
      <c r="AX193" s="353">
        <f t="shared" si="36"/>
        <v>913.37995638770826</v>
      </c>
      <c r="AY193" s="390">
        <v>195209</v>
      </c>
      <c r="AZ193" s="390">
        <v>195209</v>
      </c>
      <c r="BA193" s="401">
        <f t="shared" si="37"/>
        <v>1497.0951954000002</v>
      </c>
      <c r="BB193" s="401">
        <v>-2000</v>
      </c>
      <c r="BC193" s="401">
        <v>82</v>
      </c>
      <c r="BD193" s="401">
        <v>0</v>
      </c>
      <c r="BE193" s="401">
        <v>-479</v>
      </c>
      <c r="BG193" s="426">
        <f t="shared" si="38"/>
        <v>0.41064947664817963</v>
      </c>
      <c r="BH193" s="426">
        <f t="shared" si="39"/>
        <v>5.0109783260414723E-2</v>
      </c>
      <c r="BI193" s="426">
        <f t="shared" si="40"/>
        <v>7.2599826723889496E-2</v>
      </c>
      <c r="BJ193" s="426">
        <f t="shared" si="41"/>
        <v>0.46426471743795783</v>
      </c>
      <c r="BK193" s="426">
        <f t="shared" si="42"/>
        <v>2.3761959295581776E-3</v>
      </c>
      <c r="BL193" s="425">
        <f t="shared" si="43"/>
        <v>20621195.159235418</v>
      </c>
      <c r="BN193" s="423">
        <f t="shared" si="44"/>
        <v>0.55063610946484631</v>
      </c>
      <c r="BO193" s="423">
        <f t="shared" si="45"/>
        <v>9.6120311945115416E-2</v>
      </c>
      <c r="BP193" s="423">
        <f t="shared" si="46"/>
        <v>0.21502118609681961</v>
      </c>
      <c r="BQ193" s="423">
        <f t="shared" si="47"/>
        <v>0.10314773598509162</v>
      </c>
      <c r="BR193" s="423">
        <f t="shared" si="48"/>
        <v>7.0376540858038744E-3</v>
      </c>
      <c r="BS193" s="423">
        <f t="shared" si="49"/>
        <v>2.8037002422323064E-2</v>
      </c>
      <c r="BT193" s="425">
        <f t="shared" si="50"/>
        <v>6962547.3776611434</v>
      </c>
    </row>
    <row r="194" spans="1:72" x14ac:dyDescent="0.2">
      <c r="A194" s="309">
        <v>578</v>
      </c>
      <c r="B194" s="278" t="s">
        <v>123</v>
      </c>
      <c r="C194" s="278">
        <v>18</v>
      </c>
      <c r="D194" s="279">
        <v>3488</v>
      </c>
      <c r="E194" s="364">
        <v>24821000</v>
      </c>
      <c r="F194" s="279">
        <v>9399565</v>
      </c>
      <c r="G194" s="278">
        <v>543315.45500000007</v>
      </c>
      <c r="H194" s="279">
        <v>1298723.956</v>
      </c>
      <c r="I194" s="279">
        <v>12697992.012396075</v>
      </c>
      <c r="J194" s="279">
        <v>1976</v>
      </c>
      <c r="K194" s="279">
        <v>-164000</v>
      </c>
      <c r="L194" s="280">
        <v>-7010.8799999999992</v>
      </c>
      <c r="M194" s="369">
        <v>-1036416.6966039267</v>
      </c>
      <c r="N194" s="370">
        <v>-297.13781439332763</v>
      </c>
      <c r="P194" s="365">
        <v>9719763.3416149076</v>
      </c>
      <c r="Q194" s="283">
        <v>4518249</v>
      </c>
      <c r="R194" s="279">
        <v>1298723.956</v>
      </c>
      <c r="S194" s="279">
        <v>351883.60879202379</v>
      </c>
      <c r="T194" s="280">
        <v>2926976.8845328935</v>
      </c>
      <c r="U194" s="280">
        <v>-111411.39858361702</v>
      </c>
      <c r="V194" s="279">
        <v>1976</v>
      </c>
      <c r="W194" s="279">
        <v>-164000</v>
      </c>
      <c r="X194" s="279">
        <v>41602.866468314845</v>
      </c>
      <c r="Y194" s="354">
        <v>-855762.42440529354</v>
      </c>
      <c r="Z194" s="355">
        <v>-245.34473176757268</v>
      </c>
      <c r="AB194" s="366">
        <v>180654.27219863317</v>
      </c>
      <c r="AC194" s="349">
        <v>51.793082625754927</v>
      </c>
      <c r="AE194" s="374">
        <v>-47.348820564577636</v>
      </c>
      <c r="AF194" s="350">
        <v>-26.793082625754948</v>
      </c>
      <c r="AG194" s="350">
        <v>-1.7930826257549484</v>
      </c>
      <c r="AH194" s="350">
        <v>0</v>
      </c>
      <c r="AI194" s="350">
        <v>0</v>
      </c>
      <c r="AJ194" s="408">
        <v>-1016</v>
      </c>
      <c r="AK194" s="387">
        <v>-23805</v>
      </c>
      <c r="AL194" s="287">
        <v>0</v>
      </c>
      <c r="AM194" s="287">
        <v>-1016</v>
      </c>
      <c r="AN194" s="287">
        <v>-8704</v>
      </c>
      <c r="AO194" s="287">
        <v>-15101</v>
      </c>
      <c r="AP194" s="287">
        <v>9400</v>
      </c>
      <c r="AQ194" s="287">
        <v>4882</v>
      </c>
      <c r="AR194" s="287">
        <v>4518</v>
      </c>
      <c r="AS194" s="287">
        <v>543</v>
      </c>
      <c r="AT194" s="287">
        <v>191</v>
      </c>
      <c r="AU194" s="287">
        <v>352</v>
      </c>
      <c r="AV194" s="353">
        <f t="shared" si="34"/>
        <v>12692.957132396074</v>
      </c>
      <c r="AW194" s="353">
        <f t="shared" si="35"/>
        <v>10040.568332576044</v>
      </c>
      <c r="AX194" s="353">
        <f t="shared" si="36"/>
        <v>2652.3887998200298</v>
      </c>
      <c r="AY194" s="390">
        <v>165153</v>
      </c>
      <c r="AZ194" s="390">
        <v>-165153</v>
      </c>
      <c r="BA194" s="401">
        <f t="shared" si="37"/>
        <v>1298.723956</v>
      </c>
      <c r="BB194" s="401">
        <v>-1742</v>
      </c>
      <c r="BC194" s="401">
        <v>0</v>
      </c>
      <c r="BD194" s="401">
        <v>100</v>
      </c>
      <c r="BE194" s="401">
        <v>-2122</v>
      </c>
      <c r="BG194" s="426">
        <f t="shared" si="38"/>
        <v>0.39531222248538905</v>
      </c>
      <c r="BH194" s="426">
        <f t="shared" si="39"/>
        <v>2.2849912738165057E-2</v>
      </c>
      <c r="BI194" s="426">
        <f t="shared" si="40"/>
        <v>5.4619703511957905E-2</v>
      </c>
      <c r="BJ194" s="426">
        <f t="shared" si="41"/>
        <v>0.5341154170936252</v>
      </c>
      <c r="BK194" s="426">
        <f t="shared" si="42"/>
        <v>-6.8972558291371788E-3</v>
      </c>
      <c r="BL194" s="425">
        <f t="shared" si="43"/>
        <v>23777572.423396073</v>
      </c>
      <c r="BN194" s="423">
        <f t="shared" si="44"/>
        <v>0.52190377073856564</v>
      </c>
      <c r="BO194" s="423">
        <f t="shared" si="45"/>
        <v>4.0646140194940901E-2</v>
      </c>
      <c r="BP194" s="423">
        <f t="shared" si="46"/>
        <v>0.15001584237276588</v>
      </c>
      <c r="BQ194" s="423">
        <f t="shared" si="47"/>
        <v>0.32545473384252815</v>
      </c>
      <c r="BR194" s="423">
        <f t="shared" si="48"/>
        <v>-1.8943670081291396E-2</v>
      </c>
      <c r="BS194" s="423">
        <f t="shared" si="49"/>
        <v>-1.9076817067509275E-2</v>
      </c>
      <c r="BT194" s="425">
        <f t="shared" si="50"/>
        <v>8657245.3646120541</v>
      </c>
    </row>
    <row r="195" spans="1:72" x14ac:dyDescent="0.2">
      <c r="A195" s="309">
        <v>445</v>
      </c>
      <c r="B195" s="278" t="s">
        <v>289</v>
      </c>
      <c r="C195" s="278">
        <v>2</v>
      </c>
      <c r="D195" s="279">
        <v>15457</v>
      </c>
      <c r="E195" s="364">
        <v>93347000</v>
      </c>
      <c r="F195" s="279">
        <v>54484122</v>
      </c>
      <c r="G195" s="278">
        <v>1846184.8499999999</v>
      </c>
      <c r="H195" s="279">
        <v>9266955.8076000009</v>
      </c>
      <c r="I195" s="279">
        <v>30310534.538578734</v>
      </c>
      <c r="J195" s="279">
        <v>-273981</v>
      </c>
      <c r="K195" s="279">
        <v>-868000</v>
      </c>
      <c r="L195" s="280">
        <v>521182.32614186831</v>
      </c>
      <c r="M195" s="369">
        <v>897633.87003686605</v>
      </c>
      <c r="N195" s="370">
        <v>58.072968236841952</v>
      </c>
      <c r="P195" s="365">
        <v>39418091.802721091</v>
      </c>
      <c r="Q195" s="283">
        <v>21462334</v>
      </c>
      <c r="R195" s="279">
        <v>9266955.8076000009</v>
      </c>
      <c r="S195" s="279">
        <v>1195699.8122116018</v>
      </c>
      <c r="T195" s="280">
        <v>13405630.698236641</v>
      </c>
      <c r="U195" s="280">
        <v>-3024799.59442482</v>
      </c>
      <c r="V195" s="279">
        <v>-273981</v>
      </c>
      <c r="W195" s="279">
        <v>-868000</v>
      </c>
      <c r="X195" s="279">
        <v>198066.42247743611</v>
      </c>
      <c r="Y195" s="354">
        <v>1943814.3433797657</v>
      </c>
      <c r="Z195" s="355">
        <v>125.75624916735238</v>
      </c>
      <c r="AB195" s="366">
        <v>1046180.4733428997</v>
      </c>
      <c r="AC195" s="349">
        <v>67.683280930510435</v>
      </c>
      <c r="AE195" s="374">
        <v>-63.239018869332128</v>
      </c>
      <c r="AF195" s="350">
        <v>-42.683280930509454</v>
      </c>
      <c r="AG195" s="350">
        <v>-17.683280930509454</v>
      </c>
      <c r="AH195" s="350">
        <v>0</v>
      </c>
      <c r="AI195" s="350">
        <v>0</v>
      </c>
      <c r="AJ195" s="408">
        <v>-4650</v>
      </c>
      <c r="AK195" s="387">
        <v>-88697</v>
      </c>
      <c r="AL195" s="287">
        <v>-549</v>
      </c>
      <c r="AM195" s="287">
        <v>-4101</v>
      </c>
      <c r="AN195" s="287">
        <v>-35317</v>
      </c>
      <c r="AO195" s="287">
        <v>-53380</v>
      </c>
      <c r="AP195" s="287">
        <v>54484</v>
      </c>
      <c r="AQ195" s="287">
        <v>33022</v>
      </c>
      <c r="AR195" s="287">
        <v>21462</v>
      </c>
      <c r="AS195" s="287">
        <v>1846</v>
      </c>
      <c r="AT195" s="287">
        <v>650</v>
      </c>
      <c r="AU195" s="287">
        <v>1196</v>
      </c>
      <c r="AV195" s="353">
        <f t="shared" si="34"/>
        <v>30557.735864720602</v>
      </c>
      <c r="AW195" s="353">
        <f t="shared" si="35"/>
        <v>21428.371275572048</v>
      </c>
      <c r="AX195" s="353">
        <f t="shared" si="36"/>
        <v>9129.3645891485558</v>
      </c>
      <c r="AY195" s="390">
        <v>977486</v>
      </c>
      <c r="AZ195" s="390">
        <v>-977486</v>
      </c>
      <c r="BA195" s="401">
        <f t="shared" si="37"/>
        <v>9266.9558076000012</v>
      </c>
      <c r="BB195" s="401">
        <v>-6920</v>
      </c>
      <c r="BC195" s="401">
        <v>562</v>
      </c>
      <c r="BD195" s="401">
        <v>900</v>
      </c>
      <c r="BE195" s="401">
        <v>-1299</v>
      </c>
      <c r="BG195" s="426">
        <f t="shared" si="38"/>
        <v>0.57493434011279032</v>
      </c>
      <c r="BH195" s="426">
        <f t="shared" si="39"/>
        <v>1.9481548559431329E-2</v>
      </c>
      <c r="BI195" s="426">
        <f t="shared" si="40"/>
        <v>9.77879596205459E-2</v>
      </c>
      <c r="BJ195" s="426">
        <f t="shared" si="41"/>
        <v>0.3169555726338999</v>
      </c>
      <c r="BK195" s="426">
        <f t="shared" si="42"/>
        <v>-9.1594209266674421E-3</v>
      </c>
      <c r="BL195" s="425">
        <f t="shared" si="43"/>
        <v>94765816.196178734</v>
      </c>
      <c r="BN195" s="423">
        <f t="shared" si="44"/>
        <v>0.53407019428536884</v>
      </c>
      <c r="BO195" s="423">
        <f t="shared" si="45"/>
        <v>2.9753876303240331E-2</v>
      </c>
      <c r="BP195" s="423">
        <f t="shared" si="46"/>
        <v>0.23059956520101027</v>
      </c>
      <c r="BQ195" s="423">
        <f t="shared" si="47"/>
        <v>0.25149955259087292</v>
      </c>
      <c r="BR195" s="423">
        <f t="shared" si="48"/>
        <v>-2.1599371654532084E-2</v>
      </c>
      <c r="BS195" s="423">
        <f t="shared" si="49"/>
        <v>-2.4323816725960217E-2</v>
      </c>
      <c r="BT195" s="425">
        <f t="shared" si="50"/>
        <v>40186354.208960153</v>
      </c>
    </row>
    <row r="196" spans="1:72" x14ac:dyDescent="0.2">
      <c r="A196" s="309">
        <v>580</v>
      </c>
      <c r="B196" s="278" t="s">
        <v>124</v>
      </c>
      <c r="C196" s="278">
        <v>9</v>
      </c>
      <c r="D196" s="279">
        <v>5235</v>
      </c>
      <c r="E196" s="364">
        <v>33508000</v>
      </c>
      <c r="F196" s="279">
        <v>13384067</v>
      </c>
      <c r="G196" s="278">
        <v>1455151.9350000001</v>
      </c>
      <c r="H196" s="279">
        <v>1397881.4040000001</v>
      </c>
      <c r="I196" s="279">
        <v>18321096.305155888</v>
      </c>
      <c r="J196" s="279">
        <v>-562136</v>
      </c>
      <c r="K196" s="279">
        <v>38000</v>
      </c>
      <c r="L196" s="280">
        <v>690417.35360706004</v>
      </c>
      <c r="M196" s="369">
        <v>-164356.70945117029</v>
      </c>
      <c r="N196" s="370">
        <v>-31.395742015505309</v>
      </c>
      <c r="P196" s="365">
        <v>11153162.452513967</v>
      </c>
      <c r="Q196" s="283">
        <v>5351920</v>
      </c>
      <c r="R196" s="279">
        <v>1397881.4040000001</v>
      </c>
      <c r="S196" s="279">
        <v>942443.49119149649</v>
      </c>
      <c r="T196" s="280">
        <v>2154172.3956198799</v>
      </c>
      <c r="U196" s="280">
        <v>750353.95201477874</v>
      </c>
      <c r="V196" s="279">
        <v>-562136</v>
      </c>
      <c r="W196" s="279">
        <v>38000</v>
      </c>
      <c r="X196" s="279">
        <v>64219.004584509072</v>
      </c>
      <c r="Y196" s="354">
        <v>-1016308.2051033005</v>
      </c>
      <c r="Z196" s="355">
        <v>-194.13719295191987</v>
      </c>
      <c r="AB196" s="366">
        <v>-851951.49565213022</v>
      </c>
      <c r="AC196" s="349">
        <v>-162.74145093641457</v>
      </c>
      <c r="AE196" s="374">
        <v>167.18571299759191</v>
      </c>
      <c r="AF196" s="350">
        <v>137.74145093641457</v>
      </c>
      <c r="AG196" s="350">
        <v>112.74145093641457</v>
      </c>
      <c r="AH196" s="350">
        <v>87.741450936414566</v>
      </c>
      <c r="AI196" s="350">
        <v>62.741450936414566</v>
      </c>
      <c r="AJ196" s="408">
        <v>-2100</v>
      </c>
      <c r="AK196" s="387">
        <v>-31408</v>
      </c>
      <c r="AL196" s="287">
        <v>-47</v>
      </c>
      <c r="AM196" s="287">
        <v>-2053</v>
      </c>
      <c r="AN196" s="287">
        <v>-9100</v>
      </c>
      <c r="AO196" s="287">
        <v>-22308</v>
      </c>
      <c r="AP196" s="287">
        <v>13384</v>
      </c>
      <c r="AQ196" s="287">
        <v>8032</v>
      </c>
      <c r="AR196" s="287">
        <v>5352</v>
      </c>
      <c r="AS196" s="287">
        <v>1455</v>
      </c>
      <c r="AT196" s="287">
        <v>513</v>
      </c>
      <c r="AU196" s="287">
        <v>942</v>
      </c>
      <c r="AV196" s="353">
        <f t="shared" si="34"/>
        <v>18449.377658762947</v>
      </c>
      <c r="AW196" s="353">
        <f t="shared" si="35"/>
        <v>15231.770103585895</v>
      </c>
      <c r="AX196" s="353">
        <f t="shared" si="36"/>
        <v>3217.6075551770527</v>
      </c>
      <c r="AY196" s="390">
        <v>875217</v>
      </c>
      <c r="AZ196" s="390">
        <v>875217</v>
      </c>
      <c r="BA196" s="401">
        <f t="shared" si="37"/>
        <v>1397.8814040000002</v>
      </c>
      <c r="BB196" s="401">
        <v>-4569</v>
      </c>
      <c r="BC196" s="401">
        <v>423</v>
      </c>
      <c r="BD196" s="401">
        <v>130</v>
      </c>
      <c r="BE196" s="401">
        <v>-1948</v>
      </c>
      <c r="BG196" s="426">
        <f t="shared" si="38"/>
        <v>0.39325507290879869</v>
      </c>
      <c r="BH196" s="426">
        <f t="shared" si="39"/>
        <v>4.2755754307850106E-2</v>
      </c>
      <c r="BI196" s="426">
        <f t="shared" si="40"/>
        <v>4.1073012668561351E-2</v>
      </c>
      <c r="BJ196" s="426">
        <f t="shared" si="41"/>
        <v>0.52179963157600306</v>
      </c>
      <c r="BK196" s="426">
        <f t="shared" si="42"/>
        <v>1.116528538786779E-3</v>
      </c>
      <c r="BL196" s="425">
        <f t="shared" si="43"/>
        <v>34034060.64415589</v>
      </c>
      <c r="BN196" s="423">
        <f t="shared" si="44"/>
        <v>0.48885569332091539</v>
      </c>
      <c r="BO196" s="423">
        <f t="shared" si="45"/>
        <v>8.6084781966509788E-2</v>
      </c>
      <c r="BP196" s="423">
        <f t="shared" si="46"/>
        <v>0.12768544427660256</v>
      </c>
      <c r="BQ196" s="423">
        <f t="shared" si="47"/>
        <v>0.2139588890381697</v>
      </c>
      <c r="BR196" s="423">
        <f t="shared" si="48"/>
        <v>3.4710003785921287E-3</v>
      </c>
      <c r="BS196" s="423">
        <f t="shared" si="49"/>
        <v>7.9944191019210367E-2</v>
      </c>
      <c r="BT196" s="425">
        <f t="shared" si="50"/>
        <v>10947852.45036855</v>
      </c>
    </row>
    <row r="197" spans="1:72" x14ac:dyDescent="0.2">
      <c r="A197" s="309">
        <v>581</v>
      </c>
      <c r="B197" s="278" t="s">
        <v>125</v>
      </c>
      <c r="C197" s="278">
        <v>6</v>
      </c>
      <c r="D197" s="279">
        <v>6766</v>
      </c>
      <c r="E197" s="364">
        <v>40667000</v>
      </c>
      <c r="F197" s="279">
        <v>18715784</v>
      </c>
      <c r="G197" s="278">
        <v>1799168.3900000001</v>
      </c>
      <c r="H197" s="279">
        <v>1888309.4126000004</v>
      </c>
      <c r="I197" s="279">
        <v>19065590.163586129</v>
      </c>
      <c r="J197" s="279">
        <v>-610219</v>
      </c>
      <c r="K197" s="279">
        <v>-25000</v>
      </c>
      <c r="L197" s="280">
        <v>-13599.659999999998</v>
      </c>
      <c r="M197" s="369">
        <v>180232.62618612856</v>
      </c>
      <c r="N197" s="370">
        <v>26.63798790808876</v>
      </c>
      <c r="P197" s="365">
        <v>14658885.241071865</v>
      </c>
      <c r="Q197" s="283">
        <v>8398037</v>
      </c>
      <c r="R197" s="279">
        <v>1888309.4126000004</v>
      </c>
      <c r="S197" s="279">
        <v>1165249.1385464733</v>
      </c>
      <c r="T197" s="280">
        <v>4403089.9406914786</v>
      </c>
      <c r="U197" s="280">
        <v>-148654.02069567802</v>
      </c>
      <c r="V197" s="279">
        <v>-610219</v>
      </c>
      <c r="W197" s="279">
        <v>-25000</v>
      </c>
      <c r="X197" s="279">
        <v>81831.157996375841</v>
      </c>
      <c r="Y197" s="354">
        <v>493758.38806678355</v>
      </c>
      <c r="Z197" s="355">
        <v>72.976409705406965</v>
      </c>
      <c r="AB197" s="366">
        <v>313525.76188065496</v>
      </c>
      <c r="AC197" s="349">
        <v>46.338421797318205</v>
      </c>
      <c r="AE197" s="374">
        <v>-41.894159736140871</v>
      </c>
      <c r="AF197" s="350">
        <v>-21.338421797318205</v>
      </c>
      <c r="AG197" s="350">
        <v>0</v>
      </c>
      <c r="AH197" s="350">
        <v>0</v>
      </c>
      <c r="AI197" s="350">
        <v>0</v>
      </c>
      <c r="AJ197" s="408">
        <v>-1887</v>
      </c>
      <c r="AK197" s="387">
        <v>-38780</v>
      </c>
      <c r="AL197" s="287">
        <v>-95</v>
      </c>
      <c r="AM197" s="287">
        <v>-1792</v>
      </c>
      <c r="AN197" s="287">
        <v>-12867</v>
      </c>
      <c r="AO197" s="287">
        <v>-25913</v>
      </c>
      <c r="AP197" s="287">
        <v>18716</v>
      </c>
      <c r="AQ197" s="287">
        <v>10318</v>
      </c>
      <c r="AR197" s="287">
        <v>8398</v>
      </c>
      <c r="AS197" s="287">
        <v>1799</v>
      </c>
      <c r="AT197" s="287">
        <v>634</v>
      </c>
      <c r="AU197" s="287">
        <v>1165</v>
      </c>
      <c r="AV197" s="353">
        <f t="shared" si="34"/>
        <v>18441.771503586129</v>
      </c>
      <c r="AW197" s="353">
        <f t="shared" si="35"/>
        <v>15081.010468365057</v>
      </c>
      <c r="AX197" s="353">
        <f t="shared" si="36"/>
        <v>3360.7610352210713</v>
      </c>
      <c r="AY197" s="390">
        <v>283456</v>
      </c>
      <c r="AZ197" s="390">
        <v>-283456</v>
      </c>
      <c r="BA197" s="401">
        <f t="shared" si="37"/>
        <v>1888.3094126000005</v>
      </c>
      <c r="BB197" s="401">
        <v>-3010</v>
      </c>
      <c r="BC197" s="401">
        <v>226</v>
      </c>
      <c r="BD197" s="401">
        <v>900</v>
      </c>
      <c r="BE197" s="401">
        <v>-1310</v>
      </c>
      <c r="BG197" s="426">
        <f t="shared" si="38"/>
        <v>0.45834236732005523</v>
      </c>
      <c r="BH197" s="426">
        <f t="shared" si="39"/>
        <v>4.4060943376991984E-2</v>
      </c>
      <c r="BI197" s="426">
        <f t="shared" si="40"/>
        <v>4.6243972809465378E-2</v>
      </c>
      <c r="BJ197" s="426">
        <f t="shared" si="41"/>
        <v>0.45196495689885868</v>
      </c>
      <c r="BK197" s="426">
        <f t="shared" si="42"/>
        <v>-6.1224040537128353E-4</v>
      </c>
      <c r="BL197" s="425">
        <f t="shared" si="43"/>
        <v>40833632.966186129</v>
      </c>
      <c r="BN197" s="423">
        <f t="shared" si="44"/>
        <v>0.567920097885659</v>
      </c>
      <c r="BO197" s="423">
        <f t="shared" si="45"/>
        <v>7.8800367850783815E-2</v>
      </c>
      <c r="BP197" s="423">
        <f t="shared" si="46"/>
        <v>0.12769756390001658</v>
      </c>
      <c r="BQ197" s="423">
        <f t="shared" si="47"/>
        <v>0.24644140409486048</v>
      </c>
      <c r="BR197" s="423">
        <f t="shared" si="48"/>
        <v>-1.6906334715054811E-3</v>
      </c>
      <c r="BS197" s="423">
        <f t="shared" si="49"/>
        <v>-1.9168800259814319E-2</v>
      </c>
      <c r="BT197" s="425">
        <f t="shared" si="50"/>
        <v>14787356.586367544</v>
      </c>
    </row>
    <row r="198" spans="1:72" x14ac:dyDescent="0.2">
      <c r="A198" s="309">
        <v>599</v>
      </c>
      <c r="B198" s="278" t="s">
        <v>290</v>
      </c>
      <c r="C198" s="278">
        <v>15</v>
      </c>
      <c r="D198" s="279">
        <v>11129</v>
      </c>
      <c r="E198" s="364">
        <v>60601000</v>
      </c>
      <c r="F198" s="279">
        <v>29850993</v>
      </c>
      <c r="G198" s="278">
        <v>2564312.7149999999</v>
      </c>
      <c r="H198" s="279">
        <v>2168381.3134000003</v>
      </c>
      <c r="I198" s="279">
        <v>26009120.58996588</v>
      </c>
      <c r="J198" s="279">
        <v>-485787</v>
      </c>
      <c r="K198" s="279">
        <v>181000</v>
      </c>
      <c r="L198" s="280">
        <v>-22369.289999999997</v>
      </c>
      <c r="M198" s="369">
        <v>-290610.09163411619</v>
      </c>
      <c r="N198" s="370">
        <v>-26.112866531954012</v>
      </c>
      <c r="P198" s="365">
        <v>27514472.344789356</v>
      </c>
      <c r="Q198" s="283">
        <v>12859035</v>
      </c>
      <c r="R198" s="279">
        <v>2168381.3134000003</v>
      </c>
      <c r="S198" s="279">
        <v>1660802.4011123928</v>
      </c>
      <c r="T198" s="280">
        <v>15891279.419486351</v>
      </c>
      <c r="U198" s="280">
        <v>-2406583.99761244</v>
      </c>
      <c r="V198" s="279">
        <v>-485787</v>
      </c>
      <c r="W198" s="279">
        <v>181000</v>
      </c>
      <c r="X198" s="279">
        <v>133952.12310249259</v>
      </c>
      <c r="Y198" s="354">
        <v>2487606.9146994427</v>
      </c>
      <c r="Z198" s="355">
        <v>223.52474747950782</v>
      </c>
      <c r="AB198" s="366">
        <v>2778217.0063335588</v>
      </c>
      <c r="AC198" s="349">
        <v>249.63761401146184</v>
      </c>
      <c r="AE198" s="374">
        <v>-245.19335195028449</v>
      </c>
      <c r="AF198" s="350">
        <v>-224.63761401146184</v>
      </c>
      <c r="AG198" s="350">
        <v>-199.63761401146184</v>
      </c>
      <c r="AH198" s="350">
        <v>-174.63761401146184</v>
      </c>
      <c r="AI198" s="350">
        <v>-149.63761401146184</v>
      </c>
      <c r="AJ198" s="408">
        <v>-1940</v>
      </c>
      <c r="AK198" s="387">
        <v>-58661</v>
      </c>
      <c r="AL198" s="287">
        <v>-12</v>
      </c>
      <c r="AM198" s="287">
        <v>-1928</v>
      </c>
      <c r="AN198" s="287">
        <v>-25586</v>
      </c>
      <c r="AO198" s="287">
        <v>-33075</v>
      </c>
      <c r="AP198" s="287">
        <v>29851</v>
      </c>
      <c r="AQ198" s="287">
        <v>16992</v>
      </c>
      <c r="AR198" s="287">
        <v>12859</v>
      </c>
      <c r="AS198" s="287">
        <v>2564</v>
      </c>
      <c r="AT198" s="287">
        <v>903</v>
      </c>
      <c r="AU198" s="287">
        <v>1661</v>
      </c>
      <c r="AV198" s="353">
        <f t="shared" si="34"/>
        <v>25500.964299965883</v>
      </c>
      <c r="AW198" s="353">
        <f t="shared" si="35"/>
        <v>15230.812691946687</v>
      </c>
      <c r="AX198" s="353">
        <f t="shared" si="36"/>
        <v>10270.151608019196</v>
      </c>
      <c r="AY198" s="390">
        <v>2728757</v>
      </c>
      <c r="AZ198" s="390">
        <v>-2728757</v>
      </c>
      <c r="BA198" s="401">
        <f t="shared" si="37"/>
        <v>2168.3813134000002</v>
      </c>
      <c r="BB198" s="401">
        <v>-6527</v>
      </c>
      <c r="BC198" s="401">
        <v>98</v>
      </c>
      <c r="BD198" s="401">
        <v>100</v>
      </c>
      <c r="BE198" s="401">
        <v>-4605</v>
      </c>
      <c r="BG198" s="426">
        <f t="shared" si="38"/>
        <v>0.49513970924609063</v>
      </c>
      <c r="BH198" s="426">
        <f t="shared" si="39"/>
        <v>4.253436567825912E-2</v>
      </c>
      <c r="BI198" s="426">
        <f t="shared" si="40"/>
        <v>3.5967034431703238E-2</v>
      </c>
      <c r="BJ198" s="426">
        <f t="shared" si="41"/>
        <v>0.42335663583207045</v>
      </c>
      <c r="BK198" s="426">
        <f t="shared" si="42"/>
        <v>3.0022548118765228E-3</v>
      </c>
      <c r="BL198" s="425">
        <f t="shared" si="43"/>
        <v>60288020.618365884</v>
      </c>
      <c r="BN198" s="423">
        <f t="shared" si="44"/>
        <v>0.4738147881538799</v>
      </c>
      <c r="BO198" s="423">
        <f t="shared" si="45"/>
        <v>6.1195318143898315E-2</v>
      </c>
      <c r="BP198" s="423">
        <f t="shared" si="46"/>
        <v>7.9897996439503668E-2</v>
      </c>
      <c r="BQ198" s="423">
        <f t="shared" si="47"/>
        <v>0.47896868156450878</v>
      </c>
      <c r="BR198" s="423">
        <f t="shared" si="48"/>
        <v>6.6692778000722657E-3</v>
      </c>
      <c r="BS198" s="423">
        <f t="shared" si="49"/>
        <v>-0.10054606210186291</v>
      </c>
      <c r="BT198" s="425">
        <f t="shared" si="50"/>
        <v>27139370.322531588</v>
      </c>
    </row>
    <row r="199" spans="1:72" x14ac:dyDescent="0.2">
      <c r="A199" s="309">
        <v>583</v>
      </c>
      <c r="B199" s="278" t="s">
        <v>126</v>
      </c>
      <c r="C199" s="278">
        <v>19</v>
      </c>
      <c r="D199" s="279">
        <v>958</v>
      </c>
      <c r="E199" s="364">
        <v>9016000</v>
      </c>
      <c r="F199" s="279">
        <v>2937471</v>
      </c>
      <c r="G199" s="278">
        <v>288742.06</v>
      </c>
      <c r="H199" s="279">
        <v>1766733.7834999997</v>
      </c>
      <c r="I199" s="279">
        <v>4142921.0016554105</v>
      </c>
      <c r="J199" s="279">
        <v>-182736</v>
      </c>
      <c r="K199" s="279">
        <v>-23000</v>
      </c>
      <c r="L199" s="280">
        <v>49347.813372684242</v>
      </c>
      <c r="M199" s="369">
        <v>-135215.96821727377</v>
      </c>
      <c r="N199" s="370">
        <v>-141.14401692826073</v>
      </c>
      <c r="P199" s="365">
        <v>3100189.5125746988</v>
      </c>
      <c r="Q199" s="283">
        <v>1400914</v>
      </c>
      <c r="R199" s="279">
        <v>1766733.7834999997</v>
      </c>
      <c r="S199" s="279">
        <v>187006.64070533949</v>
      </c>
      <c r="T199" s="280">
        <v>1013298.2221399742</v>
      </c>
      <c r="U199" s="280">
        <v>-946203.63859302597</v>
      </c>
      <c r="V199" s="279">
        <v>-182736</v>
      </c>
      <c r="W199" s="279">
        <v>-23000</v>
      </c>
      <c r="X199" s="279">
        <v>11564.563290496488</v>
      </c>
      <c r="Y199" s="354">
        <v>127388.05846808525</v>
      </c>
      <c r="Z199" s="355">
        <v>132.97292115666519</v>
      </c>
      <c r="AB199" s="366">
        <v>262604.02668535901</v>
      </c>
      <c r="AC199" s="349">
        <v>274.11693808492589</v>
      </c>
      <c r="AE199" s="374">
        <v>-269.67267602374858</v>
      </c>
      <c r="AF199" s="350">
        <v>-249.11693808492589</v>
      </c>
      <c r="AG199" s="350">
        <v>-224.11693808492589</v>
      </c>
      <c r="AH199" s="350">
        <v>-199.11693808492589</v>
      </c>
      <c r="AI199" s="350">
        <v>-174.11693808492589</v>
      </c>
      <c r="AJ199" s="408">
        <v>-339</v>
      </c>
      <c r="AK199" s="387">
        <v>-8677</v>
      </c>
      <c r="AL199" s="287">
        <v>-31</v>
      </c>
      <c r="AM199" s="287">
        <v>-308</v>
      </c>
      <c r="AN199" s="287">
        <v>-2792</v>
      </c>
      <c r="AO199" s="287">
        <v>-5885</v>
      </c>
      <c r="AP199" s="287">
        <v>2937</v>
      </c>
      <c r="AQ199" s="287">
        <v>1536</v>
      </c>
      <c r="AR199" s="287">
        <v>1401</v>
      </c>
      <c r="AS199" s="287">
        <v>289</v>
      </c>
      <c r="AT199" s="287">
        <v>102</v>
      </c>
      <c r="AU199" s="287">
        <v>187</v>
      </c>
      <c r="AV199" s="353">
        <f t="shared" si="34"/>
        <v>4009.5328150280948</v>
      </c>
      <c r="AW199" s="353">
        <f t="shared" si="35"/>
        <v>4383.5206551118972</v>
      </c>
      <c r="AX199" s="353">
        <f t="shared" si="36"/>
        <v>-373.98784008380289</v>
      </c>
      <c r="AY199" s="390">
        <v>258346</v>
      </c>
      <c r="AZ199" s="390">
        <v>-258346</v>
      </c>
      <c r="BA199" s="401">
        <f t="shared" si="37"/>
        <v>1766.7337834999996</v>
      </c>
      <c r="BB199" s="401">
        <v>-830</v>
      </c>
      <c r="BC199" s="401">
        <v>50</v>
      </c>
      <c r="BD199" s="401">
        <v>50</v>
      </c>
      <c r="BE199" s="401">
        <v>-722</v>
      </c>
      <c r="BG199" s="426">
        <f t="shared" si="38"/>
        <v>0.32893926438427395</v>
      </c>
      <c r="BH199" s="426">
        <f t="shared" si="39"/>
        <v>3.2333459909289285E-2</v>
      </c>
      <c r="BI199" s="426">
        <f t="shared" si="40"/>
        <v>0.19783960798500991</v>
      </c>
      <c r="BJ199" s="426">
        <f t="shared" si="41"/>
        <v>0.44346321760118335</v>
      </c>
      <c r="BK199" s="426">
        <f t="shared" si="42"/>
        <v>-2.5755498797565327E-3</v>
      </c>
      <c r="BL199" s="425">
        <f t="shared" si="43"/>
        <v>8930131.8451554105</v>
      </c>
      <c r="BN199" s="423">
        <f t="shared" si="44"/>
        <v>0.47365514677040205</v>
      </c>
      <c r="BO199" s="423">
        <f t="shared" si="45"/>
        <v>6.32277626252057E-2</v>
      </c>
      <c r="BP199" s="423">
        <f t="shared" si="46"/>
        <v>0.59734041456357778</v>
      </c>
      <c r="BQ199" s="423">
        <f t="shared" si="47"/>
        <v>-3.9098868369369856E-2</v>
      </c>
      <c r="BR199" s="423">
        <f t="shared" si="48"/>
        <v>-7.7764005325946109E-3</v>
      </c>
      <c r="BS199" s="423">
        <f t="shared" si="49"/>
        <v>-8.7348055057221138E-2</v>
      </c>
      <c r="BT199" s="425">
        <f t="shared" si="50"/>
        <v>2957666.5841215365</v>
      </c>
    </row>
    <row r="200" spans="1:72" x14ac:dyDescent="0.2">
      <c r="A200" s="309">
        <v>854</v>
      </c>
      <c r="B200" s="278" t="s">
        <v>191</v>
      </c>
      <c r="C200" s="278">
        <v>19</v>
      </c>
      <c r="D200" s="279">
        <v>3623</v>
      </c>
      <c r="E200" s="364">
        <v>26762000</v>
      </c>
      <c r="F200" s="279">
        <v>10364089</v>
      </c>
      <c r="G200" s="278">
        <v>654705.12</v>
      </c>
      <c r="H200" s="279">
        <v>784915.54690000007</v>
      </c>
      <c r="I200" s="279">
        <v>15004363.780169936</v>
      </c>
      <c r="J200" s="279">
        <v>-170413</v>
      </c>
      <c r="K200" s="279">
        <v>134000</v>
      </c>
      <c r="L200" s="280">
        <v>-7282.23</v>
      </c>
      <c r="M200" s="369">
        <v>16942.6770699355</v>
      </c>
      <c r="N200" s="370">
        <v>4.6764220452485512</v>
      </c>
      <c r="P200" s="365">
        <v>9026505.0858469084</v>
      </c>
      <c r="Q200" s="283">
        <v>4373658</v>
      </c>
      <c r="R200" s="279">
        <v>784915.54690000007</v>
      </c>
      <c r="S200" s="279">
        <v>424026.22307185235</v>
      </c>
      <c r="T200" s="280">
        <v>3435438.4124910072</v>
      </c>
      <c r="U200" s="280">
        <v>410430.30950369634</v>
      </c>
      <c r="V200" s="279">
        <v>-170413</v>
      </c>
      <c r="W200" s="279">
        <v>134000</v>
      </c>
      <c r="X200" s="279">
        <v>44145.70950002606</v>
      </c>
      <c r="Y200" s="354">
        <v>409696.11561967432</v>
      </c>
      <c r="Z200" s="355">
        <v>113.08200817545524</v>
      </c>
      <c r="AB200" s="366">
        <v>392753.43854973884</v>
      </c>
      <c r="AC200" s="349">
        <v>108.40558613020669</v>
      </c>
      <c r="AE200" s="374">
        <v>-103.96132406902936</v>
      </c>
      <c r="AF200" s="350">
        <v>-83.405586130206686</v>
      </c>
      <c r="AG200" s="350">
        <v>-58.405586130206686</v>
      </c>
      <c r="AH200" s="350">
        <v>-33.405586130206686</v>
      </c>
      <c r="AI200" s="350">
        <v>-8.4055861302066859</v>
      </c>
      <c r="AJ200" s="408">
        <v>-1294</v>
      </c>
      <c r="AK200" s="387">
        <v>-25468</v>
      </c>
      <c r="AL200" s="287">
        <v>-328</v>
      </c>
      <c r="AM200" s="287">
        <v>-966</v>
      </c>
      <c r="AN200" s="287">
        <v>-8061</v>
      </c>
      <c r="AO200" s="287">
        <v>-17407</v>
      </c>
      <c r="AP200" s="287">
        <v>10364</v>
      </c>
      <c r="AQ200" s="287">
        <v>5990</v>
      </c>
      <c r="AR200" s="287">
        <v>4374</v>
      </c>
      <c r="AS200" s="287">
        <v>655</v>
      </c>
      <c r="AT200" s="287">
        <v>231</v>
      </c>
      <c r="AU200" s="287">
        <v>424</v>
      </c>
      <c r="AV200" s="353">
        <f t="shared" si="34"/>
        <v>14826.668550169936</v>
      </c>
      <c r="AW200" s="353">
        <f t="shared" si="35"/>
        <v>11527.864705277325</v>
      </c>
      <c r="AX200" s="353">
        <f t="shared" si="36"/>
        <v>3298.8038448926104</v>
      </c>
      <c r="AY200" s="390">
        <v>376652</v>
      </c>
      <c r="AZ200" s="390">
        <v>-376652</v>
      </c>
      <c r="BA200" s="401">
        <f t="shared" si="37"/>
        <v>784.91554690000009</v>
      </c>
      <c r="BB200" s="401">
        <v>-2400</v>
      </c>
      <c r="BC200" s="401">
        <v>80</v>
      </c>
      <c r="BD200" s="401">
        <v>0</v>
      </c>
      <c r="BE200" s="401">
        <v>-2066</v>
      </c>
      <c r="BG200" s="426">
        <f t="shared" si="38"/>
        <v>0.38712910693345931</v>
      </c>
      <c r="BH200" s="426">
        <f t="shared" si="39"/>
        <v>2.4455155528900159E-2</v>
      </c>
      <c r="BI200" s="426">
        <f t="shared" si="40"/>
        <v>2.9318896691217608E-2</v>
      </c>
      <c r="BJ200" s="426">
        <f t="shared" si="41"/>
        <v>0.55409154801951999</v>
      </c>
      <c r="BK200" s="426">
        <f t="shared" si="42"/>
        <v>5.0052928269029287E-3</v>
      </c>
      <c r="BL200" s="425">
        <f t="shared" si="43"/>
        <v>26771660.447069936</v>
      </c>
      <c r="BN200" s="423">
        <f t="shared" si="44"/>
        <v>0.48513169091939246</v>
      </c>
      <c r="BO200" s="423">
        <f t="shared" si="45"/>
        <v>4.703352630521436E-2</v>
      </c>
      <c r="BP200" s="423">
        <f t="shared" si="46"/>
        <v>8.70638276921782E-2</v>
      </c>
      <c r="BQ200" s="423">
        <f t="shared" si="47"/>
        <v>0.40768620896070223</v>
      </c>
      <c r="BR200" s="423">
        <f t="shared" si="48"/>
        <v>1.486344990467901E-2</v>
      </c>
      <c r="BS200" s="423">
        <f t="shared" si="49"/>
        <v>-4.1778703782166263E-2</v>
      </c>
      <c r="BT200" s="425">
        <f t="shared" si="50"/>
        <v>9015403.614864463</v>
      </c>
    </row>
    <row r="201" spans="1:72" x14ac:dyDescent="0.2">
      <c r="A201" s="309">
        <v>577</v>
      </c>
      <c r="B201" s="278" t="s">
        <v>288</v>
      </c>
      <c r="C201" s="278">
        <v>2</v>
      </c>
      <c r="D201" s="279">
        <v>10620</v>
      </c>
      <c r="E201" s="364">
        <v>55395000</v>
      </c>
      <c r="F201" s="279">
        <v>38119129</v>
      </c>
      <c r="G201" s="278">
        <v>1222905.05</v>
      </c>
      <c r="H201" s="279">
        <v>2278431.4820000008</v>
      </c>
      <c r="I201" s="279">
        <v>13910082.767171955</v>
      </c>
      <c r="J201" s="279">
        <v>-179980</v>
      </c>
      <c r="K201" s="279">
        <v>-53000</v>
      </c>
      <c r="L201" s="280">
        <v>-21346.199999999997</v>
      </c>
      <c r="M201" s="369">
        <v>-76085.50082804561</v>
      </c>
      <c r="N201" s="370">
        <v>-7.1643597766521285</v>
      </c>
      <c r="P201" s="365">
        <v>24386903.470748298</v>
      </c>
      <c r="Q201" s="283">
        <v>16308984</v>
      </c>
      <c r="R201" s="279">
        <v>2278431.4820000008</v>
      </c>
      <c r="S201" s="279">
        <v>792026.50733355316</v>
      </c>
      <c r="T201" s="280">
        <v>6458631.7747209342</v>
      </c>
      <c r="U201" s="280">
        <v>-639693.95525096555</v>
      </c>
      <c r="V201" s="279">
        <v>-179980</v>
      </c>
      <c r="W201" s="279">
        <v>-53000</v>
      </c>
      <c r="X201" s="279">
        <v>134331.72042622374</v>
      </c>
      <c r="Y201" s="354">
        <v>712828.0584814474</v>
      </c>
      <c r="Z201" s="355">
        <v>67.121286109364164</v>
      </c>
      <c r="AB201" s="366">
        <v>788913.55930949305</v>
      </c>
      <c r="AC201" s="349">
        <v>74.285645886016297</v>
      </c>
      <c r="AE201" s="374">
        <v>-69.841383824838957</v>
      </c>
      <c r="AF201" s="350">
        <v>-49.285645886016297</v>
      </c>
      <c r="AG201" s="350">
        <v>-24.285645886016297</v>
      </c>
      <c r="AH201" s="350">
        <v>0</v>
      </c>
      <c r="AI201" s="350">
        <v>0</v>
      </c>
      <c r="AJ201" s="408">
        <v>-1800</v>
      </c>
      <c r="AK201" s="387">
        <v>-53595</v>
      </c>
      <c r="AL201" s="287">
        <v>0</v>
      </c>
      <c r="AM201" s="287">
        <v>-1800</v>
      </c>
      <c r="AN201" s="287">
        <v>-22587</v>
      </c>
      <c r="AO201" s="287">
        <v>-31008</v>
      </c>
      <c r="AP201" s="287">
        <v>38119</v>
      </c>
      <c r="AQ201" s="287">
        <v>21810</v>
      </c>
      <c r="AR201" s="287">
        <v>16309</v>
      </c>
      <c r="AS201" s="287">
        <v>1223</v>
      </c>
      <c r="AT201" s="287">
        <v>431</v>
      </c>
      <c r="AU201" s="287">
        <v>792</v>
      </c>
      <c r="AV201" s="353">
        <f t="shared" si="34"/>
        <v>13708.756567171955</v>
      </c>
      <c r="AW201" s="353">
        <f t="shared" si="35"/>
        <v>8811.5142439217743</v>
      </c>
      <c r="AX201" s="353">
        <f t="shared" si="36"/>
        <v>4897.2423232501797</v>
      </c>
      <c r="AY201" s="390">
        <v>741715</v>
      </c>
      <c r="AZ201" s="390">
        <v>-741715</v>
      </c>
      <c r="BA201" s="401">
        <f t="shared" si="37"/>
        <v>2278.4314820000009</v>
      </c>
      <c r="BB201" s="401">
        <v>-2740</v>
      </c>
      <c r="BC201" s="401">
        <v>220</v>
      </c>
      <c r="BD201" s="401">
        <v>500</v>
      </c>
      <c r="BE201" s="401">
        <v>-1936</v>
      </c>
      <c r="BG201" s="426">
        <f t="shared" si="38"/>
        <v>0.68934548430352605</v>
      </c>
      <c r="BH201" s="426">
        <f t="shared" si="39"/>
        <v>2.2114987830636892E-2</v>
      </c>
      <c r="BI201" s="426">
        <f t="shared" si="40"/>
        <v>4.1203104441648999E-2</v>
      </c>
      <c r="BJ201" s="426">
        <f t="shared" si="41"/>
        <v>0.24829487424996868</v>
      </c>
      <c r="BK201" s="426">
        <f t="shared" si="42"/>
        <v>-9.5845082578059116E-4</v>
      </c>
      <c r="BL201" s="425">
        <f t="shared" si="43"/>
        <v>55297568.299171954</v>
      </c>
      <c r="BN201" s="423">
        <f t="shared" si="44"/>
        <v>0.67326603953172404</v>
      </c>
      <c r="BO201" s="423">
        <f t="shared" si="45"/>
        <v>3.2696368443098929E-2</v>
      </c>
      <c r="BP201" s="423">
        <f t="shared" si="46"/>
        <v>9.4058007551576298E-2</v>
      </c>
      <c r="BQ201" s="423">
        <f t="shared" si="47"/>
        <v>0.23278695951881442</v>
      </c>
      <c r="BR201" s="423">
        <f t="shared" si="48"/>
        <v>-2.187941327012239E-3</v>
      </c>
      <c r="BS201" s="423">
        <f t="shared" si="49"/>
        <v>-3.0619433718201285E-2</v>
      </c>
      <c r="BT201" s="425">
        <f t="shared" si="50"/>
        <v>24223684.31258373</v>
      </c>
    </row>
    <row r="202" spans="1:72" x14ac:dyDescent="0.2">
      <c r="A202" s="309">
        <v>584</v>
      </c>
      <c r="B202" s="278" t="s">
        <v>127</v>
      </c>
      <c r="C202" s="278">
        <v>16</v>
      </c>
      <c r="D202" s="279">
        <v>2931</v>
      </c>
      <c r="E202" s="364">
        <v>18805000</v>
      </c>
      <c r="F202" s="279">
        <v>6307583</v>
      </c>
      <c r="G202" s="278">
        <v>539155.72</v>
      </c>
      <c r="H202" s="279">
        <v>515275.13020000001</v>
      </c>
      <c r="I202" s="279">
        <v>11421569.695827279</v>
      </c>
      <c r="J202" s="279">
        <v>115276</v>
      </c>
      <c r="K202" s="279">
        <v>304000</v>
      </c>
      <c r="L202" s="280">
        <v>-5891.3099999999995</v>
      </c>
      <c r="M202" s="369">
        <v>403750.85602728039</v>
      </c>
      <c r="N202" s="370">
        <v>137.75191266710351</v>
      </c>
      <c r="P202" s="365">
        <v>8579637.6402564105</v>
      </c>
      <c r="Q202" s="283">
        <v>2957016</v>
      </c>
      <c r="R202" s="279">
        <v>515275.13020000001</v>
      </c>
      <c r="S202" s="279">
        <v>349189.51542518125</v>
      </c>
      <c r="T202" s="280">
        <v>5570180.6133922078</v>
      </c>
      <c r="U202" s="280">
        <v>-321070.08885045029</v>
      </c>
      <c r="V202" s="279">
        <v>115276</v>
      </c>
      <c r="W202" s="279">
        <v>304000</v>
      </c>
      <c r="X202" s="279">
        <v>32919.606930148038</v>
      </c>
      <c r="Y202" s="354">
        <v>943149.13684067689</v>
      </c>
      <c r="Z202" s="355">
        <v>321.78407944069494</v>
      </c>
      <c r="AB202" s="366">
        <v>539398.28081339644</v>
      </c>
      <c r="AC202" s="349">
        <v>184.03216677359143</v>
      </c>
      <c r="AE202" s="374">
        <v>-179.58790471241537</v>
      </c>
      <c r="AF202" s="350">
        <v>-159.03216677359271</v>
      </c>
      <c r="AG202" s="350">
        <v>-134.03216677359271</v>
      </c>
      <c r="AH202" s="350">
        <v>-109.03216677359271</v>
      </c>
      <c r="AI202" s="350">
        <v>-84.032166773592706</v>
      </c>
      <c r="AJ202" s="408">
        <v>-1309</v>
      </c>
      <c r="AK202" s="387">
        <v>-17496</v>
      </c>
      <c r="AL202" s="287">
        <v>-83</v>
      </c>
      <c r="AM202" s="287">
        <v>-1226</v>
      </c>
      <c r="AN202" s="287">
        <v>-7354</v>
      </c>
      <c r="AO202" s="287">
        <v>-10142</v>
      </c>
      <c r="AP202" s="287">
        <v>6308</v>
      </c>
      <c r="AQ202" s="287">
        <v>3351</v>
      </c>
      <c r="AR202" s="287">
        <v>2957</v>
      </c>
      <c r="AS202" s="287">
        <v>539</v>
      </c>
      <c r="AT202" s="287">
        <v>190</v>
      </c>
      <c r="AU202" s="287">
        <v>349</v>
      </c>
      <c r="AV202" s="353">
        <f t="shared" si="34"/>
        <v>11530.954385827279</v>
      </c>
      <c r="AW202" s="353">
        <f t="shared" si="35"/>
        <v>6692.940009997611</v>
      </c>
      <c r="AX202" s="353">
        <f t="shared" si="36"/>
        <v>4838.0143758296681</v>
      </c>
      <c r="AY202" s="390">
        <v>526372</v>
      </c>
      <c r="AZ202" s="390">
        <v>-526372</v>
      </c>
      <c r="BA202" s="401">
        <f t="shared" si="37"/>
        <v>515.27513020000004</v>
      </c>
      <c r="BB202" s="401">
        <v>-7647</v>
      </c>
      <c r="BC202" s="401">
        <v>95</v>
      </c>
      <c r="BD202" s="401">
        <v>25</v>
      </c>
      <c r="BE202" s="401">
        <v>-6218</v>
      </c>
      <c r="BG202" s="426">
        <f t="shared" si="38"/>
        <v>0.32847102718641313</v>
      </c>
      <c r="BH202" s="426">
        <f t="shared" si="39"/>
        <v>2.8076845467087812E-2</v>
      </c>
      <c r="BI202" s="426">
        <f t="shared" si="40"/>
        <v>2.6833249962847382E-2</v>
      </c>
      <c r="BJ202" s="426">
        <f t="shared" si="41"/>
        <v>0.60078790183173736</v>
      </c>
      <c r="BK202" s="426">
        <f t="shared" si="42"/>
        <v>1.5830975551914196E-2</v>
      </c>
      <c r="BL202" s="425">
        <f t="shared" si="43"/>
        <v>19202859.54602728</v>
      </c>
      <c r="BN202" s="423">
        <f t="shared" si="44"/>
        <v>0.32989542504593833</v>
      </c>
      <c r="BO202" s="423">
        <f t="shared" si="45"/>
        <v>3.8956848259453253E-2</v>
      </c>
      <c r="BP202" s="423">
        <f t="shared" si="46"/>
        <v>5.748596155480059E-2</v>
      </c>
      <c r="BQ202" s="423">
        <f t="shared" si="47"/>
        <v>0.59847040821706976</v>
      </c>
      <c r="BR202" s="423">
        <f t="shared" si="48"/>
        <v>3.3915342092827788E-2</v>
      </c>
      <c r="BS202" s="423">
        <f t="shared" si="49"/>
        <v>-5.8723985170089914E-2</v>
      </c>
      <c r="BT202" s="425">
        <f t="shared" si="50"/>
        <v>8963495.0214548502</v>
      </c>
    </row>
    <row r="203" spans="1:72" x14ac:dyDescent="0.2">
      <c r="A203" s="309">
        <v>588</v>
      </c>
      <c r="B203" s="278" t="s">
        <v>128</v>
      </c>
      <c r="C203" s="278">
        <v>10</v>
      </c>
      <c r="D203" s="279">
        <v>1817</v>
      </c>
      <c r="E203" s="364">
        <v>12278000</v>
      </c>
      <c r="F203" s="279">
        <v>4107749</v>
      </c>
      <c r="G203" s="278">
        <v>690184.15500000003</v>
      </c>
      <c r="H203" s="279">
        <v>847395.14999999991</v>
      </c>
      <c r="I203" s="279">
        <v>6505236.6147764092</v>
      </c>
      <c r="J203" s="279">
        <v>-342101</v>
      </c>
      <c r="K203" s="279">
        <v>16000</v>
      </c>
      <c r="L203" s="280">
        <v>115388.37794820772</v>
      </c>
      <c r="M203" s="369">
        <v>-568924.45817179792</v>
      </c>
      <c r="N203" s="370">
        <v>-313.11197477809463</v>
      </c>
      <c r="P203" s="365">
        <v>4817101.3704588488</v>
      </c>
      <c r="Q203" s="283">
        <v>1881455</v>
      </c>
      <c r="R203" s="279">
        <v>847395.14999999991</v>
      </c>
      <c r="S203" s="279">
        <v>447004.56973467371</v>
      </c>
      <c r="T203" s="280">
        <v>1131351.6645586698</v>
      </c>
      <c r="U203" s="280">
        <v>115713.72114800756</v>
      </c>
      <c r="V203" s="279">
        <v>-342101</v>
      </c>
      <c r="W203" s="279">
        <v>16000</v>
      </c>
      <c r="X203" s="279">
        <v>21360.174667993797</v>
      </c>
      <c r="Y203" s="354">
        <v>-698922.09034950426</v>
      </c>
      <c r="Z203" s="355">
        <v>-384.65717685718454</v>
      </c>
      <c r="AB203" s="366">
        <v>-129997.63217770634</v>
      </c>
      <c r="AC203" s="349">
        <v>-71.54520207908989</v>
      </c>
      <c r="AE203" s="374">
        <v>75.989464140267216</v>
      </c>
      <c r="AF203" s="350">
        <v>46.545202079089904</v>
      </c>
      <c r="AG203" s="350">
        <v>21.545202079089904</v>
      </c>
      <c r="AH203" s="350">
        <v>0</v>
      </c>
      <c r="AI203" s="350">
        <v>0</v>
      </c>
      <c r="AJ203" s="408">
        <v>-658</v>
      </c>
      <c r="AK203" s="387">
        <v>-11620</v>
      </c>
      <c r="AL203" s="287">
        <v>-5</v>
      </c>
      <c r="AM203" s="287">
        <v>-653</v>
      </c>
      <c r="AN203" s="287">
        <v>-4164</v>
      </c>
      <c r="AO203" s="287">
        <v>-7456</v>
      </c>
      <c r="AP203" s="287">
        <v>4108</v>
      </c>
      <c r="AQ203" s="287">
        <v>2227</v>
      </c>
      <c r="AR203" s="287">
        <v>1881</v>
      </c>
      <c r="AS203" s="287">
        <v>690</v>
      </c>
      <c r="AT203" s="287">
        <v>243</v>
      </c>
      <c r="AU203" s="287">
        <v>447</v>
      </c>
      <c r="AV203" s="353">
        <f t="shared" si="34"/>
        <v>6278.5239927246175</v>
      </c>
      <c r="AW203" s="353">
        <f t="shared" si="35"/>
        <v>5235.4867506750743</v>
      </c>
      <c r="AX203" s="353">
        <f t="shared" si="36"/>
        <v>1043.0372420495428</v>
      </c>
      <c r="AY203" s="390">
        <v>138073</v>
      </c>
      <c r="AZ203" s="390">
        <v>138073</v>
      </c>
      <c r="BA203" s="401">
        <f t="shared" si="37"/>
        <v>847.39514999999994</v>
      </c>
      <c r="BB203" s="401">
        <v>-1492</v>
      </c>
      <c r="BC203" s="401">
        <v>0</v>
      </c>
      <c r="BD203" s="401">
        <v>0</v>
      </c>
      <c r="BE203" s="401">
        <v>-1060</v>
      </c>
      <c r="BG203" s="426">
        <f t="shared" si="38"/>
        <v>0.34739409988217662</v>
      </c>
      <c r="BH203" s="426">
        <f t="shared" si="39"/>
        <v>5.8369170871726994E-2</v>
      </c>
      <c r="BI203" s="426">
        <f t="shared" si="40"/>
        <v>7.1664572343337438E-2</v>
      </c>
      <c r="BJ203" s="426">
        <f t="shared" si="41"/>
        <v>0.52121903002034353</v>
      </c>
      <c r="BK203" s="426">
        <f t="shared" si="42"/>
        <v>1.3531268824153633E-3</v>
      </c>
      <c r="BL203" s="425">
        <f t="shared" si="43"/>
        <v>11824463.91977641</v>
      </c>
      <c r="BN203" s="423">
        <f t="shared" si="44"/>
        <v>0.44427461597091567</v>
      </c>
      <c r="BO203" s="423">
        <f t="shared" si="45"/>
        <v>0.10555276823315814</v>
      </c>
      <c r="BP203" s="423">
        <f t="shared" si="46"/>
        <v>0.20009841045460372</v>
      </c>
      <c r="BQ203" s="423">
        <f t="shared" si="47"/>
        <v>0.21369243746312808</v>
      </c>
      <c r="BR203" s="423">
        <f t="shared" si="48"/>
        <v>3.7781365249419468E-3</v>
      </c>
      <c r="BS203" s="423">
        <f t="shared" si="49"/>
        <v>3.2603631353252664E-2</v>
      </c>
      <c r="BT203" s="425">
        <f t="shared" si="50"/>
        <v>4234891.9617842156</v>
      </c>
    </row>
    <row r="204" spans="1:72" x14ac:dyDescent="0.2">
      <c r="A204" s="309">
        <v>592</v>
      </c>
      <c r="B204" s="278" t="s">
        <v>129</v>
      </c>
      <c r="C204" s="278">
        <v>13</v>
      </c>
      <c r="D204" s="279">
        <v>4008</v>
      </c>
      <c r="E204" s="364">
        <v>23539000</v>
      </c>
      <c r="F204" s="279">
        <v>11011384</v>
      </c>
      <c r="G204" s="278">
        <v>914781.79</v>
      </c>
      <c r="H204" s="279">
        <v>882931.73820000002</v>
      </c>
      <c r="I204" s="279">
        <v>10857253.960336622</v>
      </c>
      <c r="J204" s="279">
        <v>-69234</v>
      </c>
      <c r="K204" s="279">
        <v>378000</v>
      </c>
      <c r="L204" s="280">
        <v>-8056.079999999999</v>
      </c>
      <c r="M204" s="369">
        <v>444173.56853661867</v>
      </c>
      <c r="N204" s="370">
        <v>110.8217486368809</v>
      </c>
      <c r="P204" s="365">
        <v>11818129.886278195</v>
      </c>
      <c r="Q204" s="283">
        <v>4970950</v>
      </c>
      <c r="R204" s="279">
        <v>882931.73820000002</v>
      </c>
      <c r="S204" s="279">
        <v>592467.44144693483</v>
      </c>
      <c r="T204" s="280">
        <v>4288926.1806808719</v>
      </c>
      <c r="U204" s="280">
        <v>769565.91456725146</v>
      </c>
      <c r="V204" s="279">
        <v>-69234</v>
      </c>
      <c r="W204" s="279">
        <v>378000</v>
      </c>
      <c r="X204" s="279">
        <v>48466.648800211653</v>
      </c>
      <c r="Y204" s="354">
        <v>43944.037417072803</v>
      </c>
      <c r="Z204" s="355">
        <v>10.964081191884432</v>
      </c>
      <c r="AB204" s="366">
        <v>-400229.53111954586</v>
      </c>
      <c r="AC204" s="349">
        <v>-99.85766744499648</v>
      </c>
      <c r="AE204" s="374">
        <v>104.30192950617473</v>
      </c>
      <c r="AF204" s="350">
        <v>74.857667444997404</v>
      </c>
      <c r="AG204" s="350">
        <v>49.857667444997404</v>
      </c>
      <c r="AH204" s="350">
        <v>24.857667444997404</v>
      </c>
      <c r="AI204" s="350">
        <v>0</v>
      </c>
      <c r="AJ204" s="408">
        <v>-1084</v>
      </c>
      <c r="AK204" s="387">
        <v>-22455</v>
      </c>
      <c r="AL204" s="287">
        <v>-5</v>
      </c>
      <c r="AM204" s="287">
        <v>-1079</v>
      </c>
      <c r="AN204" s="287">
        <v>-10739</v>
      </c>
      <c r="AO204" s="287">
        <v>-11716</v>
      </c>
      <c r="AP204" s="287">
        <v>11011</v>
      </c>
      <c r="AQ204" s="287">
        <v>6040</v>
      </c>
      <c r="AR204" s="287">
        <v>4971</v>
      </c>
      <c r="AS204" s="287">
        <v>915</v>
      </c>
      <c r="AT204" s="287">
        <v>323</v>
      </c>
      <c r="AU204" s="287">
        <v>592</v>
      </c>
      <c r="AV204" s="353">
        <f t="shared" si="34"/>
        <v>10779.963880336622</v>
      </c>
      <c r="AW204" s="353">
        <f t="shared" si="35"/>
        <v>5372.6636516277495</v>
      </c>
      <c r="AX204" s="353">
        <f t="shared" si="36"/>
        <v>5407.3002287088721</v>
      </c>
      <c r="AY204" s="390">
        <v>418042</v>
      </c>
      <c r="AZ204" s="390">
        <v>418042</v>
      </c>
      <c r="BA204" s="401">
        <f t="shared" si="37"/>
        <v>882.93173820000004</v>
      </c>
      <c r="BB204" s="401">
        <v>-1429</v>
      </c>
      <c r="BC204" s="401">
        <v>0</v>
      </c>
      <c r="BD204" s="401">
        <v>69</v>
      </c>
      <c r="BE204" s="401">
        <v>-312</v>
      </c>
      <c r="BG204" s="426">
        <f t="shared" si="38"/>
        <v>0.45928383897450953</v>
      </c>
      <c r="BH204" s="426">
        <f t="shared" si="39"/>
        <v>3.815546640959698E-2</v>
      </c>
      <c r="BI204" s="426">
        <f t="shared" si="40"/>
        <v>3.6827003605807644E-2</v>
      </c>
      <c r="BJ204" s="426">
        <f t="shared" si="41"/>
        <v>0.44996734491477547</v>
      </c>
      <c r="BK204" s="426">
        <f t="shared" si="42"/>
        <v>1.576634609531051E-2</v>
      </c>
      <c r="BL204" s="425">
        <f t="shared" si="43"/>
        <v>23975117.488536619</v>
      </c>
      <c r="BN204" s="423">
        <f t="shared" si="44"/>
        <v>0.40640062791565912</v>
      </c>
      <c r="BO204" s="423">
        <f t="shared" si="45"/>
        <v>4.8437248458266191E-2</v>
      </c>
      <c r="BP204" s="423">
        <f t="shared" si="46"/>
        <v>7.218419272194336E-2</v>
      </c>
      <c r="BQ204" s="423">
        <f t="shared" si="47"/>
        <v>0.4078974084917617</v>
      </c>
      <c r="BR204" s="423">
        <f t="shared" si="48"/>
        <v>3.0903436436117673E-2</v>
      </c>
      <c r="BS204" s="423">
        <f t="shared" si="49"/>
        <v>3.4177085976251999E-2</v>
      </c>
      <c r="BT204" s="425">
        <f t="shared" si="50"/>
        <v>12231649.408355806</v>
      </c>
    </row>
    <row r="205" spans="1:72" x14ac:dyDescent="0.2">
      <c r="A205" s="309">
        <v>593</v>
      </c>
      <c r="B205" s="278" t="s">
        <v>130</v>
      </c>
      <c r="C205" s="278">
        <v>10</v>
      </c>
      <c r="D205" s="279">
        <v>18801</v>
      </c>
      <c r="E205" s="364">
        <v>113961000</v>
      </c>
      <c r="F205" s="279">
        <v>60616464</v>
      </c>
      <c r="G205" s="278">
        <v>3975239.585</v>
      </c>
      <c r="H205" s="279">
        <v>4259940.3430000003</v>
      </c>
      <c r="I205" s="279">
        <v>51507796.253744952</v>
      </c>
      <c r="J205" s="279">
        <v>-1905474</v>
      </c>
      <c r="K205" s="279">
        <v>-33000</v>
      </c>
      <c r="L205" s="280">
        <v>-37790.009999999995</v>
      </c>
      <c r="M205" s="369">
        <v>4497756.1917449627</v>
      </c>
      <c r="N205" s="370">
        <v>239.22962564464459</v>
      </c>
      <c r="P205" s="365">
        <v>38299163.006453022</v>
      </c>
      <c r="Q205" s="283">
        <v>28691480</v>
      </c>
      <c r="R205" s="279">
        <v>4259940.3430000003</v>
      </c>
      <c r="S205" s="279">
        <v>2574603.0931196441</v>
      </c>
      <c r="T205" s="280">
        <v>7204475.9022936625</v>
      </c>
      <c r="U205" s="280">
        <v>1582324.5922998616</v>
      </c>
      <c r="V205" s="279">
        <v>-1905474</v>
      </c>
      <c r="W205" s="279">
        <v>-33000</v>
      </c>
      <c r="X205" s="279">
        <v>234188.46691248292</v>
      </c>
      <c r="Y205" s="354">
        <v>4309375.3911726326</v>
      </c>
      <c r="Z205" s="355">
        <v>229.20990325900922</v>
      </c>
      <c r="AB205" s="366">
        <v>-188380.80057233013</v>
      </c>
      <c r="AC205" s="349">
        <v>-10.019722385635346</v>
      </c>
      <c r="AE205" s="374">
        <v>14.463984446811907</v>
      </c>
      <c r="AF205" s="350">
        <v>0</v>
      </c>
      <c r="AG205" s="350">
        <v>0</v>
      </c>
      <c r="AH205" s="350">
        <v>0</v>
      </c>
      <c r="AI205" s="350">
        <v>0</v>
      </c>
      <c r="AJ205" s="408">
        <v>-5719</v>
      </c>
      <c r="AK205" s="387">
        <v>-108242</v>
      </c>
      <c r="AL205" s="287">
        <v>-145</v>
      </c>
      <c r="AM205" s="287">
        <v>-5574</v>
      </c>
      <c r="AN205" s="287">
        <v>-32725</v>
      </c>
      <c r="AO205" s="287">
        <v>-75517</v>
      </c>
      <c r="AP205" s="287">
        <v>60616</v>
      </c>
      <c r="AQ205" s="287">
        <v>31925</v>
      </c>
      <c r="AR205" s="287">
        <v>28691</v>
      </c>
      <c r="AS205" s="287">
        <v>3975</v>
      </c>
      <c r="AT205" s="287">
        <v>1400</v>
      </c>
      <c r="AU205" s="287">
        <v>2575</v>
      </c>
      <c r="AV205" s="353">
        <f t="shared" si="34"/>
        <v>49564.532243744958</v>
      </c>
      <c r="AW205" s="353">
        <f t="shared" si="35"/>
        <v>42411.268377566921</v>
      </c>
      <c r="AX205" s="353">
        <f t="shared" si="36"/>
        <v>7153.2638661780338</v>
      </c>
      <c r="AY205" s="390">
        <v>271937</v>
      </c>
      <c r="AZ205" s="390">
        <v>271937</v>
      </c>
      <c r="BA205" s="401">
        <f t="shared" si="37"/>
        <v>4259.9403430000002</v>
      </c>
      <c r="BB205" s="401">
        <v>-9975</v>
      </c>
      <c r="BC205" s="401">
        <v>0</v>
      </c>
      <c r="BD205" s="401">
        <v>330</v>
      </c>
      <c r="BE205" s="401">
        <v>-2317</v>
      </c>
      <c r="BG205" s="426">
        <f t="shared" si="38"/>
        <v>0.51187273634442154</v>
      </c>
      <c r="BH205" s="426">
        <f t="shared" si="39"/>
        <v>3.3568714334749263E-2</v>
      </c>
      <c r="BI205" s="426">
        <f t="shared" si="40"/>
        <v>3.597285582404483E-2</v>
      </c>
      <c r="BJ205" s="426">
        <f t="shared" si="41"/>
        <v>0.41886436036688357</v>
      </c>
      <c r="BK205" s="426">
        <f t="shared" si="42"/>
        <v>-2.7866687009928375E-4</v>
      </c>
      <c r="BL205" s="425">
        <f t="shared" si="43"/>
        <v>118420966.18174496</v>
      </c>
      <c r="BN205" s="423">
        <f t="shared" si="44"/>
        <v>0.6727779090503424</v>
      </c>
      <c r="BO205" s="423">
        <f t="shared" si="45"/>
        <v>6.0371095726800363E-2</v>
      </c>
      <c r="BP205" s="423">
        <f t="shared" si="46"/>
        <v>9.9890063414042718E-2</v>
      </c>
      <c r="BQ205" s="423">
        <f t="shared" si="47"/>
        <v>0.1613581610472988</v>
      </c>
      <c r="BR205" s="423">
        <f t="shared" si="48"/>
        <v>-7.7380710227082392E-4</v>
      </c>
      <c r="BS205" s="423">
        <f t="shared" si="49"/>
        <v>6.3765778637864994E-3</v>
      </c>
      <c r="BT205" s="425">
        <f t="shared" si="50"/>
        <v>42646287.302297682</v>
      </c>
    </row>
    <row r="206" spans="1:72" x14ac:dyDescent="0.2">
      <c r="A206" s="309">
        <v>595</v>
      </c>
      <c r="B206" s="278" t="s">
        <v>131</v>
      </c>
      <c r="C206" s="278">
        <v>11</v>
      </c>
      <c r="D206" s="279">
        <v>4740</v>
      </c>
      <c r="E206" s="364">
        <v>33613000</v>
      </c>
      <c r="F206" s="279">
        <v>10806405</v>
      </c>
      <c r="G206" s="278">
        <v>1260185.96</v>
      </c>
      <c r="H206" s="279">
        <v>1194910.5426999999</v>
      </c>
      <c r="I206" s="279">
        <v>20333983.248121127</v>
      </c>
      <c r="J206" s="279">
        <v>30474</v>
      </c>
      <c r="K206" s="279">
        <v>405000</v>
      </c>
      <c r="L206" s="280">
        <v>-9527.4</v>
      </c>
      <c r="M206" s="369">
        <v>427486.15082112851</v>
      </c>
      <c r="N206" s="370">
        <v>90.186951650027112</v>
      </c>
      <c r="P206" s="365">
        <v>10770303.640298508</v>
      </c>
      <c r="Q206" s="283">
        <v>4858969</v>
      </c>
      <c r="R206" s="279">
        <v>1194910.5426999999</v>
      </c>
      <c r="S206" s="279">
        <v>816171.85609756096</v>
      </c>
      <c r="T206" s="280">
        <v>4296903.5461153705</v>
      </c>
      <c r="U206" s="280">
        <v>-112777.09189175074</v>
      </c>
      <c r="V206" s="279">
        <v>30474</v>
      </c>
      <c r="W206" s="279">
        <v>405000</v>
      </c>
      <c r="X206" s="279">
        <v>55540.813691361189</v>
      </c>
      <c r="Y206" s="354">
        <v>774889.02641403489</v>
      </c>
      <c r="Z206" s="355">
        <v>163.47869755570358</v>
      </c>
      <c r="AB206" s="366">
        <v>347402.87559290638</v>
      </c>
      <c r="AC206" s="349">
        <v>73.29174590567645</v>
      </c>
      <c r="AE206" s="374">
        <v>-68.847483844499138</v>
      </c>
      <c r="AF206" s="350">
        <v>-48.291745905676464</v>
      </c>
      <c r="AG206" s="350">
        <v>-23.291745905676464</v>
      </c>
      <c r="AH206" s="350">
        <v>0</v>
      </c>
      <c r="AI206" s="350">
        <v>0</v>
      </c>
      <c r="AJ206" s="408">
        <v>-1543</v>
      </c>
      <c r="AK206" s="387">
        <v>-32070</v>
      </c>
      <c r="AL206" s="287">
        <v>-7</v>
      </c>
      <c r="AM206" s="287">
        <v>-1536</v>
      </c>
      <c r="AN206" s="287">
        <v>-9234</v>
      </c>
      <c r="AO206" s="287">
        <v>-22836</v>
      </c>
      <c r="AP206" s="287">
        <v>10806</v>
      </c>
      <c r="AQ206" s="287">
        <v>5947</v>
      </c>
      <c r="AR206" s="287">
        <v>4859</v>
      </c>
      <c r="AS206" s="287">
        <v>1260</v>
      </c>
      <c r="AT206" s="287">
        <v>444</v>
      </c>
      <c r="AU206" s="287">
        <v>816</v>
      </c>
      <c r="AV206" s="353">
        <f t="shared" si="34"/>
        <v>20354.92984812113</v>
      </c>
      <c r="AW206" s="353">
        <f t="shared" si="35"/>
        <v>16466.666467320436</v>
      </c>
      <c r="AX206" s="353">
        <f t="shared" si="36"/>
        <v>3888.263380800694</v>
      </c>
      <c r="AY206" s="390">
        <v>326337</v>
      </c>
      <c r="AZ206" s="390">
        <v>-326337</v>
      </c>
      <c r="BA206" s="401">
        <f t="shared" si="37"/>
        <v>1194.9105427</v>
      </c>
      <c r="BB206" s="401">
        <v>-5085</v>
      </c>
      <c r="BC206" s="401">
        <v>0</v>
      </c>
      <c r="BD206" s="401">
        <v>70</v>
      </c>
      <c r="BE206" s="401">
        <v>-3479</v>
      </c>
      <c r="BG206" s="426">
        <f t="shared" si="38"/>
        <v>0.31754629891934072</v>
      </c>
      <c r="BH206" s="426">
        <f t="shared" si="39"/>
        <v>3.7030574696035948E-2</v>
      </c>
      <c r="BI206" s="426">
        <f t="shared" si="40"/>
        <v>3.5112456027151101E-2</v>
      </c>
      <c r="BJ206" s="426">
        <f t="shared" si="41"/>
        <v>0.59840974205964026</v>
      </c>
      <c r="BK206" s="426">
        <f t="shared" si="42"/>
        <v>1.1900928297831979E-2</v>
      </c>
      <c r="BL206" s="425">
        <f t="shared" si="43"/>
        <v>34030958.750821128</v>
      </c>
      <c r="BN206" s="423">
        <f t="shared" si="44"/>
        <v>0.4352622044556253</v>
      </c>
      <c r="BO206" s="423">
        <f t="shared" si="45"/>
        <v>7.3111962908111533E-2</v>
      </c>
      <c r="BP206" s="423">
        <f t="shared" si="46"/>
        <v>0.10703904407352044</v>
      </c>
      <c r="BQ206" s="423">
        <f t="shared" si="47"/>
        <v>0.37754023221902683</v>
      </c>
      <c r="BR206" s="423">
        <f t="shared" si="48"/>
        <v>3.6279546711355484E-2</v>
      </c>
      <c r="BS206" s="423">
        <f t="shared" si="49"/>
        <v>-2.9232990367639714E-2</v>
      </c>
      <c r="BT206" s="425">
        <f t="shared" si="50"/>
        <v>11163314.779598257</v>
      </c>
    </row>
    <row r="207" spans="1:72" x14ac:dyDescent="0.2">
      <c r="A207" s="309">
        <v>601</v>
      </c>
      <c r="B207" s="278" t="s">
        <v>132</v>
      </c>
      <c r="C207" s="278">
        <v>13</v>
      </c>
      <c r="D207" s="279">
        <v>4221</v>
      </c>
      <c r="E207" s="364">
        <v>29275000</v>
      </c>
      <c r="F207" s="279">
        <v>9745027</v>
      </c>
      <c r="G207" s="278">
        <v>1342833.9749999999</v>
      </c>
      <c r="H207" s="279">
        <v>926188.45759999997</v>
      </c>
      <c r="I207" s="279">
        <v>16440450.170917433</v>
      </c>
      <c r="J207" s="279">
        <v>745307</v>
      </c>
      <c r="K207" s="279">
        <v>28000</v>
      </c>
      <c r="L207" s="280">
        <v>110340.30399937087</v>
      </c>
      <c r="M207" s="369">
        <v>-157533.7004819391</v>
      </c>
      <c r="N207" s="370">
        <v>-37.32141684007086</v>
      </c>
      <c r="P207" s="365">
        <v>12009866.336126257</v>
      </c>
      <c r="Q207" s="283">
        <v>4446653</v>
      </c>
      <c r="R207" s="279">
        <v>926188.45759999997</v>
      </c>
      <c r="S207" s="279">
        <v>869699.65750659187</v>
      </c>
      <c r="T207" s="280">
        <v>4635617.3385209069</v>
      </c>
      <c r="U207" s="280">
        <v>248273.14319000786</v>
      </c>
      <c r="V207" s="279">
        <v>745307</v>
      </c>
      <c r="W207" s="279">
        <v>28000</v>
      </c>
      <c r="X207" s="279">
        <v>49866.676136375987</v>
      </c>
      <c r="Y207" s="354">
        <v>-60261.063172373921</v>
      </c>
      <c r="Z207" s="355">
        <v>-14.276489735222441</v>
      </c>
      <c r="AB207" s="366">
        <v>97272.63730956518</v>
      </c>
      <c r="AC207" s="349">
        <v>23.044927104848419</v>
      </c>
      <c r="AE207" s="374">
        <v>-18.600665043671086</v>
      </c>
      <c r="AF207" s="350">
        <v>0</v>
      </c>
      <c r="AG207" s="350">
        <v>0</v>
      </c>
      <c r="AH207" s="350">
        <v>0</v>
      </c>
      <c r="AI207" s="350">
        <v>0</v>
      </c>
      <c r="AJ207" s="408">
        <v>-1483</v>
      </c>
      <c r="AK207" s="387">
        <v>-27792</v>
      </c>
      <c r="AL207" s="287">
        <v>-36</v>
      </c>
      <c r="AM207" s="287">
        <v>-1447</v>
      </c>
      <c r="AN207" s="287">
        <v>-10563</v>
      </c>
      <c r="AO207" s="287">
        <v>-17229</v>
      </c>
      <c r="AP207" s="287">
        <v>9745</v>
      </c>
      <c r="AQ207" s="287">
        <v>5298</v>
      </c>
      <c r="AR207" s="287">
        <v>4447</v>
      </c>
      <c r="AS207" s="287">
        <v>1343</v>
      </c>
      <c r="AT207" s="287">
        <v>473</v>
      </c>
      <c r="AU207" s="287">
        <v>870</v>
      </c>
      <c r="AV207" s="353">
        <f t="shared" si="34"/>
        <v>17296.097474916805</v>
      </c>
      <c r="AW207" s="353">
        <f t="shared" si="35"/>
        <v>11745.413400355226</v>
      </c>
      <c r="AX207" s="353">
        <f t="shared" si="36"/>
        <v>5550.6840745615791</v>
      </c>
      <c r="AY207" s="390">
        <v>78513</v>
      </c>
      <c r="AZ207" s="390">
        <v>-78513</v>
      </c>
      <c r="BA207" s="401">
        <f t="shared" si="37"/>
        <v>926.18845759999999</v>
      </c>
      <c r="BB207" s="401">
        <v>-1823</v>
      </c>
      <c r="BC207" s="401">
        <v>135</v>
      </c>
      <c r="BD207" s="401">
        <v>0</v>
      </c>
      <c r="BE207" s="401">
        <v>-511</v>
      </c>
      <c r="BG207" s="426">
        <f t="shared" si="38"/>
        <v>0.33341629538588885</v>
      </c>
      <c r="BH207" s="426">
        <f t="shared" si="39"/>
        <v>4.5943713574401301E-2</v>
      </c>
      <c r="BI207" s="426">
        <f t="shared" si="40"/>
        <v>3.168860633861377E-2</v>
      </c>
      <c r="BJ207" s="426">
        <f t="shared" si="41"/>
        <v>0.58799339286887187</v>
      </c>
      <c r="BK207" s="426">
        <f t="shared" si="42"/>
        <v>9.5799183222426037E-4</v>
      </c>
      <c r="BL207" s="425">
        <f t="shared" si="43"/>
        <v>29227806.603517432</v>
      </c>
      <c r="BN207" s="423">
        <f t="shared" si="44"/>
        <v>0.37615838702458726</v>
      </c>
      <c r="BO207" s="423">
        <f t="shared" si="45"/>
        <v>7.357102530004378E-2</v>
      </c>
      <c r="BP207" s="423">
        <f t="shared" si="46"/>
        <v>7.8349616282540224E-2</v>
      </c>
      <c r="BQ207" s="423">
        <f t="shared" si="47"/>
        <v>0.4761940823723475</v>
      </c>
      <c r="BR207" s="423">
        <f t="shared" si="48"/>
        <v>2.3686208113582155E-3</v>
      </c>
      <c r="BS207" s="423">
        <f t="shared" si="49"/>
        <v>-6.6417317908770476E-3</v>
      </c>
      <c r="BT207" s="425">
        <f t="shared" si="50"/>
        <v>11821225.189668171</v>
      </c>
    </row>
    <row r="208" spans="1:72" x14ac:dyDescent="0.2">
      <c r="A208" s="309">
        <v>607</v>
      </c>
      <c r="B208" s="278" t="s">
        <v>133</v>
      </c>
      <c r="C208" s="278">
        <v>12</v>
      </c>
      <c r="D208" s="279">
        <v>4556</v>
      </c>
      <c r="E208" s="364">
        <v>27090000</v>
      </c>
      <c r="F208" s="279">
        <v>9940544</v>
      </c>
      <c r="G208" s="278">
        <v>1034903.69</v>
      </c>
      <c r="H208" s="279">
        <v>931346.88770000008</v>
      </c>
      <c r="I208" s="279">
        <v>14824445.867971707</v>
      </c>
      <c r="J208" s="279">
        <v>-333750</v>
      </c>
      <c r="K208" s="279">
        <v>159000</v>
      </c>
      <c r="L208" s="280">
        <v>-9157.56</v>
      </c>
      <c r="M208" s="369">
        <v>-524351.99432829255</v>
      </c>
      <c r="N208" s="370">
        <v>-115.09042895704403</v>
      </c>
      <c r="P208" s="365">
        <v>11012364.103896104</v>
      </c>
      <c r="Q208" s="283">
        <v>4304472</v>
      </c>
      <c r="R208" s="279">
        <v>931346.88770000008</v>
      </c>
      <c r="S208" s="279">
        <v>670265.57378048776</v>
      </c>
      <c r="T208" s="280">
        <v>3539705.9705732358</v>
      </c>
      <c r="U208" s="280">
        <v>597792.99053075432</v>
      </c>
      <c r="V208" s="279">
        <v>-333750</v>
      </c>
      <c r="W208" s="279">
        <v>159000</v>
      </c>
      <c r="X208" s="279">
        <v>53242.684841164308</v>
      </c>
      <c r="Y208" s="354">
        <v>-1090287.9964704644</v>
      </c>
      <c r="Z208" s="355">
        <v>-239.30816428236707</v>
      </c>
      <c r="AB208" s="366">
        <v>-565936.00214217184</v>
      </c>
      <c r="AC208" s="349">
        <v>-124.21773532532306</v>
      </c>
      <c r="AE208" s="374">
        <v>128.66199738650039</v>
      </c>
      <c r="AF208" s="350">
        <v>99.217735325323048</v>
      </c>
      <c r="AG208" s="350">
        <v>74.217735325323048</v>
      </c>
      <c r="AH208" s="350">
        <v>49.217735325323048</v>
      </c>
      <c r="AI208" s="350">
        <v>24.217735325323048</v>
      </c>
      <c r="AJ208" s="408">
        <v>-1250</v>
      </c>
      <c r="AK208" s="387">
        <v>-25840</v>
      </c>
      <c r="AL208" s="287">
        <v>-120</v>
      </c>
      <c r="AM208" s="287">
        <v>-1130</v>
      </c>
      <c r="AN208" s="287">
        <v>-9882</v>
      </c>
      <c r="AO208" s="287">
        <v>-15958</v>
      </c>
      <c r="AP208" s="287">
        <v>9941</v>
      </c>
      <c r="AQ208" s="287">
        <v>5637</v>
      </c>
      <c r="AR208" s="287">
        <v>4304</v>
      </c>
      <c r="AS208" s="287">
        <v>1035</v>
      </c>
      <c r="AT208" s="287">
        <v>365</v>
      </c>
      <c r="AU208" s="287">
        <v>670</v>
      </c>
      <c r="AV208" s="353">
        <f t="shared" si="34"/>
        <v>14481.538307971707</v>
      </c>
      <c r="AW208" s="353">
        <f t="shared" si="35"/>
        <v>10091.60528677482</v>
      </c>
      <c r="AX208" s="353">
        <f t="shared" si="36"/>
        <v>4389.9330211968863</v>
      </c>
      <c r="AY208" s="390">
        <v>586184</v>
      </c>
      <c r="AZ208" s="390">
        <v>586184</v>
      </c>
      <c r="BA208" s="401">
        <f t="shared" si="37"/>
        <v>931.34688770000014</v>
      </c>
      <c r="BB208" s="401">
        <v>-4792</v>
      </c>
      <c r="BC208" s="401">
        <v>29</v>
      </c>
      <c r="BD208" s="401">
        <v>10</v>
      </c>
      <c r="BE208" s="401">
        <v>3953</v>
      </c>
      <c r="BG208" s="426">
        <f t="shared" si="38"/>
        <v>0.37431693093392743</v>
      </c>
      <c r="BH208" s="426">
        <f t="shared" si="39"/>
        <v>3.8969896723257458E-2</v>
      </c>
      <c r="BI208" s="426">
        <f t="shared" si="40"/>
        <v>3.5070405466615225E-2</v>
      </c>
      <c r="BJ208" s="426">
        <f t="shared" si="41"/>
        <v>0.54565552995853273</v>
      </c>
      <c r="BK208" s="426">
        <f t="shared" si="42"/>
        <v>5.987236917667128E-3</v>
      </c>
      <c r="BL208" s="425">
        <f t="shared" si="43"/>
        <v>26556490.445671707</v>
      </c>
      <c r="BN208" s="423">
        <f t="shared" si="44"/>
        <v>0.41171351526976974</v>
      </c>
      <c r="BO208" s="423">
        <f t="shared" si="45"/>
        <v>6.4109464655705467E-2</v>
      </c>
      <c r="BP208" s="423">
        <f t="shared" si="46"/>
        <v>8.9081332407441968E-2</v>
      </c>
      <c r="BQ208" s="423">
        <f t="shared" si="47"/>
        <v>0.36382043046855889</v>
      </c>
      <c r="BR208" s="423">
        <f t="shared" si="48"/>
        <v>1.5208009002705417E-2</v>
      </c>
      <c r="BS208" s="423">
        <f t="shared" si="49"/>
        <v>5.6067248195818688E-2</v>
      </c>
      <c r="BT208" s="425">
        <f t="shared" si="50"/>
        <v>10455017.482677372</v>
      </c>
    </row>
    <row r="209" spans="1:72" x14ac:dyDescent="0.2">
      <c r="A209" s="309">
        <v>614</v>
      </c>
      <c r="B209" s="278" t="s">
        <v>134</v>
      </c>
      <c r="C209" s="278">
        <v>19</v>
      </c>
      <c r="D209" s="279">
        <v>3477</v>
      </c>
      <c r="E209" s="364">
        <v>25480000</v>
      </c>
      <c r="F209" s="279">
        <v>8775082</v>
      </c>
      <c r="G209" s="278">
        <v>677037.98499999999</v>
      </c>
      <c r="H209" s="279">
        <v>1246437.8980000003</v>
      </c>
      <c r="I209" s="279">
        <v>17223141.484614342</v>
      </c>
      <c r="J209" s="279">
        <v>-8942</v>
      </c>
      <c r="K209" s="279">
        <v>231000</v>
      </c>
      <c r="L209" s="280">
        <v>-6988.7699999999995</v>
      </c>
      <c r="M209" s="369">
        <v>2670746.1376143438</v>
      </c>
      <c r="N209" s="370">
        <v>768.11795732365363</v>
      </c>
      <c r="P209" s="365">
        <v>7984350.0468173549</v>
      </c>
      <c r="Q209" s="283">
        <v>4186284</v>
      </c>
      <c r="R209" s="279">
        <v>1246437.8980000003</v>
      </c>
      <c r="S209" s="279">
        <v>438490.32317897165</v>
      </c>
      <c r="T209" s="280">
        <v>5157389.8237562124</v>
      </c>
      <c r="U209" s="280">
        <v>109512.40076610957</v>
      </c>
      <c r="V209" s="279">
        <v>-8942</v>
      </c>
      <c r="W209" s="279">
        <v>231000</v>
      </c>
      <c r="X209" s="279">
        <v>42003.481773391177</v>
      </c>
      <c r="Y209" s="354">
        <v>3417825.8806573302</v>
      </c>
      <c r="Z209" s="355">
        <v>982.98127139986491</v>
      </c>
      <c r="AB209" s="366">
        <v>747079.74304298637</v>
      </c>
      <c r="AC209" s="349">
        <v>214.8633140762112</v>
      </c>
      <c r="AE209" s="374">
        <v>-210.41905201503391</v>
      </c>
      <c r="AF209" s="350">
        <v>-189.86331407621128</v>
      </c>
      <c r="AG209" s="350">
        <v>-164.86331407621128</v>
      </c>
      <c r="AH209" s="350">
        <v>-139.86331407621128</v>
      </c>
      <c r="AI209" s="350">
        <v>-114.86331407621128</v>
      </c>
      <c r="AJ209" s="408">
        <v>-1070</v>
      </c>
      <c r="AK209" s="387">
        <v>-24410</v>
      </c>
      <c r="AL209" s="287">
        <v>-36</v>
      </c>
      <c r="AM209" s="287">
        <v>-1034</v>
      </c>
      <c r="AN209" s="287">
        <v>-6950</v>
      </c>
      <c r="AO209" s="287">
        <v>-17460</v>
      </c>
      <c r="AP209" s="287">
        <v>8775</v>
      </c>
      <c r="AQ209" s="287">
        <v>4589</v>
      </c>
      <c r="AR209" s="287">
        <v>4186</v>
      </c>
      <c r="AS209" s="287">
        <v>677</v>
      </c>
      <c r="AT209" s="287">
        <v>239</v>
      </c>
      <c r="AU209" s="287">
        <v>438</v>
      </c>
      <c r="AV209" s="353">
        <f t="shared" si="34"/>
        <v>17207.210714614343</v>
      </c>
      <c r="AW209" s="353">
        <f t="shared" si="35"/>
        <v>12680.877533948295</v>
      </c>
      <c r="AX209" s="353">
        <f t="shared" si="36"/>
        <v>4526.3331806660481</v>
      </c>
      <c r="AY209" s="390">
        <v>731627</v>
      </c>
      <c r="AZ209" s="390">
        <v>-731627</v>
      </c>
      <c r="BA209" s="401">
        <f t="shared" si="37"/>
        <v>1246.4378980000004</v>
      </c>
      <c r="BB209" s="401">
        <v>-848</v>
      </c>
      <c r="BC209" s="401">
        <v>0</v>
      </c>
      <c r="BD209" s="401">
        <v>100</v>
      </c>
      <c r="BE209" s="401">
        <v>2435</v>
      </c>
      <c r="BG209" s="426">
        <f t="shared" si="38"/>
        <v>0.31179497056415378</v>
      </c>
      <c r="BH209" s="426">
        <f t="shared" si="39"/>
        <v>2.4056417775228649E-2</v>
      </c>
      <c r="BI209" s="426">
        <f t="shared" si="40"/>
        <v>4.4288254823938486E-2</v>
      </c>
      <c r="BJ209" s="426">
        <f t="shared" si="41"/>
        <v>0.61165249755965811</v>
      </c>
      <c r="BK209" s="426">
        <f t="shared" si="42"/>
        <v>8.2078592770209458E-3</v>
      </c>
      <c r="BL209" s="425">
        <f t="shared" si="43"/>
        <v>28143757.367614344</v>
      </c>
      <c r="BN209" s="423">
        <f t="shared" si="44"/>
        <v>0.39387177094556119</v>
      </c>
      <c r="BO209" s="423">
        <f t="shared" si="45"/>
        <v>4.1255911001975266E-2</v>
      </c>
      <c r="BP209" s="423">
        <f t="shared" si="46"/>
        <v>0.11727267004792864</v>
      </c>
      <c r="BQ209" s="423">
        <f t="shared" si="47"/>
        <v>0.49470177016034445</v>
      </c>
      <c r="BR209" s="423">
        <f t="shared" si="48"/>
        <v>2.1733924188713581E-2</v>
      </c>
      <c r="BS209" s="423">
        <f t="shared" si="49"/>
        <v>-6.8836046344523213E-2</v>
      </c>
      <c r="BT209" s="425">
        <f t="shared" si="50"/>
        <v>10628545.401845021</v>
      </c>
    </row>
    <row r="210" spans="1:72" x14ac:dyDescent="0.2">
      <c r="A210" s="309">
        <v>615</v>
      </c>
      <c r="B210" s="278" t="s">
        <v>135</v>
      </c>
      <c r="C210" s="278">
        <v>17</v>
      </c>
      <c r="D210" s="279">
        <v>8257</v>
      </c>
      <c r="E210" s="364">
        <v>60320000</v>
      </c>
      <c r="F210" s="279">
        <v>18584852</v>
      </c>
      <c r="G210" s="278">
        <v>2345272.7599999998</v>
      </c>
      <c r="H210" s="279">
        <v>2010647.5943</v>
      </c>
      <c r="I210" s="279">
        <v>37214634.772163711</v>
      </c>
      <c r="J210" s="279">
        <v>-68668</v>
      </c>
      <c r="K210" s="279">
        <v>445000</v>
      </c>
      <c r="L210" s="280">
        <v>1085473.7645372152</v>
      </c>
      <c r="M210" s="369">
        <v>-873734.63807350397</v>
      </c>
      <c r="N210" s="370">
        <v>-105.81744435915029</v>
      </c>
      <c r="P210" s="365">
        <v>25040190.293908797</v>
      </c>
      <c r="Q210" s="283">
        <v>8144802</v>
      </c>
      <c r="R210" s="279">
        <v>2010647.5943</v>
      </c>
      <c r="S210" s="279">
        <v>1518939.0156229399</v>
      </c>
      <c r="T210" s="280">
        <v>12528656.550355347</v>
      </c>
      <c r="U210" s="280">
        <v>671564.42750890902</v>
      </c>
      <c r="V210" s="279">
        <v>-68668</v>
      </c>
      <c r="W210" s="279">
        <v>445000</v>
      </c>
      <c r="X210" s="279">
        <v>97326.151380357813</v>
      </c>
      <c r="Y210" s="354">
        <v>308077.44525875524</v>
      </c>
      <c r="Z210" s="355">
        <v>37.311062765987067</v>
      </c>
      <c r="AB210" s="366">
        <v>1181812.0833322592</v>
      </c>
      <c r="AC210" s="349">
        <v>143.12850712513736</v>
      </c>
      <c r="AE210" s="374">
        <v>-138.68424506396002</v>
      </c>
      <c r="AF210" s="350">
        <v>-118.12850712513736</v>
      </c>
      <c r="AG210" s="350">
        <v>-93.128507125137361</v>
      </c>
      <c r="AH210" s="350">
        <v>-68.128507125137361</v>
      </c>
      <c r="AI210" s="350">
        <v>-43.128507125137361</v>
      </c>
      <c r="AJ210" s="408">
        <v>-3206</v>
      </c>
      <c r="AK210" s="387">
        <v>-57114</v>
      </c>
      <c r="AL210" s="287">
        <v>0</v>
      </c>
      <c r="AM210" s="287">
        <v>-3206</v>
      </c>
      <c r="AN210" s="287">
        <v>-21834</v>
      </c>
      <c r="AO210" s="287">
        <v>-35280</v>
      </c>
      <c r="AP210" s="287">
        <v>18585</v>
      </c>
      <c r="AQ210" s="287">
        <v>10440</v>
      </c>
      <c r="AR210" s="287">
        <v>8145</v>
      </c>
      <c r="AS210" s="287">
        <v>2345</v>
      </c>
      <c r="AT210" s="287">
        <v>826</v>
      </c>
      <c r="AU210" s="287">
        <v>1519</v>
      </c>
      <c r="AV210" s="353">
        <f t="shared" si="34"/>
        <v>38231.440536700924</v>
      </c>
      <c r="AW210" s="353">
        <f t="shared" si="35"/>
        <v>26245.003370329785</v>
      </c>
      <c r="AX210" s="353">
        <f t="shared" si="36"/>
        <v>11986.437166371139</v>
      </c>
      <c r="AY210" s="390">
        <v>1145116</v>
      </c>
      <c r="AZ210" s="390">
        <v>-1145116</v>
      </c>
      <c r="BA210" s="401">
        <f t="shared" si="37"/>
        <v>2010.6475943</v>
      </c>
      <c r="BB210" s="401">
        <v>-4890</v>
      </c>
      <c r="BC210" s="401">
        <v>912</v>
      </c>
      <c r="BD210" s="401">
        <v>0</v>
      </c>
      <c r="BE210" s="401">
        <v>-811</v>
      </c>
      <c r="BG210" s="426">
        <f t="shared" si="38"/>
        <v>0.30702656603294154</v>
      </c>
      <c r="BH210" s="426">
        <f t="shared" si="39"/>
        <v>3.8744513107416667E-2</v>
      </c>
      <c r="BI210" s="426">
        <f t="shared" si="40"/>
        <v>3.3216418746854909E-2</v>
      </c>
      <c r="BJ210" s="426">
        <f t="shared" si="41"/>
        <v>0.61366098691725779</v>
      </c>
      <c r="BK210" s="426">
        <f t="shared" si="42"/>
        <v>7.3515151955290776E-3</v>
      </c>
      <c r="BL210" s="425">
        <f t="shared" si="43"/>
        <v>60531739.126463711</v>
      </c>
      <c r="BN210" s="423">
        <f t="shared" si="44"/>
        <v>0.33787691305765943</v>
      </c>
      <c r="BO210" s="423">
        <f t="shared" si="45"/>
        <v>6.3011283235801047E-2</v>
      </c>
      <c r="BP210" s="423">
        <f t="shared" si="46"/>
        <v>8.3409197965634174E-2</v>
      </c>
      <c r="BQ210" s="423">
        <f t="shared" si="47"/>
        <v>0.54474603358238671</v>
      </c>
      <c r="BR210" s="423">
        <f t="shared" si="48"/>
        <v>1.8460267826112708E-2</v>
      </c>
      <c r="BS210" s="423">
        <f t="shared" si="49"/>
        <v>-4.7503695667594041E-2</v>
      </c>
      <c r="BT210" s="425">
        <f t="shared" si="50"/>
        <v>24105825.776294079</v>
      </c>
    </row>
    <row r="211" spans="1:72" x14ac:dyDescent="0.2">
      <c r="A211" s="309">
        <v>616</v>
      </c>
      <c r="B211" s="278" t="s">
        <v>136</v>
      </c>
      <c r="C211" s="278">
        <v>1</v>
      </c>
      <c r="D211" s="279">
        <v>1971</v>
      </c>
      <c r="E211" s="364">
        <v>10991000</v>
      </c>
      <c r="F211" s="279">
        <v>6468663</v>
      </c>
      <c r="G211" s="278">
        <v>370034.13500000001</v>
      </c>
      <c r="H211" s="279">
        <v>456295.61399999994</v>
      </c>
      <c r="I211" s="279">
        <v>3828415.0082005369</v>
      </c>
      <c r="J211" s="279">
        <v>-395074</v>
      </c>
      <c r="K211" s="279">
        <v>17000</v>
      </c>
      <c r="L211" s="280">
        <v>-3961.7099999999996</v>
      </c>
      <c r="M211" s="369">
        <v>-241704.53279946276</v>
      </c>
      <c r="N211" s="370">
        <v>-122.6304073056635</v>
      </c>
      <c r="P211" s="365">
        <v>4811336.981992797</v>
      </c>
      <c r="Q211" s="283">
        <v>3037555</v>
      </c>
      <c r="R211" s="279">
        <v>456295.61399999994</v>
      </c>
      <c r="S211" s="279">
        <v>239656.25421061309</v>
      </c>
      <c r="T211" s="280">
        <v>1561068.9734053533</v>
      </c>
      <c r="U211" s="280">
        <v>-172784.16194875992</v>
      </c>
      <c r="V211" s="279">
        <v>-395074</v>
      </c>
      <c r="W211" s="279">
        <v>17000</v>
      </c>
      <c r="X211" s="279">
        <v>24690.217260723195</v>
      </c>
      <c r="Y211" s="354">
        <v>-42929.085064867511</v>
      </c>
      <c r="Z211" s="355">
        <v>-21.780357719364542</v>
      </c>
      <c r="AB211" s="366">
        <v>198775.44773459525</v>
      </c>
      <c r="AC211" s="349">
        <v>100.85004958629897</v>
      </c>
      <c r="AE211" s="374">
        <v>-96.405787525121625</v>
      </c>
      <c r="AF211" s="350">
        <v>-75.850049586298951</v>
      </c>
      <c r="AG211" s="350">
        <v>-50.850049586298951</v>
      </c>
      <c r="AH211" s="350">
        <v>-25.850049586298951</v>
      </c>
      <c r="AI211" s="350">
        <v>-0.850049586298951</v>
      </c>
      <c r="AJ211" s="408">
        <v>-347</v>
      </c>
      <c r="AK211" s="387">
        <v>-10644</v>
      </c>
      <c r="AL211" s="287">
        <v>-9</v>
      </c>
      <c r="AM211" s="287">
        <v>-338</v>
      </c>
      <c r="AN211" s="287">
        <v>-4473</v>
      </c>
      <c r="AO211" s="287">
        <v>-6171</v>
      </c>
      <c r="AP211" s="287">
        <v>6469</v>
      </c>
      <c r="AQ211" s="287">
        <v>3431</v>
      </c>
      <c r="AR211" s="287">
        <v>3038</v>
      </c>
      <c r="AS211" s="287">
        <v>370</v>
      </c>
      <c r="AT211" s="287">
        <v>130</v>
      </c>
      <c r="AU211" s="287">
        <v>240</v>
      </c>
      <c r="AV211" s="353">
        <f t="shared" si="34"/>
        <v>3429.3792982005371</v>
      </c>
      <c r="AW211" s="353">
        <f t="shared" si="35"/>
        <v>2626.1842939559583</v>
      </c>
      <c r="AX211" s="353">
        <f t="shared" si="36"/>
        <v>803.19500424457851</v>
      </c>
      <c r="AY211" s="390">
        <v>190016</v>
      </c>
      <c r="AZ211" s="390">
        <v>-190016</v>
      </c>
      <c r="BA211" s="401">
        <f t="shared" si="37"/>
        <v>456.29561399999994</v>
      </c>
      <c r="BB211" s="401">
        <v>-5</v>
      </c>
      <c r="BC211" s="401">
        <v>0</v>
      </c>
      <c r="BD211" s="401">
        <v>196</v>
      </c>
      <c r="BE211" s="401">
        <v>151</v>
      </c>
      <c r="BG211" s="426">
        <f t="shared" si="38"/>
        <v>0.6019974014920938</v>
      </c>
      <c r="BH211" s="426">
        <f t="shared" si="39"/>
        <v>3.4436727919413122E-2</v>
      </c>
      <c r="BI211" s="426">
        <f t="shared" si="40"/>
        <v>4.2464536170803674E-2</v>
      </c>
      <c r="BJ211" s="426">
        <f t="shared" si="41"/>
        <v>0.31951925233591061</v>
      </c>
      <c r="BK211" s="426">
        <f t="shared" si="42"/>
        <v>1.5820820817788149E-3</v>
      </c>
      <c r="BL211" s="425">
        <f t="shared" si="43"/>
        <v>10745333.757200537</v>
      </c>
      <c r="BN211" s="423">
        <f t="shared" si="44"/>
        <v>0.6670517932616129</v>
      </c>
      <c r="BO211" s="423">
        <f t="shared" si="45"/>
        <v>5.2628885448181326E-2</v>
      </c>
      <c r="BP211" s="423">
        <f t="shared" si="46"/>
        <v>0.10020322515184373</v>
      </c>
      <c r="BQ211" s="423">
        <f t="shared" si="47"/>
        <v>0.21811063597825955</v>
      </c>
      <c r="BR211" s="423">
        <f t="shared" si="48"/>
        <v>3.7332263894637031E-3</v>
      </c>
      <c r="BS211" s="423">
        <f t="shared" si="49"/>
        <v>-4.1727766229361224E-2</v>
      </c>
      <c r="BT211" s="425">
        <f t="shared" si="50"/>
        <v>4553701.8724551918</v>
      </c>
    </row>
    <row r="212" spans="1:72" x14ac:dyDescent="0.2">
      <c r="A212" s="309">
        <v>619</v>
      </c>
      <c r="B212" s="278" t="s">
        <v>137</v>
      </c>
      <c r="C212" s="278">
        <v>4</v>
      </c>
      <c r="D212" s="279">
        <v>3049</v>
      </c>
      <c r="E212" s="364">
        <v>20381000</v>
      </c>
      <c r="F212" s="279">
        <v>7793744</v>
      </c>
      <c r="G212" s="278">
        <v>494352.81499999994</v>
      </c>
      <c r="H212" s="279">
        <v>620608.7790000001</v>
      </c>
      <c r="I212" s="279">
        <v>10884699.972521964</v>
      </c>
      <c r="J212" s="279">
        <v>32779</v>
      </c>
      <c r="K212" s="279">
        <v>-16000</v>
      </c>
      <c r="L212" s="280">
        <v>228365.13332244774</v>
      </c>
      <c r="M212" s="369">
        <v>-799180.5668004828</v>
      </c>
      <c r="N212" s="370">
        <v>-262.11235382108322</v>
      </c>
      <c r="P212" s="365">
        <v>8131022</v>
      </c>
      <c r="Q212" s="283">
        <v>3633148</v>
      </c>
      <c r="R212" s="279">
        <v>620608.7790000001</v>
      </c>
      <c r="S212" s="279">
        <v>320172.47247033613</v>
      </c>
      <c r="T212" s="280">
        <v>2304728.7076364742</v>
      </c>
      <c r="U212" s="280">
        <v>303401.40786978102</v>
      </c>
      <c r="V212" s="279">
        <v>32779</v>
      </c>
      <c r="W212" s="279">
        <v>-16000</v>
      </c>
      <c r="X212" s="279">
        <v>36363.30154072772</v>
      </c>
      <c r="Y212" s="354">
        <v>-895820.33148268051</v>
      </c>
      <c r="Z212" s="355">
        <v>-293.80791455647113</v>
      </c>
      <c r="AB212" s="366">
        <v>-96639.76468219771</v>
      </c>
      <c r="AC212" s="349">
        <v>-31.6955607353879</v>
      </c>
      <c r="AE212" s="374">
        <v>36.139822796565227</v>
      </c>
      <c r="AF212" s="350">
        <v>6.6955607353879145</v>
      </c>
      <c r="AG212" s="350">
        <v>0</v>
      </c>
      <c r="AH212" s="350">
        <v>0</v>
      </c>
      <c r="AI212" s="350">
        <v>0</v>
      </c>
      <c r="AJ212" s="408">
        <v>-900</v>
      </c>
      <c r="AK212" s="387">
        <v>-19481</v>
      </c>
      <c r="AL212" s="287">
        <v>-9</v>
      </c>
      <c r="AM212" s="287">
        <v>-891</v>
      </c>
      <c r="AN212" s="287">
        <v>-7240</v>
      </c>
      <c r="AO212" s="287">
        <v>-12241</v>
      </c>
      <c r="AP212" s="287">
        <v>7794</v>
      </c>
      <c r="AQ212" s="287">
        <v>4161</v>
      </c>
      <c r="AR212" s="287">
        <v>3633</v>
      </c>
      <c r="AS212" s="287">
        <v>494</v>
      </c>
      <c r="AT212" s="287">
        <v>174</v>
      </c>
      <c r="AU212" s="287">
        <v>320</v>
      </c>
      <c r="AV212" s="353">
        <f t="shared" si="34"/>
        <v>11145.844105844411</v>
      </c>
      <c r="AW212" s="353">
        <f t="shared" si="35"/>
        <v>8394.7446706314295</v>
      </c>
      <c r="AX212" s="353">
        <f t="shared" si="36"/>
        <v>2751.0994352129824</v>
      </c>
      <c r="AY212" s="390">
        <v>110190</v>
      </c>
      <c r="AZ212" s="390">
        <v>110190</v>
      </c>
      <c r="BA212" s="401">
        <f t="shared" si="37"/>
        <v>620.60877900000014</v>
      </c>
      <c r="BB212" s="401">
        <v>-4712</v>
      </c>
      <c r="BC212" s="401">
        <v>60</v>
      </c>
      <c r="BD212" s="401">
        <v>0</v>
      </c>
      <c r="BE212" s="401">
        <v>-4429</v>
      </c>
      <c r="BG212" s="426">
        <f t="shared" si="38"/>
        <v>0.39342106954273232</v>
      </c>
      <c r="BH212" s="426">
        <f t="shared" si="39"/>
        <v>2.4954478002967566E-2</v>
      </c>
      <c r="BI212" s="426">
        <f t="shared" si="40"/>
        <v>3.132776360139481E-2</v>
      </c>
      <c r="BJ212" s="426">
        <f t="shared" si="41"/>
        <v>0.55110435422049808</v>
      </c>
      <c r="BK212" s="426">
        <f t="shared" si="42"/>
        <v>-8.0766536759274059E-4</v>
      </c>
      <c r="BL212" s="425">
        <f t="shared" si="43"/>
        <v>19810184.566521965</v>
      </c>
      <c r="BN212" s="423">
        <f t="shared" si="44"/>
        <v>0.49707671918423468</v>
      </c>
      <c r="BO212" s="423">
        <f t="shared" si="45"/>
        <v>4.380506442034824E-2</v>
      </c>
      <c r="BP212" s="423">
        <f t="shared" si="46"/>
        <v>8.4909884145169368E-2</v>
      </c>
      <c r="BQ212" s="423">
        <f t="shared" si="47"/>
        <v>0.36132148726107177</v>
      </c>
      <c r="BR212" s="423">
        <f t="shared" si="48"/>
        <v>-2.1890733619846356E-3</v>
      </c>
      <c r="BS212" s="423">
        <f t="shared" si="49"/>
        <v>1.5075918351160471E-2</v>
      </c>
      <c r="BT212" s="425">
        <f t="shared" si="50"/>
        <v>7309028.6866833195</v>
      </c>
    </row>
    <row r="213" spans="1:72" x14ac:dyDescent="0.2">
      <c r="A213" s="309">
        <v>620</v>
      </c>
      <c r="B213" s="278" t="s">
        <v>138</v>
      </c>
      <c r="C213" s="278">
        <v>18</v>
      </c>
      <c r="D213" s="279">
        <v>2776</v>
      </c>
      <c r="E213" s="364">
        <v>23195000</v>
      </c>
      <c r="F213" s="279">
        <v>7036382</v>
      </c>
      <c r="G213" s="278">
        <v>1119974.2</v>
      </c>
      <c r="H213" s="279">
        <v>821177.33310000016</v>
      </c>
      <c r="I213" s="279">
        <v>14205133.686827391</v>
      </c>
      <c r="J213" s="279">
        <v>14892</v>
      </c>
      <c r="K213" s="279">
        <v>-63000</v>
      </c>
      <c r="L213" s="280">
        <v>-5579.7599999999993</v>
      </c>
      <c r="M213" s="369">
        <v>-54861.020072607098</v>
      </c>
      <c r="N213" s="370">
        <v>-19.762615299930509</v>
      </c>
      <c r="P213" s="365">
        <v>7323066.649068322</v>
      </c>
      <c r="Q213" s="283">
        <v>3296651</v>
      </c>
      <c r="R213" s="279">
        <v>821177.33310000016</v>
      </c>
      <c r="S213" s="279">
        <v>725362.32794990111</v>
      </c>
      <c r="T213" s="280">
        <v>3552487.0512224021</v>
      </c>
      <c r="U213" s="280">
        <v>-342875.44501047453</v>
      </c>
      <c r="V213" s="279">
        <v>14892</v>
      </c>
      <c r="W213" s="279">
        <v>-63000</v>
      </c>
      <c r="X213" s="279">
        <v>33630.88598669794</v>
      </c>
      <c r="Y213" s="354">
        <v>715258.50418020412</v>
      </c>
      <c r="Z213" s="355">
        <v>257.65796260093811</v>
      </c>
      <c r="AB213" s="366">
        <v>770119.52425281121</v>
      </c>
      <c r="AC213" s="349">
        <v>277.42057790086858</v>
      </c>
      <c r="AE213" s="374">
        <v>-272.97631583969263</v>
      </c>
      <c r="AF213" s="350">
        <v>-252.42057790086994</v>
      </c>
      <c r="AG213" s="350">
        <v>-227.42057790086994</v>
      </c>
      <c r="AH213" s="350">
        <v>-202.42057790086994</v>
      </c>
      <c r="AI213" s="350">
        <v>-177.42057790086994</v>
      </c>
      <c r="AJ213" s="408">
        <v>-1077</v>
      </c>
      <c r="AK213" s="387">
        <v>-22118</v>
      </c>
      <c r="AL213" s="287">
        <v>-370</v>
      </c>
      <c r="AM213" s="287">
        <v>-707</v>
      </c>
      <c r="AN213" s="287">
        <v>-6616</v>
      </c>
      <c r="AO213" s="287">
        <v>-15502</v>
      </c>
      <c r="AP213" s="287">
        <v>7036</v>
      </c>
      <c r="AQ213" s="287">
        <v>3739</v>
      </c>
      <c r="AR213" s="287">
        <v>3297</v>
      </c>
      <c r="AS213" s="287">
        <v>1120</v>
      </c>
      <c r="AT213" s="287">
        <v>395</v>
      </c>
      <c r="AU213" s="287">
        <v>725</v>
      </c>
      <c r="AV213" s="353">
        <f t="shared" si="34"/>
        <v>14214.445926827391</v>
      </c>
      <c r="AW213" s="353">
        <f t="shared" si="35"/>
        <v>11747.724573386451</v>
      </c>
      <c r="AX213" s="353">
        <f t="shared" si="36"/>
        <v>2466.7213534409407</v>
      </c>
      <c r="AY213" s="390">
        <v>757782</v>
      </c>
      <c r="AZ213" s="390">
        <v>-757782</v>
      </c>
      <c r="BA213" s="401">
        <f t="shared" si="37"/>
        <v>821.17733310000017</v>
      </c>
      <c r="BB213" s="401">
        <v>-815</v>
      </c>
      <c r="BC213" s="401">
        <v>70</v>
      </c>
      <c r="BD213" s="401">
        <v>50</v>
      </c>
      <c r="BE213" s="401">
        <v>206</v>
      </c>
      <c r="BG213" s="426">
        <f t="shared" si="38"/>
        <v>0.30415025128030443</v>
      </c>
      <c r="BH213" s="426">
        <f t="shared" si="39"/>
        <v>4.8411304894682795E-2</v>
      </c>
      <c r="BI213" s="426">
        <f t="shared" si="40"/>
        <v>3.5495698244929749E-2</v>
      </c>
      <c r="BJ213" s="426">
        <f t="shared" si="41"/>
        <v>0.61466594421123444</v>
      </c>
      <c r="BK213" s="426">
        <f t="shared" si="42"/>
        <v>-2.7231986311515178E-3</v>
      </c>
      <c r="BL213" s="425">
        <f t="shared" si="43"/>
        <v>23134559.219927393</v>
      </c>
      <c r="BN213" s="423">
        <f t="shared" si="44"/>
        <v>0.45490423968278554</v>
      </c>
      <c r="BO213" s="423">
        <f t="shared" si="45"/>
        <v>0.10009260861722551</v>
      </c>
      <c r="BP213" s="423">
        <f t="shared" si="46"/>
        <v>0.11331410281482422</v>
      </c>
      <c r="BQ213" s="423">
        <f t="shared" si="47"/>
        <v>0.44494863464110607</v>
      </c>
      <c r="BR213" s="423">
        <f t="shared" si="48"/>
        <v>-8.6933579259725977E-3</v>
      </c>
      <c r="BS213" s="423">
        <f t="shared" si="49"/>
        <v>-0.10456622782996869</v>
      </c>
      <c r="BT213" s="425">
        <f t="shared" si="50"/>
        <v>7246912.0144908419</v>
      </c>
    </row>
    <row r="214" spans="1:72" x14ac:dyDescent="0.2">
      <c r="A214" s="309">
        <v>623</v>
      </c>
      <c r="B214" s="278" t="s">
        <v>139</v>
      </c>
      <c r="C214" s="278">
        <v>10</v>
      </c>
      <c r="D214" s="279">
        <v>2260</v>
      </c>
      <c r="E214" s="364">
        <v>16753000</v>
      </c>
      <c r="F214" s="279">
        <v>5878191</v>
      </c>
      <c r="G214" s="278">
        <v>1202264.32</v>
      </c>
      <c r="H214" s="279">
        <v>1735903.1573000001</v>
      </c>
      <c r="I214" s="279">
        <v>8591255.6557514034</v>
      </c>
      <c r="J214" s="279">
        <v>-345889</v>
      </c>
      <c r="K214" s="279">
        <v>-39000</v>
      </c>
      <c r="L214" s="280">
        <v>-4542.5999999999995</v>
      </c>
      <c r="M214" s="369">
        <v>274267.73305140284</v>
      </c>
      <c r="N214" s="370">
        <v>121.35740400504551</v>
      </c>
      <c r="P214" s="365">
        <v>6432623.0632629283</v>
      </c>
      <c r="Q214" s="283">
        <v>2435250</v>
      </c>
      <c r="R214" s="279">
        <v>1735903.1573000001</v>
      </c>
      <c r="S214" s="279">
        <v>778658.33513513522</v>
      </c>
      <c r="T214" s="280">
        <v>1198261.5599124078</v>
      </c>
      <c r="U214" s="280">
        <v>352887.34577911277</v>
      </c>
      <c r="V214" s="279">
        <v>-345889</v>
      </c>
      <c r="W214" s="279">
        <v>-39000</v>
      </c>
      <c r="X214" s="279">
        <v>28203.926754497817</v>
      </c>
      <c r="Y214" s="354">
        <v>-288347.7383817751</v>
      </c>
      <c r="Z214" s="355">
        <v>-127.58749485919252</v>
      </c>
      <c r="AB214" s="366">
        <v>-562615.47143317794</v>
      </c>
      <c r="AC214" s="349">
        <v>-248.94489886423801</v>
      </c>
      <c r="AE214" s="374">
        <v>253.38916092541535</v>
      </c>
      <c r="AF214" s="350">
        <v>223.94489886423804</v>
      </c>
      <c r="AG214" s="350">
        <v>198.94489886423804</v>
      </c>
      <c r="AH214" s="350">
        <v>173.94489886423804</v>
      </c>
      <c r="AI214" s="350">
        <v>148.94489886423804</v>
      </c>
      <c r="AJ214" s="408">
        <v>-536</v>
      </c>
      <c r="AK214" s="387">
        <v>-16217</v>
      </c>
      <c r="AL214" s="287">
        <v>-6</v>
      </c>
      <c r="AM214" s="287">
        <v>-530</v>
      </c>
      <c r="AN214" s="287">
        <v>-5903</v>
      </c>
      <c r="AO214" s="287">
        <v>-10314</v>
      </c>
      <c r="AP214" s="287">
        <v>5878</v>
      </c>
      <c r="AQ214" s="287">
        <v>3443</v>
      </c>
      <c r="AR214" s="287">
        <v>2435</v>
      </c>
      <c r="AS214" s="287">
        <v>1202</v>
      </c>
      <c r="AT214" s="287">
        <v>423</v>
      </c>
      <c r="AU214" s="287">
        <v>779</v>
      </c>
      <c r="AV214" s="353">
        <f t="shared" ref="AV214:AV277" si="51">(I214+J214+L214)*0.001</f>
        <v>8240.8240557514036</v>
      </c>
      <c r="AW214" s="353">
        <f t="shared" ref="AW214:AW277" si="52">AV214-AX214</f>
        <v>6462.9046463684444</v>
      </c>
      <c r="AX214" s="353">
        <f t="shared" ref="AX214:AX277" si="53">(T214+U214+V214+AE214*D214)*0.001</f>
        <v>1777.9194093829594</v>
      </c>
      <c r="AY214" s="390">
        <v>572660</v>
      </c>
      <c r="AZ214" s="390">
        <v>572660</v>
      </c>
      <c r="BA214" s="401">
        <f t="shared" ref="BA214:BA277" si="54">R214*0.001</f>
        <v>1735.9031573000002</v>
      </c>
      <c r="BB214" s="401">
        <v>-1107</v>
      </c>
      <c r="BC214" s="401">
        <v>40</v>
      </c>
      <c r="BD214" s="401">
        <v>0</v>
      </c>
      <c r="BE214" s="401">
        <v>-421</v>
      </c>
      <c r="BG214" s="426">
        <f t="shared" si="38"/>
        <v>0.34531433445910942</v>
      </c>
      <c r="BH214" s="426">
        <f t="shared" si="39"/>
        <v>7.0627018330083821E-2</v>
      </c>
      <c r="BI214" s="426">
        <f t="shared" si="40"/>
        <v>0.10197563220530198</v>
      </c>
      <c r="BJ214" s="426">
        <f t="shared" si="41"/>
        <v>0.48437407003313243</v>
      </c>
      <c r="BK214" s="426">
        <f t="shared" si="42"/>
        <v>-2.2910550276275927E-3</v>
      </c>
      <c r="BL214" s="425">
        <f t="shared" si="43"/>
        <v>17022725.133051403</v>
      </c>
      <c r="BN214" s="423">
        <f t="shared" si="44"/>
        <v>0.36408251965078514</v>
      </c>
      <c r="BO214" s="423">
        <f t="shared" si="45"/>
        <v>0.1164134641630574</v>
      </c>
      <c r="BP214" s="423">
        <f t="shared" si="46"/>
        <v>0.25952653541917142</v>
      </c>
      <c r="BQ214" s="423">
        <f t="shared" si="47"/>
        <v>0.18019261402247674</v>
      </c>
      <c r="BR214" s="423">
        <f t="shared" si="48"/>
        <v>-5.8307025013368732E-3</v>
      </c>
      <c r="BS214" s="423">
        <f t="shared" si="49"/>
        <v>8.5615569245846262E-2</v>
      </c>
      <c r="BT214" s="425">
        <f t="shared" si="50"/>
        <v>6688730.9018180938</v>
      </c>
    </row>
    <row r="215" spans="1:72" x14ac:dyDescent="0.2">
      <c r="A215" s="309">
        <v>625</v>
      </c>
      <c r="B215" s="278" t="s">
        <v>140</v>
      </c>
      <c r="C215" s="278">
        <v>17</v>
      </c>
      <c r="D215" s="279">
        <v>3211</v>
      </c>
      <c r="E215" s="364">
        <v>20186000</v>
      </c>
      <c r="F215" s="279">
        <v>9083756</v>
      </c>
      <c r="G215" s="278">
        <v>549004.57499999995</v>
      </c>
      <c r="H215" s="279">
        <v>824596.79540000006</v>
      </c>
      <c r="I215" s="279">
        <v>10204209.857198004</v>
      </c>
      <c r="J215" s="279">
        <v>158078</v>
      </c>
      <c r="K215" s="279">
        <v>307000</v>
      </c>
      <c r="L215" s="280">
        <v>-20159.491548499645</v>
      </c>
      <c r="M215" s="369">
        <v>960804.71914650372</v>
      </c>
      <c r="N215" s="370">
        <v>299.22289602818552</v>
      </c>
      <c r="P215" s="365">
        <v>9261873.4867315181</v>
      </c>
      <c r="Q215" s="283">
        <v>3794367</v>
      </c>
      <c r="R215" s="279">
        <v>824596.79540000006</v>
      </c>
      <c r="S215" s="279">
        <v>355568.22342617007</v>
      </c>
      <c r="T215" s="280">
        <v>3169520.1680013812</v>
      </c>
      <c r="U215" s="280">
        <v>1133448.0174771261</v>
      </c>
      <c r="V215" s="279">
        <v>158078</v>
      </c>
      <c r="W215" s="279">
        <v>307000</v>
      </c>
      <c r="X215" s="279">
        <v>39548.807171958106</v>
      </c>
      <c r="Y215" s="354">
        <v>520253.52474511787</v>
      </c>
      <c r="Z215" s="355">
        <v>162.02227491283645</v>
      </c>
      <c r="AB215" s="366">
        <v>-440551.19440138584</v>
      </c>
      <c r="AC215" s="349">
        <v>-137.20062111534907</v>
      </c>
      <c r="AE215" s="374">
        <v>141.64488317652638</v>
      </c>
      <c r="AF215" s="350">
        <v>112.20062111534907</v>
      </c>
      <c r="AG215" s="350">
        <v>87.200621115349065</v>
      </c>
      <c r="AH215" s="350">
        <v>62.200621115349065</v>
      </c>
      <c r="AI215" s="350">
        <v>37.200621115349065</v>
      </c>
      <c r="AJ215" s="408">
        <v>-708</v>
      </c>
      <c r="AK215" s="387">
        <v>-19478</v>
      </c>
      <c r="AL215" s="287">
        <v>0</v>
      </c>
      <c r="AM215" s="287">
        <v>-708</v>
      </c>
      <c r="AN215" s="287">
        <v>-8554</v>
      </c>
      <c r="AO215" s="287">
        <v>-10924</v>
      </c>
      <c r="AP215" s="287">
        <v>9084</v>
      </c>
      <c r="AQ215" s="287">
        <v>5290</v>
      </c>
      <c r="AR215" s="287">
        <v>3794</v>
      </c>
      <c r="AS215" s="287">
        <v>549</v>
      </c>
      <c r="AT215" s="287">
        <v>193</v>
      </c>
      <c r="AU215" s="287">
        <v>356</v>
      </c>
      <c r="AV215" s="353">
        <f t="shared" si="51"/>
        <v>10342.128365649505</v>
      </c>
      <c r="AW215" s="353">
        <f t="shared" si="52"/>
        <v>5426.2604602911706</v>
      </c>
      <c r="AX215" s="353">
        <f t="shared" si="53"/>
        <v>4915.8679053583346</v>
      </c>
      <c r="AY215" s="390">
        <v>454822</v>
      </c>
      <c r="AZ215" s="390">
        <v>454822</v>
      </c>
      <c r="BA215" s="401">
        <f t="shared" si="54"/>
        <v>824.59679540000013</v>
      </c>
      <c r="BB215" s="401">
        <v>-2171</v>
      </c>
      <c r="BC215" s="401">
        <v>180</v>
      </c>
      <c r="BD215" s="401">
        <v>272</v>
      </c>
      <c r="BE215" s="401">
        <v>-978</v>
      </c>
      <c r="BG215" s="426">
        <f t="shared" ref="BG215:BG278" si="55">F215/BL215</f>
        <v>0.42996679795303111</v>
      </c>
      <c r="BH215" s="426">
        <f t="shared" ref="BH215:BH278" si="56">G215/BL215</f>
        <v>2.5986358415430212E-2</v>
      </c>
      <c r="BI215" s="426">
        <f t="shared" ref="BI215:BI278" si="57">H215/BL215</f>
        <v>3.9031128062055914E-2</v>
      </c>
      <c r="BJ215" s="426">
        <f t="shared" ref="BJ215:BJ278" si="58">(I215+J215)/BL215</f>
        <v>0.49048430290586864</v>
      </c>
      <c r="BK215" s="426">
        <f t="shared" ref="BK215:BK278" si="59">K215/BL215</f>
        <v>1.4531412663614098E-2</v>
      </c>
      <c r="BL215" s="425">
        <f t="shared" ref="BL215:BL278" si="60">F215+G215+H215+I215+J215+K215</f>
        <v>21126645.227598004</v>
      </c>
      <c r="BN215" s="423">
        <f t="shared" ref="BN215:BN278" si="61">Q215/BT215</f>
        <v>0.37209161435368915</v>
      </c>
      <c r="BO215" s="423">
        <f t="shared" ref="BO215:BO278" si="62">S215/BT215</f>
        <v>3.4868518060460901E-2</v>
      </c>
      <c r="BP215" s="423">
        <f t="shared" ref="BP215:BP278" si="63">R215/BT215</f>
        <v>8.0863435927854305E-2</v>
      </c>
      <c r="BQ215" s="423">
        <f t="shared" ref="BQ215:BQ278" si="64">(T215+U215+V215)/BT215</f>
        <v>0.43746898411805313</v>
      </c>
      <c r="BR215" s="423">
        <f t="shared" ref="BR215:BR278" si="65">W215/BT215</f>
        <v>3.0105713444846683E-2</v>
      </c>
      <c r="BS215" s="423">
        <f t="shared" ref="BS215:BS278" si="66">(AE215*D215)/BT215</f>
        <v>4.4601734095095685E-2</v>
      </c>
      <c r="BT215" s="425">
        <f t="shared" ref="BT215:BT278" si="67">Q215+R215+S215+T215+U215+V215+W215+(AE215*D215)</f>
        <v>10197399.924184505</v>
      </c>
    </row>
    <row r="216" spans="1:72" x14ac:dyDescent="0.2">
      <c r="A216" s="309">
        <v>626</v>
      </c>
      <c r="B216" s="278" t="s">
        <v>141</v>
      </c>
      <c r="C216" s="278">
        <v>17</v>
      </c>
      <c r="D216" s="279">
        <v>5505</v>
      </c>
      <c r="E216" s="364">
        <v>39114000</v>
      </c>
      <c r="F216" s="279">
        <v>15406803</v>
      </c>
      <c r="G216" s="278">
        <v>5125270.1449999996</v>
      </c>
      <c r="H216" s="279">
        <v>1253680.4509999999</v>
      </c>
      <c r="I216" s="279">
        <v>16203029.641988331</v>
      </c>
      <c r="J216" s="279">
        <v>-454184</v>
      </c>
      <c r="K216" s="279">
        <v>461000</v>
      </c>
      <c r="L216" s="280">
        <v>-11065.05</v>
      </c>
      <c r="M216" s="369">
        <v>-1107335.7120116695</v>
      </c>
      <c r="N216" s="370">
        <v>-201.15090136451764</v>
      </c>
      <c r="P216" s="365">
        <v>13799851.922298852</v>
      </c>
      <c r="Q216" s="283">
        <v>6716314</v>
      </c>
      <c r="R216" s="279">
        <v>1253680.4509999999</v>
      </c>
      <c r="S216" s="279">
        <v>3319431.7188282791</v>
      </c>
      <c r="T216" s="280">
        <v>2268450.0186153748</v>
      </c>
      <c r="U216" s="280">
        <v>-167429.08515857483</v>
      </c>
      <c r="V216" s="279">
        <v>-454184</v>
      </c>
      <c r="W216" s="279">
        <v>461000</v>
      </c>
      <c r="X216" s="279">
        <v>73060.442237538693</v>
      </c>
      <c r="Y216" s="354">
        <v>-329528.37677623518</v>
      </c>
      <c r="Z216" s="355">
        <v>-59.859832293594039</v>
      </c>
      <c r="AB216" s="366">
        <v>777807.33523543435</v>
      </c>
      <c r="AC216" s="349">
        <v>141.29106907092358</v>
      </c>
      <c r="AE216" s="374">
        <v>-136.84680700974627</v>
      </c>
      <c r="AF216" s="350">
        <v>-116.29106907092358</v>
      </c>
      <c r="AG216" s="350">
        <v>-91.291069070923584</v>
      </c>
      <c r="AH216" s="350">
        <v>-66.291069070923584</v>
      </c>
      <c r="AI216" s="350">
        <v>-41.291069070923584</v>
      </c>
      <c r="AJ216" s="408">
        <v>-1526</v>
      </c>
      <c r="AK216" s="387">
        <v>-37588</v>
      </c>
      <c r="AL216" s="287">
        <v>0</v>
      </c>
      <c r="AM216" s="287">
        <v>-1526</v>
      </c>
      <c r="AN216" s="287">
        <v>-12274</v>
      </c>
      <c r="AO216" s="287">
        <v>-25314</v>
      </c>
      <c r="AP216" s="287">
        <v>15407</v>
      </c>
      <c r="AQ216" s="287">
        <v>8691</v>
      </c>
      <c r="AR216" s="287">
        <v>6716</v>
      </c>
      <c r="AS216" s="287">
        <v>5125</v>
      </c>
      <c r="AT216" s="287">
        <v>1806</v>
      </c>
      <c r="AU216" s="287">
        <v>3319</v>
      </c>
      <c r="AV216" s="353">
        <f t="shared" si="51"/>
        <v>15737.78059198833</v>
      </c>
      <c r="AW216" s="353">
        <f t="shared" si="52"/>
        <v>14844.285331120183</v>
      </c>
      <c r="AX216" s="353">
        <f t="shared" si="53"/>
        <v>893.49526086814672</v>
      </c>
      <c r="AY216" s="390">
        <v>753342</v>
      </c>
      <c r="AZ216" s="390">
        <v>-753342</v>
      </c>
      <c r="BA216" s="401">
        <f t="shared" si="54"/>
        <v>1253.6804509999999</v>
      </c>
      <c r="BB216" s="401">
        <v>-2645</v>
      </c>
      <c r="BC216" s="401">
        <v>217</v>
      </c>
      <c r="BD216" s="401">
        <v>30</v>
      </c>
      <c r="BE216" s="401">
        <v>-3240</v>
      </c>
      <c r="BG216" s="426">
        <f t="shared" si="55"/>
        <v>0.40548914371631084</v>
      </c>
      <c r="BH216" s="426">
        <f t="shared" si="56"/>
        <v>0.13489115181201591</v>
      </c>
      <c r="BI216" s="426">
        <f t="shared" si="57"/>
        <v>3.2995411998833782E-2</v>
      </c>
      <c r="BJ216" s="426">
        <f t="shared" si="58"/>
        <v>0.41449130841033027</v>
      </c>
      <c r="BK216" s="426">
        <f t="shared" si="59"/>
        <v>1.2132984062509223E-2</v>
      </c>
      <c r="BL216" s="425">
        <f t="shared" si="60"/>
        <v>37995599.23798833</v>
      </c>
      <c r="BN216" s="423">
        <f t="shared" si="61"/>
        <v>0.53118915969332048</v>
      </c>
      <c r="BO216" s="423">
        <f t="shared" si="62"/>
        <v>0.26253182108277667</v>
      </c>
      <c r="BP216" s="423">
        <f t="shared" si="63"/>
        <v>9.9152818836438103E-2</v>
      </c>
      <c r="BQ216" s="423">
        <f t="shared" si="64"/>
        <v>0.13024732417734525</v>
      </c>
      <c r="BR216" s="423">
        <f t="shared" si="65"/>
        <v>3.646020758091726E-2</v>
      </c>
      <c r="BS216" s="423">
        <f t="shared" si="66"/>
        <v>-5.958133137079763E-2</v>
      </c>
      <c r="BT216" s="425">
        <f t="shared" si="67"/>
        <v>12643921.430696424</v>
      </c>
    </row>
    <row r="217" spans="1:72" x14ac:dyDescent="0.2">
      <c r="A217" s="309">
        <v>630</v>
      </c>
      <c r="B217" s="278" t="s">
        <v>142</v>
      </c>
      <c r="C217" s="278">
        <v>17</v>
      </c>
      <c r="D217" s="279">
        <v>1587</v>
      </c>
      <c r="E217" s="364">
        <v>9926000</v>
      </c>
      <c r="F217" s="279">
        <v>3680576</v>
      </c>
      <c r="G217" s="278">
        <v>495926.06500000006</v>
      </c>
      <c r="H217" s="279">
        <v>372399.65699999995</v>
      </c>
      <c r="I217" s="279">
        <v>5877106.837434059</v>
      </c>
      <c r="J217" s="279">
        <v>-181100</v>
      </c>
      <c r="K217" s="279">
        <v>-16000</v>
      </c>
      <c r="L217" s="280">
        <v>108817.3057685095</v>
      </c>
      <c r="M217" s="369">
        <v>194091.2536655505</v>
      </c>
      <c r="N217" s="370">
        <v>122.30072694741682</v>
      </c>
      <c r="P217" s="365">
        <v>4114727.6774251498</v>
      </c>
      <c r="Q217" s="283">
        <v>1519913</v>
      </c>
      <c r="R217" s="279">
        <v>372399.65699999995</v>
      </c>
      <c r="S217" s="279">
        <v>321191.40333717869</v>
      </c>
      <c r="T217" s="280">
        <v>2556489.7367573176</v>
      </c>
      <c r="U217" s="280">
        <v>8838.1220683087067</v>
      </c>
      <c r="V217" s="279">
        <v>-181100</v>
      </c>
      <c r="W217" s="279">
        <v>-16000</v>
      </c>
      <c r="X217" s="279">
        <v>18550.830079102219</v>
      </c>
      <c r="Y217" s="354">
        <v>485555.07181675639</v>
      </c>
      <c r="Z217" s="355">
        <v>305.95782723173056</v>
      </c>
      <c r="AB217" s="366">
        <v>291463.81815120589</v>
      </c>
      <c r="AC217" s="349">
        <v>183.65710028431374</v>
      </c>
      <c r="AE217" s="374">
        <v>-179.21283822313757</v>
      </c>
      <c r="AF217" s="350">
        <v>-158.65710028431491</v>
      </c>
      <c r="AG217" s="350">
        <v>-133.65710028431491</v>
      </c>
      <c r="AH217" s="350">
        <v>-108.65710028431491</v>
      </c>
      <c r="AI217" s="350">
        <v>-83.657100284314907</v>
      </c>
      <c r="AJ217" s="408">
        <v>-420</v>
      </c>
      <c r="AK217" s="387">
        <v>-9506</v>
      </c>
      <c r="AL217" s="287">
        <v>-62</v>
      </c>
      <c r="AM217" s="287">
        <v>-358</v>
      </c>
      <c r="AN217" s="287">
        <v>-3757</v>
      </c>
      <c r="AO217" s="287">
        <v>-5749</v>
      </c>
      <c r="AP217" s="287">
        <v>3681</v>
      </c>
      <c r="AQ217" s="287">
        <v>2161</v>
      </c>
      <c r="AR217" s="287">
        <v>1520</v>
      </c>
      <c r="AS217" s="287">
        <v>496</v>
      </c>
      <c r="AT217" s="287">
        <v>175</v>
      </c>
      <c r="AU217" s="287">
        <v>321</v>
      </c>
      <c r="AV217" s="353">
        <f t="shared" si="51"/>
        <v>5804.8241432025688</v>
      </c>
      <c r="AW217" s="353">
        <f t="shared" si="52"/>
        <v>3705.0070586370616</v>
      </c>
      <c r="AX217" s="353">
        <f t="shared" si="53"/>
        <v>2099.8170845655072</v>
      </c>
      <c r="AY217" s="390">
        <v>284411</v>
      </c>
      <c r="AZ217" s="390">
        <v>-284411</v>
      </c>
      <c r="BA217" s="401">
        <f t="shared" si="54"/>
        <v>372.39965699999993</v>
      </c>
      <c r="BB217" s="401">
        <v>-220</v>
      </c>
      <c r="BC217" s="401">
        <v>9</v>
      </c>
      <c r="BD217" s="401">
        <v>40</v>
      </c>
      <c r="BE217" s="401">
        <v>438</v>
      </c>
      <c r="BG217" s="426">
        <f t="shared" si="55"/>
        <v>0.3598209895625108</v>
      </c>
      <c r="BH217" s="426">
        <f t="shared" si="56"/>
        <v>4.8482793850240305E-2</v>
      </c>
      <c r="BI217" s="426">
        <f t="shared" si="57"/>
        <v>3.6406587744548566E-2</v>
      </c>
      <c r="BJ217" s="426">
        <f t="shared" si="58"/>
        <v>0.55685382309734954</v>
      </c>
      <c r="BK217" s="426">
        <f t="shared" si="59"/>
        <v>-1.5641942546493191E-3</v>
      </c>
      <c r="BL217" s="425">
        <f t="shared" si="60"/>
        <v>10228908.55943406</v>
      </c>
      <c r="BN217" s="423">
        <f t="shared" si="61"/>
        <v>0.35368848376688389</v>
      </c>
      <c r="BO217" s="423">
        <f t="shared" si="62"/>
        <v>7.4742238828988491E-2</v>
      </c>
      <c r="BP217" s="423">
        <f t="shared" si="63"/>
        <v>8.6658558772533423E-2</v>
      </c>
      <c r="BQ217" s="423">
        <f t="shared" si="64"/>
        <v>0.55481724042283986</v>
      </c>
      <c r="BR217" s="423">
        <f t="shared" si="65"/>
        <v>-3.7232497782900349E-3</v>
      </c>
      <c r="BS217" s="423">
        <f t="shared" si="66"/>
        <v>-6.6183272012955402E-2</v>
      </c>
      <c r="BT217" s="425">
        <f t="shared" si="67"/>
        <v>4297321.1449026847</v>
      </c>
    </row>
    <row r="218" spans="1:72" x14ac:dyDescent="0.2">
      <c r="A218" s="309">
        <v>631</v>
      </c>
      <c r="B218" s="278" t="s">
        <v>143</v>
      </c>
      <c r="C218" s="278">
        <v>2</v>
      </c>
      <c r="D218" s="279">
        <v>2136</v>
      </c>
      <c r="E218" s="364">
        <v>12252000</v>
      </c>
      <c r="F218" s="279">
        <v>7298784</v>
      </c>
      <c r="G218" s="278">
        <v>256912.34500000003</v>
      </c>
      <c r="H218" s="279">
        <v>865687.44799999997</v>
      </c>
      <c r="I218" s="279">
        <v>4208526.7456795545</v>
      </c>
      <c r="J218" s="279">
        <v>-481985</v>
      </c>
      <c r="K218" s="279">
        <v>-5000</v>
      </c>
      <c r="L218" s="280">
        <v>-4293.3599999999997</v>
      </c>
      <c r="M218" s="369">
        <v>-104781.10132044494</v>
      </c>
      <c r="N218" s="370">
        <v>-49.054822715564114</v>
      </c>
      <c r="P218" s="365">
        <v>5400229.2915567281</v>
      </c>
      <c r="Q218" s="283">
        <v>3358568</v>
      </c>
      <c r="R218" s="279">
        <v>865687.44799999997</v>
      </c>
      <c r="S218" s="279">
        <v>166391.81210448255</v>
      </c>
      <c r="T218" s="280">
        <v>1239393.6903639899</v>
      </c>
      <c r="U218" s="280">
        <v>8521.2937569193091</v>
      </c>
      <c r="V218" s="279">
        <v>-481985</v>
      </c>
      <c r="W218" s="279">
        <v>-5000</v>
      </c>
      <c r="X218" s="279">
        <v>26720.201792892556</v>
      </c>
      <c r="Y218" s="354">
        <v>-221931.84553844389</v>
      </c>
      <c r="Z218" s="355">
        <v>-103.90067675020781</v>
      </c>
      <c r="AB218" s="366">
        <v>-117150.74421799894</v>
      </c>
      <c r="AC218" s="349">
        <v>-54.8458540346437</v>
      </c>
      <c r="AE218" s="374">
        <v>59.290116095821027</v>
      </c>
      <c r="AF218" s="350">
        <v>29.845854034643693</v>
      </c>
      <c r="AG218" s="350">
        <v>4.8458540346436934</v>
      </c>
      <c r="AH218" s="350">
        <v>0</v>
      </c>
      <c r="AI218" s="350">
        <v>0</v>
      </c>
      <c r="AJ218" s="408">
        <v>-534</v>
      </c>
      <c r="AK218" s="387">
        <v>-11718</v>
      </c>
      <c r="AL218" s="287">
        <v>0</v>
      </c>
      <c r="AM218" s="287">
        <v>-534</v>
      </c>
      <c r="AN218" s="287">
        <v>-4866</v>
      </c>
      <c r="AO218" s="287">
        <v>-6852</v>
      </c>
      <c r="AP218" s="287">
        <v>7299</v>
      </c>
      <c r="AQ218" s="287">
        <v>3940</v>
      </c>
      <c r="AR218" s="287">
        <v>3359</v>
      </c>
      <c r="AS218" s="287">
        <v>257</v>
      </c>
      <c r="AT218" s="287">
        <v>91</v>
      </c>
      <c r="AU218" s="287">
        <v>166</v>
      </c>
      <c r="AV218" s="353">
        <f t="shared" si="51"/>
        <v>3722.2483856795548</v>
      </c>
      <c r="AW218" s="353">
        <f t="shared" si="52"/>
        <v>2829.6747135779719</v>
      </c>
      <c r="AX218" s="353">
        <f t="shared" si="53"/>
        <v>892.57367210158293</v>
      </c>
      <c r="AY218" s="390">
        <v>126644</v>
      </c>
      <c r="AZ218" s="390">
        <v>126644</v>
      </c>
      <c r="BA218" s="401">
        <f t="shared" si="54"/>
        <v>865.68744800000002</v>
      </c>
      <c r="BB218" s="401">
        <v>-806</v>
      </c>
      <c r="BC218" s="401">
        <v>100</v>
      </c>
      <c r="BD218" s="401">
        <v>0</v>
      </c>
      <c r="BE218" s="401">
        <v>-606</v>
      </c>
      <c r="BG218" s="426">
        <f t="shared" si="55"/>
        <v>0.60107294381002052</v>
      </c>
      <c r="BH218" s="426">
        <f t="shared" si="56"/>
        <v>2.1157368064363274E-2</v>
      </c>
      <c r="BI218" s="426">
        <f t="shared" si="57"/>
        <v>7.1291505926020571E-2</v>
      </c>
      <c r="BJ218" s="426">
        <f t="shared" si="58"/>
        <v>0.30688994458618624</v>
      </c>
      <c r="BK218" s="426">
        <f t="shared" si="59"/>
        <v>-4.1176238659071195E-4</v>
      </c>
      <c r="BL218" s="425">
        <f t="shared" si="60"/>
        <v>12142925.538679555</v>
      </c>
      <c r="BN218" s="423">
        <f t="shared" si="61"/>
        <v>0.63630682442772746</v>
      </c>
      <c r="BO218" s="423">
        <f t="shared" si="62"/>
        <v>3.1524222695797251E-2</v>
      </c>
      <c r="BP218" s="423">
        <f t="shared" si="63"/>
        <v>0.16401121876461142</v>
      </c>
      <c r="BQ218" s="423">
        <f t="shared" si="64"/>
        <v>0.14511139150076918</v>
      </c>
      <c r="BR218" s="423">
        <f t="shared" si="65"/>
        <v>-9.4728888089764358E-4</v>
      </c>
      <c r="BS218" s="423">
        <f t="shared" si="66"/>
        <v>2.3993631491992552E-2</v>
      </c>
      <c r="BT218" s="425">
        <f t="shared" si="67"/>
        <v>5278220.9322060645</v>
      </c>
    </row>
    <row r="219" spans="1:72" x14ac:dyDescent="0.2">
      <c r="A219" s="309">
        <v>624</v>
      </c>
      <c r="B219" s="278" t="s">
        <v>297</v>
      </c>
      <c r="C219" s="278">
        <v>8</v>
      </c>
      <c r="D219" s="279">
        <v>5321</v>
      </c>
      <c r="E219" s="364">
        <v>29955000</v>
      </c>
      <c r="F219" s="279">
        <v>18006013</v>
      </c>
      <c r="G219" s="278">
        <v>654996.36499999999</v>
      </c>
      <c r="H219" s="279">
        <v>2028739.6867</v>
      </c>
      <c r="I219" s="279">
        <v>9975949.039733462</v>
      </c>
      <c r="J219" s="279">
        <v>-709742</v>
      </c>
      <c r="K219" s="279">
        <v>-45000</v>
      </c>
      <c r="L219" s="280">
        <v>-10695.21</v>
      </c>
      <c r="M219" s="369">
        <v>-33348.698566538245</v>
      </c>
      <c r="N219" s="370">
        <v>-6.2673742842582678</v>
      </c>
      <c r="P219" s="365">
        <v>12699382.638095237</v>
      </c>
      <c r="Q219" s="283">
        <v>7420419</v>
      </c>
      <c r="R219" s="279">
        <v>2028739.6867</v>
      </c>
      <c r="S219" s="279">
        <v>424214.85076631512</v>
      </c>
      <c r="T219" s="280">
        <v>3224019.704467074</v>
      </c>
      <c r="U219" s="280">
        <v>-22922.458930459405</v>
      </c>
      <c r="V219" s="279">
        <v>-709742</v>
      </c>
      <c r="W219" s="279">
        <v>-45000</v>
      </c>
      <c r="X219" s="279">
        <v>67257.919803181474</v>
      </c>
      <c r="Y219" s="354">
        <v>-312395.93528912775</v>
      </c>
      <c r="Z219" s="355">
        <v>-58.710004752702076</v>
      </c>
      <c r="AB219" s="366">
        <v>-279047.23672258953</v>
      </c>
      <c r="AC219" s="349">
        <v>-52.442630468443816</v>
      </c>
      <c r="AE219" s="374">
        <v>56.886892529621143</v>
      </c>
      <c r="AF219" s="350">
        <v>27.442630468443809</v>
      </c>
      <c r="AG219" s="350">
        <v>2.4426304684438094</v>
      </c>
      <c r="AH219" s="350">
        <v>0</v>
      </c>
      <c r="AI219" s="350">
        <v>0</v>
      </c>
      <c r="AJ219" s="408">
        <v>-1441</v>
      </c>
      <c r="AK219" s="387">
        <v>-28514</v>
      </c>
      <c r="AL219" s="287">
        <v>-15</v>
      </c>
      <c r="AM219" s="287">
        <v>-1426</v>
      </c>
      <c r="AN219" s="287">
        <v>-11273</v>
      </c>
      <c r="AO219" s="287">
        <v>-17241</v>
      </c>
      <c r="AP219" s="287">
        <v>18006</v>
      </c>
      <c r="AQ219" s="287">
        <v>10586</v>
      </c>
      <c r="AR219" s="287">
        <v>7420</v>
      </c>
      <c r="AS219" s="287">
        <v>655</v>
      </c>
      <c r="AT219" s="287">
        <v>231</v>
      </c>
      <c r="AU219" s="287">
        <v>424</v>
      </c>
      <c r="AV219" s="353">
        <f t="shared" si="51"/>
        <v>9255.5118297334611</v>
      </c>
      <c r="AW219" s="353">
        <f t="shared" si="52"/>
        <v>6461.4614290467325</v>
      </c>
      <c r="AX219" s="353">
        <f t="shared" si="53"/>
        <v>2794.0504006867286</v>
      </c>
      <c r="AY219" s="390">
        <v>302695</v>
      </c>
      <c r="AZ219" s="390">
        <v>302695</v>
      </c>
      <c r="BA219" s="401">
        <f t="shared" si="54"/>
        <v>2028.7396867</v>
      </c>
      <c r="BB219" s="401">
        <v>-3438</v>
      </c>
      <c r="BC219" s="401">
        <v>100</v>
      </c>
      <c r="BD219" s="401">
        <v>2015</v>
      </c>
      <c r="BE219" s="401">
        <v>145</v>
      </c>
      <c r="BG219" s="426">
        <f t="shared" si="55"/>
        <v>0.60198720980226195</v>
      </c>
      <c r="BH219" s="426">
        <f t="shared" si="56"/>
        <v>2.1898208903713107E-2</v>
      </c>
      <c r="BI219" s="426">
        <f t="shared" si="57"/>
        <v>6.782597254659585E-2</v>
      </c>
      <c r="BJ219" s="426">
        <f t="shared" si="58"/>
        <v>0.30979307419689323</v>
      </c>
      <c r="BK219" s="426">
        <f t="shared" si="59"/>
        <v>-1.50446544946412E-3</v>
      </c>
      <c r="BL219" s="425">
        <f t="shared" si="60"/>
        <v>29910956.091433462</v>
      </c>
      <c r="BN219" s="423">
        <f t="shared" si="61"/>
        <v>0.58787591324442412</v>
      </c>
      <c r="BO219" s="423">
        <f t="shared" si="62"/>
        <v>3.3608033832873134E-2</v>
      </c>
      <c r="BP219" s="423">
        <f t="shared" si="63"/>
        <v>0.16072504747426922</v>
      </c>
      <c r="BQ219" s="423">
        <f t="shared" si="64"/>
        <v>0.19737534230696729</v>
      </c>
      <c r="BR219" s="423">
        <f t="shared" si="65"/>
        <v>-3.5650838714092947E-3</v>
      </c>
      <c r="BS219" s="423">
        <f t="shared" si="66"/>
        <v>2.3980747012875687E-2</v>
      </c>
      <c r="BT219" s="425">
        <f t="shared" si="67"/>
        <v>12622423.938153042</v>
      </c>
    </row>
    <row r="220" spans="1:72" x14ac:dyDescent="0.2">
      <c r="A220" s="309">
        <v>608</v>
      </c>
      <c r="B220" s="278" t="s">
        <v>293</v>
      </c>
      <c r="C220" s="278">
        <v>4</v>
      </c>
      <c r="D220" s="279">
        <v>2240</v>
      </c>
      <c r="E220" s="364">
        <v>14764000</v>
      </c>
      <c r="F220" s="279">
        <v>5701004</v>
      </c>
      <c r="G220" s="278">
        <v>442400.68999999994</v>
      </c>
      <c r="H220" s="279">
        <v>539804.8125</v>
      </c>
      <c r="I220" s="279">
        <v>7544993.9843809288</v>
      </c>
      <c r="J220" s="279">
        <v>218793</v>
      </c>
      <c r="K220" s="279">
        <v>-7000</v>
      </c>
      <c r="L220" s="280">
        <v>471555.39078864484</v>
      </c>
      <c r="M220" s="369">
        <v>-795558.90390771651</v>
      </c>
      <c r="N220" s="370">
        <v>-355.16022495880202</v>
      </c>
      <c r="P220" s="365">
        <v>5494388.6565164439</v>
      </c>
      <c r="Q220" s="283">
        <v>2457835</v>
      </c>
      <c r="R220" s="279">
        <v>539804.8125</v>
      </c>
      <c r="S220" s="279">
        <v>286525.16672709293</v>
      </c>
      <c r="T220" s="280">
        <v>1854431.0619092146</v>
      </c>
      <c r="U220" s="280">
        <v>-353175.43067253573</v>
      </c>
      <c r="V220" s="279">
        <v>218793</v>
      </c>
      <c r="W220" s="279">
        <v>-7000</v>
      </c>
      <c r="X220" s="279">
        <v>26878.863378511011</v>
      </c>
      <c r="Y220" s="354">
        <v>-470296.18267416116</v>
      </c>
      <c r="Z220" s="355">
        <v>-209.95365297953623</v>
      </c>
      <c r="AB220" s="366">
        <v>325262.72123355535</v>
      </c>
      <c r="AC220" s="349">
        <v>145.20657197926579</v>
      </c>
      <c r="AE220" s="374">
        <v>-140.76230991808848</v>
      </c>
      <c r="AF220" s="350">
        <v>-120.20657197926579</v>
      </c>
      <c r="AG220" s="350">
        <v>-95.206571979265789</v>
      </c>
      <c r="AH220" s="350">
        <v>-70.206571979265789</v>
      </c>
      <c r="AI220" s="350">
        <v>-45.206571979265789</v>
      </c>
      <c r="AJ220" s="408">
        <v>-518</v>
      </c>
      <c r="AK220" s="387">
        <v>-14246</v>
      </c>
      <c r="AL220" s="287">
        <v>-44</v>
      </c>
      <c r="AM220" s="287">
        <v>-474</v>
      </c>
      <c r="AN220" s="287">
        <v>-5020</v>
      </c>
      <c r="AO220" s="287">
        <v>-9226</v>
      </c>
      <c r="AP220" s="287">
        <v>5701</v>
      </c>
      <c r="AQ220" s="287">
        <v>3243</v>
      </c>
      <c r="AR220" s="287">
        <v>2458</v>
      </c>
      <c r="AS220" s="287">
        <v>442</v>
      </c>
      <c r="AT220" s="287">
        <v>155</v>
      </c>
      <c r="AU220" s="287">
        <v>287</v>
      </c>
      <c r="AV220" s="353">
        <f t="shared" si="51"/>
        <v>8235.3423751695736</v>
      </c>
      <c r="AW220" s="353">
        <f t="shared" si="52"/>
        <v>6830.6013181494127</v>
      </c>
      <c r="AX220" s="353">
        <f t="shared" si="53"/>
        <v>1404.741057020161</v>
      </c>
      <c r="AY220" s="390">
        <v>315308</v>
      </c>
      <c r="AZ220" s="390">
        <v>-315308</v>
      </c>
      <c r="BA220" s="401">
        <f t="shared" si="54"/>
        <v>539.80481250000003</v>
      </c>
      <c r="BB220" s="401">
        <v>-272</v>
      </c>
      <c r="BC220" s="401">
        <v>0</v>
      </c>
      <c r="BD220" s="401">
        <v>0</v>
      </c>
      <c r="BE220" s="401">
        <v>-252</v>
      </c>
      <c r="BG220" s="426">
        <f t="shared" si="55"/>
        <v>0.39480646724391483</v>
      </c>
      <c r="BH220" s="426">
        <f t="shared" si="56"/>
        <v>3.0637174351249408E-2</v>
      </c>
      <c r="BI220" s="426">
        <f t="shared" si="57"/>
        <v>3.7382613838613132E-2</v>
      </c>
      <c r="BJ220" s="426">
        <f t="shared" si="58"/>
        <v>0.53765850922709779</v>
      </c>
      <c r="BK220" s="426">
        <f t="shared" si="59"/>
        <v>-4.8476466087506756E-4</v>
      </c>
      <c r="BL220" s="425">
        <f t="shared" si="60"/>
        <v>14439996.486880928</v>
      </c>
      <c r="BN220" s="423">
        <f t="shared" si="61"/>
        <v>0.52496461504598224</v>
      </c>
      <c r="BO220" s="423">
        <f t="shared" si="62"/>
        <v>6.1198401785259884E-2</v>
      </c>
      <c r="BP220" s="423">
        <f t="shared" si="63"/>
        <v>0.11529595175999655</v>
      </c>
      <c r="BQ220" s="423">
        <f t="shared" si="64"/>
        <v>0.36738213409668746</v>
      </c>
      <c r="BR220" s="423">
        <f t="shared" si="65"/>
        <v>-1.4951175751512513E-3</v>
      </c>
      <c r="BS220" s="423">
        <f t="shared" si="66"/>
        <v>-6.7345985112774842E-2</v>
      </c>
      <c r="BT220" s="425">
        <f t="shared" si="67"/>
        <v>4681906.0362472534</v>
      </c>
    </row>
    <row r="221" spans="1:72" x14ac:dyDescent="0.2">
      <c r="A221" s="309">
        <v>635</v>
      </c>
      <c r="B221" s="278" t="s">
        <v>144</v>
      </c>
      <c r="C221" s="278">
        <v>6</v>
      </c>
      <c r="D221" s="279">
        <v>6676</v>
      </c>
      <c r="E221" s="364">
        <v>39690000</v>
      </c>
      <c r="F221" s="279">
        <v>19363279</v>
      </c>
      <c r="G221" s="278">
        <v>1098198.405</v>
      </c>
      <c r="H221" s="279">
        <v>2205873.1885000002</v>
      </c>
      <c r="I221" s="279">
        <v>17188006.546704516</v>
      </c>
      <c r="J221" s="279">
        <v>-706745</v>
      </c>
      <c r="K221" s="279">
        <v>50000</v>
      </c>
      <c r="L221" s="280">
        <v>-13418.759999999998</v>
      </c>
      <c r="M221" s="369">
        <v>-477969.09979548096</v>
      </c>
      <c r="N221" s="370">
        <v>-71.595131784823394</v>
      </c>
      <c r="P221" s="365">
        <v>16446222.411902938</v>
      </c>
      <c r="Q221" s="283">
        <v>8645956</v>
      </c>
      <c r="R221" s="279">
        <v>2205873.1885000002</v>
      </c>
      <c r="S221" s="279">
        <v>711259.01971819391</v>
      </c>
      <c r="T221" s="280">
        <v>4308767.7450125562</v>
      </c>
      <c r="U221" s="280">
        <v>455506.91248280095</v>
      </c>
      <c r="V221" s="279">
        <v>-706745</v>
      </c>
      <c r="W221" s="279">
        <v>50000</v>
      </c>
      <c r="X221" s="279">
        <v>80847.07666699127</v>
      </c>
      <c r="Y221" s="354">
        <v>-694757.46952239424</v>
      </c>
      <c r="Z221" s="355">
        <v>-104.06792533289308</v>
      </c>
      <c r="AB221" s="366">
        <v>-216788.36972691328</v>
      </c>
      <c r="AC221" s="349">
        <v>-32.472793548069696</v>
      </c>
      <c r="AE221" s="374">
        <v>36.917055609247015</v>
      </c>
      <c r="AF221" s="350">
        <v>7.4727935480696885</v>
      </c>
      <c r="AG221" s="350">
        <v>0</v>
      </c>
      <c r="AH221" s="350">
        <v>0</v>
      </c>
      <c r="AI221" s="350">
        <v>0</v>
      </c>
      <c r="AJ221" s="408">
        <v>-2352</v>
      </c>
      <c r="AK221" s="387">
        <v>-37338</v>
      </c>
      <c r="AL221" s="287">
        <v>0</v>
      </c>
      <c r="AM221" s="287">
        <v>-2352</v>
      </c>
      <c r="AN221" s="287">
        <v>-14094</v>
      </c>
      <c r="AO221" s="287">
        <v>-23244</v>
      </c>
      <c r="AP221" s="287">
        <v>19363</v>
      </c>
      <c r="AQ221" s="287">
        <v>10717</v>
      </c>
      <c r="AR221" s="287">
        <v>8646</v>
      </c>
      <c r="AS221" s="287">
        <v>1098</v>
      </c>
      <c r="AT221" s="287">
        <v>387</v>
      </c>
      <c r="AU221" s="287">
        <v>711</v>
      </c>
      <c r="AV221" s="353">
        <f t="shared" si="51"/>
        <v>16467.842786704517</v>
      </c>
      <c r="AW221" s="353">
        <f t="shared" si="52"/>
        <v>12163.854865961828</v>
      </c>
      <c r="AX221" s="353">
        <f t="shared" si="53"/>
        <v>4303.9879207426902</v>
      </c>
      <c r="AY221" s="390">
        <v>246458</v>
      </c>
      <c r="AZ221" s="390">
        <v>246458</v>
      </c>
      <c r="BA221" s="401">
        <f t="shared" si="54"/>
        <v>2205.8731885000002</v>
      </c>
      <c r="BB221" s="401">
        <v>-8741</v>
      </c>
      <c r="BC221" s="401">
        <v>498</v>
      </c>
      <c r="BD221" s="401">
        <v>0</v>
      </c>
      <c r="BE221" s="401">
        <v>-6782</v>
      </c>
      <c r="BG221" s="426">
        <f t="shared" si="55"/>
        <v>0.4939786880908425</v>
      </c>
      <c r="BH221" s="426">
        <f t="shared" si="56"/>
        <v>2.8016257337683134E-2</v>
      </c>
      <c r="BI221" s="426">
        <f t="shared" si="57"/>
        <v>5.6274267584017865E-2</v>
      </c>
      <c r="BJ221" s="426">
        <f t="shared" si="58"/>
        <v>0.42045523162286441</v>
      </c>
      <c r="BK221" s="426">
        <f t="shared" si="59"/>
        <v>1.2755553645920261E-3</v>
      </c>
      <c r="BL221" s="425">
        <f t="shared" si="60"/>
        <v>39198612.140204519</v>
      </c>
      <c r="BN221" s="423">
        <f t="shared" si="61"/>
        <v>0.54318745038033778</v>
      </c>
      <c r="BO221" s="423">
        <f t="shared" si="62"/>
        <v>4.4685281012388237E-2</v>
      </c>
      <c r="BP221" s="423">
        <f t="shared" si="63"/>
        <v>0.13858532626393905</v>
      </c>
      <c r="BQ221" s="423">
        <f t="shared" si="64"/>
        <v>0.25491677143597635</v>
      </c>
      <c r="BR221" s="423">
        <f t="shared" si="65"/>
        <v>3.1412804459121572E-3</v>
      </c>
      <c r="BS221" s="423">
        <f t="shared" si="66"/>
        <v>1.5483890461446364E-2</v>
      </c>
      <c r="BT221" s="425">
        <f t="shared" si="67"/>
        <v>15917076.128960885</v>
      </c>
    </row>
    <row r="222" spans="1:72" x14ac:dyDescent="0.2">
      <c r="A222" s="309">
        <v>636</v>
      </c>
      <c r="B222" s="278" t="s">
        <v>145</v>
      </c>
      <c r="C222" s="278">
        <v>2</v>
      </c>
      <c r="D222" s="279">
        <v>8562</v>
      </c>
      <c r="E222" s="364">
        <v>49105000</v>
      </c>
      <c r="F222" s="279">
        <v>23826901</v>
      </c>
      <c r="G222" s="278">
        <v>1468785.7350000001</v>
      </c>
      <c r="H222" s="279">
        <v>1713165.925</v>
      </c>
      <c r="I222" s="279">
        <v>22883215.465631336</v>
      </c>
      <c r="J222" s="279">
        <v>-459352</v>
      </c>
      <c r="K222" s="279">
        <v>-136000</v>
      </c>
      <c r="L222" s="280">
        <v>-17209.62</v>
      </c>
      <c r="M222" s="369">
        <v>208925.74563133239</v>
      </c>
      <c r="N222" s="370">
        <v>24.401511986840973</v>
      </c>
      <c r="P222" s="365">
        <v>22168721.250666667</v>
      </c>
      <c r="Q222" s="283">
        <v>10885964</v>
      </c>
      <c r="R222" s="279">
        <v>1713165.925</v>
      </c>
      <c r="S222" s="279">
        <v>951273.55612228089</v>
      </c>
      <c r="T222" s="280">
        <v>8431468.8838045243</v>
      </c>
      <c r="U222" s="280">
        <v>846684.34317348292</v>
      </c>
      <c r="V222" s="279">
        <v>-459352</v>
      </c>
      <c r="W222" s="279">
        <v>-136000</v>
      </c>
      <c r="X222" s="279">
        <v>102612.21267825199</v>
      </c>
      <c r="Y222" s="354">
        <v>167095.67011187598</v>
      </c>
      <c r="Z222" s="355">
        <v>19.515962405031065</v>
      </c>
      <c r="AB222" s="366">
        <v>-41830.075519456412</v>
      </c>
      <c r="AC222" s="349">
        <v>-4.8855495818099053</v>
      </c>
      <c r="AE222" s="374">
        <v>9.3298116429872415</v>
      </c>
      <c r="AF222" s="350">
        <v>0</v>
      </c>
      <c r="AG222" s="350">
        <v>0</v>
      </c>
      <c r="AH222" s="350">
        <v>0</v>
      </c>
      <c r="AI222" s="350">
        <v>0</v>
      </c>
      <c r="AJ222" s="408">
        <v>-2132</v>
      </c>
      <c r="AK222" s="387">
        <v>-46973</v>
      </c>
      <c r="AL222" s="287">
        <v>-53</v>
      </c>
      <c r="AM222" s="287">
        <v>-2079</v>
      </c>
      <c r="AN222" s="287">
        <v>-20090</v>
      </c>
      <c r="AO222" s="287">
        <v>-26883</v>
      </c>
      <c r="AP222" s="287">
        <v>23827</v>
      </c>
      <c r="AQ222" s="287">
        <v>12941</v>
      </c>
      <c r="AR222" s="287">
        <v>10886</v>
      </c>
      <c r="AS222" s="287">
        <v>1469</v>
      </c>
      <c r="AT222" s="287">
        <v>518</v>
      </c>
      <c r="AU222" s="287">
        <v>951</v>
      </c>
      <c r="AV222" s="353">
        <f t="shared" si="51"/>
        <v>22406.653845631336</v>
      </c>
      <c r="AW222" s="353">
        <f t="shared" si="52"/>
        <v>13507.970771366072</v>
      </c>
      <c r="AX222" s="353">
        <f t="shared" si="53"/>
        <v>8898.6830742652637</v>
      </c>
      <c r="AY222" s="390">
        <v>79882</v>
      </c>
      <c r="AZ222" s="390">
        <v>79882</v>
      </c>
      <c r="BA222" s="401">
        <f t="shared" si="54"/>
        <v>1713.165925</v>
      </c>
      <c r="BB222" s="401">
        <v>-6895</v>
      </c>
      <c r="BC222" s="401">
        <v>0</v>
      </c>
      <c r="BD222" s="401">
        <v>105</v>
      </c>
      <c r="BE222" s="401">
        <v>-4155</v>
      </c>
      <c r="BG222" s="426">
        <f t="shared" si="55"/>
        <v>0.48333647497488058</v>
      </c>
      <c r="BH222" s="426">
        <f t="shared" si="56"/>
        <v>2.9794798729733635E-2</v>
      </c>
      <c r="BI222" s="426">
        <f t="shared" si="57"/>
        <v>3.4752130763315826E-2</v>
      </c>
      <c r="BJ222" s="426">
        <f t="shared" si="58"/>
        <v>0.45487539998576648</v>
      </c>
      <c r="BK222" s="426">
        <f t="shared" si="59"/>
        <v>-2.758804453696423E-3</v>
      </c>
      <c r="BL222" s="425">
        <f t="shared" si="60"/>
        <v>49296716.125631332</v>
      </c>
      <c r="BN222" s="423">
        <f t="shared" si="61"/>
        <v>0.48787351642175919</v>
      </c>
      <c r="BO222" s="423">
        <f t="shared" si="62"/>
        <v>4.263298821348379E-2</v>
      </c>
      <c r="BP222" s="423">
        <f t="shared" si="63"/>
        <v>7.6778527289240145E-2</v>
      </c>
      <c r="BQ222" s="423">
        <f t="shared" si="64"/>
        <v>0.39523000124107383</v>
      </c>
      <c r="BR222" s="423">
        <f t="shared" si="65"/>
        <v>-6.0950778666325972E-3</v>
      </c>
      <c r="BS222" s="423">
        <f t="shared" si="66"/>
        <v>3.5800447010756165E-3</v>
      </c>
      <c r="BT222" s="425">
        <f t="shared" si="67"/>
        <v>22313086.555387545</v>
      </c>
    </row>
    <row r="223" spans="1:72" x14ac:dyDescent="0.2">
      <c r="A223" s="309">
        <v>681</v>
      </c>
      <c r="B223" s="278" t="s">
        <v>146</v>
      </c>
      <c r="C223" s="278">
        <v>10</v>
      </c>
      <c r="D223" s="279">
        <v>3733</v>
      </c>
      <c r="E223" s="364">
        <v>23292000</v>
      </c>
      <c r="F223" s="279">
        <v>8972878</v>
      </c>
      <c r="G223" s="278">
        <v>912324.7300000001</v>
      </c>
      <c r="H223" s="279">
        <v>1038170.6354</v>
      </c>
      <c r="I223" s="279">
        <v>13259821.694470428</v>
      </c>
      <c r="J223" s="279">
        <v>-207114</v>
      </c>
      <c r="K223" s="279">
        <v>57000</v>
      </c>
      <c r="L223" s="280">
        <v>852141.56361739349</v>
      </c>
      <c r="M223" s="369">
        <v>-111060.50374696415</v>
      </c>
      <c r="N223" s="370">
        <v>-29.751005557718766</v>
      </c>
      <c r="P223" s="365">
        <v>9019276</v>
      </c>
      <c r="Q223" s="283">
        <v>3951098</v>
      </c>
      <c r="R223" s="279">
        <v>1038170.6354</v>
      </c>
      <c r="S223" s="279">
        <v>590876.10232366528</v>
      </c>
      <c r="T223" s="280">
        <v>2500605.9906826555</v>
      </c>
      <c r="U223" s="280">
        <v>596668.57044100959</v>
      </c>
      <c r="V223" s="279">
        <v>-207114</v>
      </c>
      <c r="W223" s="279">
        <v>57000</v>
      </c>
      <c r="X223" s="279">
        <v>44871.092386254306</v>
      </c>
      <c r="Y223" s="354">
        <v>-447099.60876641423</v>
      </c>
      <c r="Z223" s="355">
        <v>-119.76951748363628</v>
      </c>
      <c r="AB223" s="366">
        <v>-336039.10501945007</v>
      </c>
      <c r="AC223" s="349">
        <v>-90.018511925917508</v>
      </c>
      <c r="AE223" s="374">
        <v>94.462773987094849</v>
      </c>
      <c r="AF223" s="350">
        <v>65.018511925917508</v>
      </c>
      <c r="AG223" s="350">
        <v>40.018511925917508</v>
      </c>
      <c r="AH223" s="350">
        <v>15.018511925917508</v>
      </c>
      <c r="AI223" s="350">
        <v>0</v>
      </c>
      <c r="AJ223" s="408">
        <v>-1013</v>
      </c>
      <c r="AK223" s="387">
        <v>-22279</v>
      </c>
      <c r="AL223" s="287">
        <v>-291</v>
      </c>
      <c r="AM223" s="287">
        <v>-722</v>
      </c>
      <c r="AN223" s="287">
        <v>-8297</v>
      </c>
      <c r="AO223" s="287">
        <v>-13982</v>
      </c>
      <c r="AP223" s="287">
        <v>8973</v>
      </c>
      <c r="AQ223" s="287">
        <v>5022</v>
      </c>
      <c r="AR223" s="287">
        <v>3951</v>
      </c>
      <c r="AS223" s="287">
        <v>912</v>
      </c>
      <c r="AT223" s="287">
        <v>321</v>
      </c>
      <c r="AU223" s="287">
        <v>591</v>
      </c>
      <c r="AV223" s="353">
        <f t="shared" si="51"/>
        <v>13904.849258087821</v>
      </c>
      <c r="AW223" s="353">
        <f t="shared" si="52"/>
        <v>10662.059161670331</v>
      </c>
      <c r="AX223" s="353">
        <f t="shared" si="53"/>
        <v>3242.7900964174901</v>
      </c>
      <c r="AY223" s="390">
        <v>352630</v>
      </c>
      <c r="AZ223" s="390">
        <v>352630</v>
      </c>
      <c r="BA223" s="401">
        <f t="shared" si="54"/>
        <v>1038.1706354</v>
      </c>
      <c r="BB223" s="401">
        <v>-1370</v>
      </c>
      <c r="BC223" s="401">
        <v>0</v>
      </c>
      <c r="BD223" s="401">
        <v>0</v>
      </c>
      <c r="BE223" s="401">
        <v>253</v>
      </c>
      <c r="BG223" s="426">
        <f t="shared" si="55"/>
        <v>0.3733552921344982</v>
      </c>
      <c r="BH223" s="426">
        <f t="shared" si="56"/>
        <v>3.7961205545275135E-2</v>
      </c>
      <c r="BI223" s="426">
        <f t="shared" si="57"/>
        <v>4.319756725380916E-2</v>
      </c>
      <c r="BJ223" s="426">
        <f t="shared" si="58"/>
        <v>0.54311420420685752</v>
      </c>
      <c r="BK223" s="426">
        <f t="shared" si="59"/>
        <v>2.3717308595599313E-3</v>
      </c>
      <c r="BL223" s="425">
        <f t="shared" si="60"/>
        <v>24033081.059870429</v>
      </c>
      <c r="BN223" s="423">
        <f t="shared" si="61"/>
        <v>0.44494673370901378</v>
      </c>
      <c r="BO223" s="423">
        <f t="shared" si="62"/>
        <v>6.6540589920985979E-2</v>
      </c>
      <c r="BP223" s="423">
        <f t="shared" si="63"/>
        <v>0.11691196554827074</v>
      </c>
      <c r="BQ223" s="423">
        <f t="shared" si="64"/>
        <v>0.32547092012564233</v>
      </c>
      <c r="BR223" s="423">
        <f t="shared" si="65"/>
        <v>6.418966024485797E-3</v>
      </c>
      <c r="BS223" s="423">
        <f t="shared" si="66"/>
        <v>3.9710824671601377E-2</v>
      </c>
      <c r="BT223" s="425">
        <f t="shared" si="67"/>
        <v>8879934.8341411557</v>
      </c>
    </row>
    <row r="224" spans="1:72" x14ac:dyDescent="0.2">
      <c r="A224" s="309">
        <v>683</v>
      </c>
      <c r="B224" s="278" t="s">
        <v>147</v>
      </c>
      <c r="C224" s="278">
        <v>19</v>
      </c>
      <c r="D224" s="279">
        <v>4020</v>
      </c>
      <c r="E224" s="364">
        <v>29876000</v>
      </c>
      <c r="F224" s="279">
        <v>8647956</v>
      </c>
      <c r="G224" s="278">
        <v>518950.54</v>
      </c>
      <c r="H224" s="279">
        <v>773318.89919999999</v>
      </c>
      <c r="I224" s="279">
        <v>20857467.681425527</v>
      </c>
      <c r="J224" s="279">
        <v>143549</v>
      </c>
      <c r="K224" s="279">
        <v>207000</v>
      </c>
      <c r="L224" s="280">
        <v>480225.90903215774</v>
      </c>
      <c r="M224" s="369">
        <v>792016.21159336797</v>
      </c>
      <c r="N224" s="370">
        <v>197.01895810780297</v>
      </c>
      <c r="P224" s="365">
        <v>11835550.704936702</v>
      </c>
      <c r="Q224" s="283">
        <v>3558867</v>
      </c>
      <c r="R224" s="279">
        <v>773318.89919999999</v>
      </c>
      <c r="S224" s="279">
        <v>336103.43147659855</v>
      </c>
      <c r="T224" s="280">
        <v>8803153.2826565187</v>
      </c>
      <c r="U224" s="280">
        <v>-263276.47004640527</v>
      </c>
      <c r="V224" s="279">
        <v>143549</v>
      </c>
      <c r="W224" s="279">
        <v>207000</v>
      </c>
      <c r="X224" s="279">
        <v>46855.53709240735</v>
      </c>
      <c r="Y224" s="354">
        <v>1770019.9754424188</v>
      </c>
      <c r="Z224" s="355">
        <v>440.30347647821361</v>
      </c>
      <c r="AB224" s="366">
        <v>978003.76384905085</v>
      </c>
      <c r="AC224" s="349">
        <v>243.28451837041067</v>
      </c>
      <c r="AE224" s="374">
        <v>-238.8402563092333</v>
      </c>
      <c r="AF224" s="350">
        <v>-218.28451837041064</v>
      </c>
      <c r="AG224" s="350">
        <v>-193.28451837041064</v>
      </c>
      <c r="AH224" s="350">
        <v>-168.28451837041064</v>
      </c>
      <c r="AI224" s="350">
        <v>-143.28451837041064</v>
      </c>
      <c r="AJ224" s="408">
        <v>-1329</v>
      </c>
      <c r="AK224" s="387">
        <v>-28547</v>
      </c>
      <c r="AL224" s="287">
        <v>-257</v>
      </c>
      <c r="AM224" s="287">
        <v>-1072</v>
      </c>
      <c r="AN224" s="287">
        <v>-10764</v>
      </c>
      <c r="AO224" s="287">
        <v>-17783</v>
      </c>
      <c r="AP224" s="287">
        <v>8648</v>
      </c>
      <c r="AQ224" s="287">
        <v>5089</v>
      </c>
      <c r="AR224" s="287">
        <v>3559</v>
      </c>
      <c r="AS224" s="287">
        <v>519</v>
      </c>
      <c r="AT224" s="287">
        <v>183</v>
      </c>
      <c r="AU224" s="287">
        <v>336</v>
      </c>
      <c r="AV224" s="353">
        <f t="shared" si="51"/>
        <v>21481.242590457685</v>
      </c>
      <c r="AW224" s="353">
        <f t="shared" si="52"/>
        <v>13757.95460821069</v>
      </c>
      <c r="AX224" s="353">
        <f t="shared" si="53"/>
        <v>7723.2879822469959</v>
      </c>
      <c r="AY224" s="390">
        <v>960138</v>
      </c>
      <c r="AZ224" s="390">
        <v>-960138</v>
      </c>
      <c r="BA224" s="401">
        <f t="shared" si="54"/>
        <v>773.31889920000003</v>
      </c>
      <c r="BB224" s="401">
        <v>-1000</v>
      </c>
      <c r="BC224" s="401">
        <v>0</v>
      </c>
      <c r="BD224" s="401">
        <v>0</v>
      </c>
      <c r="BE224" s="401">
        <v>338</v>
      </c>
      <c r="BG224" s="426">
        <f t="shared" si="55"/>
        <v>0.27763865345946942</v>
      </c>
      <c r="BH224" s="426">
        <f t="shared" si="56"/>
        <v>1.6660668617840393E-2</v>
      </c>
      <c r="BI224" s="426">
        <f t="shared" si="57"/>
        <v>2.4827047902261201E-2</v>
      </c>
      <c r="BJ224" s="426">
        <f t="shared" si="58"/>
        <v>0.67422799014135115</v>
      </c>
      <c r="BK224" s="426">
        <f t="shared" si="59"/>
        <v>6.6456398790778045E-3</v>
      </c>
      <c r="BL224" s="425">
        <f t="shared" si="60"/>
        <v>31148242.120625526</v>
      </c>
      <c r="BN224" s="423">
        <f t="shared" si="61"/>
        <v>0.2824816573812125</v>
      </c>
      <c r="BO224" s="423">
        <f t="shared" si="62"/>
        <v>2.6677887758947538E-2</v>
      </c>
      <c r="BP224" s="423">
        <f t="shared" si="63"/>
        <v>6.138144649132176E-2</v>
      </c>
      <c r="BQ224" s="423">
        <f t="shared" si="64"/>
        <v>0.68923860186202712</v>
      </c>
      <c r="BR224" s="423">
        <f t="shared" si="65"/>
        <v>1.6430426615524265E-2</v>
      </c>
      <c r="BS224" s="423">
        <f t="shared" si="66"/>
        <v>-7.62100201090333E-2</v>
      </c>
      <c r="BT224" s="425">
        <f t="shared" si="67"/>
        <v>12598577.312923595</v>
      </c>
    </row>
    <row r="225" spans="1:72" x14ac:dyDescent="0.2">
      <c r="A225" s="309">
        <v>710</v>
      </c>
      <c r="B225" s="278" t="s">
        <v>299</v>
      </c>
      <c r="C225" s="278">
        <v>1</v>
      </c>
      <c r="D225" s="279">
        <v>28405</v>
      </c>
      <c r="E225" s="364">
        <v>167078000</v>
      </c>
      <c r="F225" s="279">
        <v>100681055</v>
      </c>
      <c r="G225" s="278">
        <v>3717051.59</v>
      </c>
      <c r="H225" s="279">
        <v>11246316.360299999</v>
      </c>
      <c r="I225" s="279">
        <v>56357779.878809027</v>
      </c>
      <c r="J225" s="279">
        <v>-1125156</v>
      </c>
      <c r="K225" s="279">
        <v>83000</v>
      </c>
      <c r="L225" s="280">
        <v>-57094.049999999996</v>
      </c>
      <c r="M225" s="369">
        <v>3939140.8791090427</v>
      </c>
      <c r="N225" s="370">
        <v>138.67772853754772</v>
      </c>
      <c r="P225" s="365">
        <v>68223706.554640725</v>
      </c>
      <c r="Q225" s="283">
        <v>46980337</v>
      </c>
      <c r="R225" s="279">
        <v>11246316.360299999</v>
      </c>
      <c r="S225" s="279">
        <v>2407385.0937211602</v>
      </c>
      <c r="T225" s="280">
        <v>19133798.388385974</v>
      </c>
      <c r="U225" s="280">
        <v>-4580835.2231189255</v>
      </c>
      <c r="V225" s="279">
        <v>-1125156</v>
      </c>
      <c r="W225" s="279">
        <v>83000</v>
      </c>
      <c r="X225" s="279">
        <v>357181.26972723275</v>
      </c>
      <c r="Y225" s="354">
        <v>6278320.3343747109</v>
      </c>
      <c r="Z225" s="355">
        <v>221.0287039033519</v>
      </c>
      <c r="AB225" s="366">
        <v>2339179.4552656682</v>
      </c>
      <c r="AC225" s="349">
        <v>82.350975365804203</v>
      </c>
      <c r="AE225" s="374">
        <v>-77.906713304626834</v>
      </c>
      <c r="AF225" s="350">
        <v>-57.350975365804175</v>
      </c>
      <c r="AG225" s="350">
        <v>-32.350975365804175</v>
      </c>
      <c r="AH225" s="350">
        <v>-7.3509753658041745</v>
      </c>
      <c r="AI225" s="350">
        <v>0</v>
      </c>
      <c r="AJ225" s="408">
        <v>-6452</v>
      </c>
      <c r="AK225" s="387">
        <v>-160626</v>
      </c>
      <c r="AL225" s="287">
        <v>0</v>
      </c>
      <c r="AM225" s="287">
        <v>-6452</v>
      </c>
      <c r="AN225" s="287">
        <v>-61772</v>
      </c>
      <c r="AO225" s="287">
        <v>-98854</v>
      </c>
      <c r="AP225" s="287">
        <v>100681</v>
      </c>
      <c r="AQ225" s="287">
        <v>53701</v>
      </c>
      <c r="AR225" s="287">
        <v>46980</v>
      </c>
      <c r="AS225" s="287">
        <v>3717</v>
      </c>
      <c r="AT225" s="287">
        <v>1310</v>
      </c>
      <c r="AU225" s="287">
        <v>2407</v>
      </c>
      <c r="AV225" s="353">
        <f t="shared" si="51"/>
        <v>55175.529828809034</v>
      </c>
      <c r="AW225" s="353">
        <f t="shared" si="52"/>
        <v>43960.662854959912</v>
      </c>
      <c r="AX225" s="353">
        <f t="shared" si="53"/>
        <v>11214.866973849124</v>
      </c>
      <c r="AY225" s="390">
        <v>2212940</v>
      </c>
      <c r="AZ225" s="390">
        <v>-2212940</v>
      </c>
      <c r="BA225" s="401">
        <f t="shared" si="54"/>
        <v>11246.316360299999</v>
      </c>
      <c r="BB225" s="401">
        <v>-6570</v>
      </c>
      <c r="BC225" s="401">
        <v>0</v>
      </c>
      <c r="BD225" s="401">
        <v>2200</v>
      </c>
      <c r="BE225" s="401">
        <v>416</v>
      </c>
      <c r="BG225" s="426">
        <f t="shared" si="55"/>
        <v>0.58891569619561679</v>
      </c>
      <c r="BH225" s="426">
        <f t="shared" si="56"/>
        <v>2.1742223747256862E-2</v>
      </c>
      <c r="BI225" s="426">
        <f t="shared" si="57"/>
        <v>6.5783301823389012E-2</v>
      </c>
      <c r="BJ225" s="426">
        <f t="shared" si="58"/>
        <v>0.3230732846839901</v>
      </c>
      <c r="BK225" s="426">
        <f t="shared" si="59"/>
        <v>4.8549354974713159E-4</v>
      </c>
      <c r="BL225" s="425">
        <f t="shared" si="60"/>
        <v>170960046.82910904</v>
      </c>
      <c r="BN225" s="423">
        <f t="shared" si="61"/>
        <v>0.65312237623274882</v>
      </c>
      <c r="BO225" s="423">
        <f t="shared" si="62"/>
        <v>3.3467556286760201E-2</v>
      </c>
      <c r="BP225" s="423">
        <f t="shared" si="63"/>
        <v>0.15634670447562721</v>
      </c>
      <c r="BQ225" s="423">
        <f t="shared" si="64"/>
        <v>0.18667387003576297</v>
      </c>
      <c r="BR225" s="423">
        <f t="shared" si="65"/>
        <v>1.1538690586088847E-3</v>
      </c>
      <c r="BS225" s="423">
        <f t="shared" si="66"/>
        <v>-3.0764376089508029E-2</v>
      </c>
      <c r="BT225" s="425">
        <f t="shared" si="67"/>
        <v>71931905.427870274</v>
      </c>
    </row>
    <row r="226" spans="1:72" x14ac:dyDescent="0.2">
      <c r="A226" s="309">
        <v>684</v>
      </c>
      <c r="B226" s="278" t="s">
        <v>301</v>
      </c>
      <c r="C226" s="278">
        <v>4</v>
      </c>
      <c r="D226" s="279">
        <v>39809</v>
      </c>
      <c r="E226" s="364">
        <v>217755000</v>
      </c>
      <c r="F226" s="279">
        <v>144820087</v>
      </c>
      <c r="G226" s="278">
        <v>18870081.919999998</v>
      </c>
      <c r="H226" s="279">
        <v>7979963.0046000006</v>
      </c>
      <c r="I226" s="279">
        <v>47651092.996479027</v>
      </c>
      <c r="J226" s="279">
        <v>-1344452</v>
      </c>
      <c r="K226" s="279">
        <v>2029000</v>
      </c>
      <c r="L226" s="280">
        <v>-80016.09</v>
      </c>
      <c r="M226" s="369">
        <v>2330789.0110790096</v>
      </c>
      <c r="N226" s="370">
        <v>58.54929817576452</v>
      </c>
      <c r="P226" s="365">
        <v>88605146.158139542</v>
      </c>
      <c r="Q226" s="283">
        <v>58417181</v>
      </c>
      <c r="R226" s="279">
        <v>7979963.0046000006</v>
      </c>
      <c r="S226" s="279">
        <v>12221394.519709952</v>
      </c>
      <c r="T226" s="280">
        <v>7976355.0239375215</v>
      </c>
      <c r="U226" s="280">
        <v>1516547.3834509316</v>
      </c>
      <c r="V226" s="279">
        <v>-1344452</v>
      </c>
      <c r="W226" s="279">
        <v>2029000</v>
      </c>
      <c r="X226" s="279">
        <v>534329.5085809367</v>
      </c>
      <c r="Y226" s="354">
        <v>725172.28213980794</v>
      </c>
      <c r="Z226" s="355">
        <v>18.216289837469112</v>
      </c>
      <c r="AB226" s="366">
        <v>-1605616.7289392017</v>
      </c>
      <c r="AC226" s="349">
        <v>-40.3330083382954</v>
      </c>
      <c r="AE226" s="374">
        <v>44.777270399472741</v>
      </c>
      <c r="AF226" s="350">
        <v>15.333008338295407</v>
      </c>
      <c r="AG226" s="350">
        <v>0</v>
      </c>
      <c r="AH226" s="350">
        <v>0</v>
      </c>
      <c r="AI226" s="350">
        <v>0</v>
      </c>
      <c r="AJ226" s="408">
        <v>-20375</v>
      </c>
      <c r="AK226" s="387">
        <v>-197380</v>
      </c>
      <c r="AL226" s="287">
        <v>-453</v>
      </c>
      <c r="AM226" s="287">
        <v>-19922</v>
      </c>
      <c r="AN226" s="287">
        <v>-68683</v>
      </c>
      <c r="AO226" s="287">
        <v>-128697</v>
      </c>
      <c r="AP226" s="287">
        <v>144820</v>
      </c>
      <c r="AQ226" s="287">
        <v>86403</v>
      </c>
      <c r="AR226" s="287">
        <v>58417</v>
      </c>
      <c r="AS226" s="287">
        <v>18870</v>
      </c>
      <c r="AT226" s="287">
        <v>6649</v>
      </c>
      <c r="AU226" s="287">
        <v>12221</v>
      </c>
      <c r="AV226" s="353">
        <f t="shared" si="51"/>
        <v>46226.624906479025</v>
      </c>
      <c r="AW226" s="353">
        <f t="shared" si="52"/>
        <v>36295.636141757961</v>
      </c>
      <c r="AX226" s="353">
        <f t="shared" si="53"/>
        <v>9930.9887647210617</v>
      </c>
      <c r="AY226" s="390">
        <v>1782538</v>
      </c>
      <c r="AZ226" s="390">
        <v>1782538</v>
      </c>
      <c r="BA226" s="401">
        <f t="shared" si="54"/>
        <v>7979.9630046000011</v>
      </c>
      <c r="BB226" s="401">
        <v>-30275</v>
      </c>
      <c r="BC226" s="401">
        <v>450</v>
      </c>
      <c r="BD226" s="401">
        <v>0</v>
      </c>
      <c r="BE226" s="401">
        <v>-9893</v>
      </c>
      <c r="BG226" s="426">
        <f t="shared" si="55"/>
        <v>0.65825584973149864</v>
      </c>
      <c r="BH226" s="426">
        <f t="shared" si="56"/>
        <v>8.5770848962082091E-2</v>
      </c>
      <c r="BI226" s="426">
        <f t="shared" si="57"/>
        <v>3.6271607324879572E-2</v>
      </c>
      <c r="BJ226" s="426">
        <f t="shared" si="58"/>
        <v>0.21047920871190165</v>
      </c>
      <c r="BK226" s="426">
        <f t="shared" si="59"/>
        <v>9.2224852696381181E-3</v>
      </c>
      <c r="BL226" s="425">
        <f t="shared" si="60"/>
        <v>220005772.92107901</v>
      </c>
      <c r="BN226" s="423">
        <f t="shared" si="61"/>
        <v>0.64493410025970099</v>
      </c>
      <c r="BO226" s="423">
        <f t="shared" si="62"/>
        <v>0.13492595745912456</v>
      </c>
      <c r="BP226" s="423">
        <f t="shared" si="63"/>
        <v>8.8099942044060658E-2</v>
      </c>
      <c r="BQ226" s="423">
        <f t="shared" si="64"/>
        <v>8.9960067261716473E-2</v>
      </c>
      <c r="BR226" s="423">
        <f t="shared" si="65"/>
        <v>2.2400452521441138E-2</v>
      </c>
      <c r="BS226" s="423">
        <f t="shared" si="66"/>
        <v>1.9679480453956046E-2</v>
      </c>
      <c r="BT226" s="425">
        <f t="shared" si="67"/>
        <v>90578527.289031029</v>
      </c>
    </row>
    <row r="227" spans="1:72" x14ac:dyDescent="0.2">
      <c r="A227" s="309">
        <v>686</v>
      </c>
      <c r="B227" s="278" t="s">
        <v>148</v>
      </c>
      <c r="C227" s="278">
        <v>11</v>
      </c>
      <c r="D227" s="279">
        <v>3303</v>
      </c>
      <c r="E227" s="364">
        <v>22732000</v>
      </c>
      <c r="F227" s="279">
        <v>8947031</v>
      </c>
      <c r="G227" s="278">
        <v>640264.85499999998</v>
      </c>
      <c r="H227" s="279">
        <v>1117200.75</v>
      </c>
      <c r="I227" s="279">
        <v>12376870.351019468</v>
      </c>
      <c r="J227" s="279">
        <v>315823</v>
      </c>
      <c r="K227" s="279">
        <v>37000</v>
      </c>
      <c r="L227" s="280">
        <v>-6639.03</v>
      </c>
      <c r="M227" s="369">
        <v>708828.98601946863</v>
      </c>
      <c r="N227" s="370">
        <v>214.6015700936932</v>
      </c>
      <c r="P227" s="365">
        <v>8350465.2929032259</v>
      </c>
      <c r="Q227" s="283">
        <v>4284233</v>
      </c>
      <c r="R227" s="279">
        <v>1117200.75</v>
      </c>
      <c r="S227" s="279">
        <v>414673.84313612391</v>
      </c>
      <c r="T227" s="280">
        <v>2345580.5048349951</v>
      </c>
      <c r="U227" s="280">
        <v>329588.24860349071</v>
      </c>
      <c r="V227" s="279">
        <v>315823</v>
      </c>
      <c r="W227" s="279">
        <v>37000</v>
      </c>
      <c r="X227" s="279">
        <v>39624.332582045419</v>
      </c>
      <c r="Y227" s="354">
        <v>533258.38625342958</v>
      </c>
      <c r="Z227" s="355">
        <v>161.44668067012702</v>
      </c>
      <c r="AB227" s="366">
        <v>-175570.59976603906</v>
      </c>
      <c r="AC227" s="349">
        <v>-53.154889423566168</v>
      </c>
      <c r="AE227" s="374">
        <v>57.599151484743516</v>
      </c>
      <c r="AF227" s="350">
        <v>28.154889423566175</v>
      </c>
      <c r="AG227" s="350">
        <v>3.1548894235661749</v>
      </c>
      <c r="AH227" s="350">
        <v>0</v>
      </c>
      <c r="AI227" s="350">
        <v>0</v>
      </c>
      <c r="AJ227" s="408">
        <v>-781</v>
      </c>
      <c r="AK227" s="387">
        <v>-21951</v>
      </c>
      <c r="AL227" s="287">
        <v>-97</v>
      </c>
      <c r="AM227" s="287">
        <v>-684</v>
      </c>
      <c r="AN227" s="287">
        <v>-7666</v>
      </c>
      <c r="AO227" s="287">
        <v>-14285</v>
      </c>
      <c r="AP227" s="287">
        <v>8947</v>
      </c>
      <c r="AQ227" s="287">
        <v>4663</v>
      </c>
      <c r="AR227" s="287">
        <v>4284</v>
      </c>
      <c r="AS227" s="287">
        <v>640</v>
      </c>
      <c r="AT227" s="287">
        <v>225</v>
      </c>
      <c r="AU227" s="287">
        <v>415</v>
      </c>
      <c r="AV227" s="353">
        <f t="shared" si="51"/>
        <v>12686.054321019468</v>
      </c>
      <c r="AW227" s="353">
        <f t="shared" si="52"/>
        <v>9504.8125702268735</v>
      </c>
      <c r="AX227" s="353">
        <f t="shared" si="53"/>
        <v>3181.2417507925938</v>
      </c>
      <c r="AY227" s="390">
        <v>190250</v>
      </c>
      <c r="AZ227" s="390">
        <v>190250</v>
      </c>
      <c r="BA227" s="401">
        <f t="shared" si="54"/>
        <v>1117.20075</v>
      </c>
      <c r="BB227" s="401">
        <v>-3930</v>
      </c>
      <c r="BC227" s="401">
        <v>400</v>
      </c>
      <c r="BD227" s="401">
        <v>0</v>
      </c>
      <c r="BE227" s="401">
        <v>-2591</v>
      </c>
      <c r="BG227" s="426">
        <f t="shared" si="55"/>
        <v>0.38179390953096731</v>
      </c>
      <c r="BH227" s="426">
        <f t="shared" si="56"/>
        <v>2.7321825768316651E-2</v>
      </c>
      <c r="BI227" s="426">
        <f t="shared" si="57"/>
        <v>4.7673964924613406E-2</v>
      </c>
      <c r="BJ227" s="426">
        <f t="shared" si="58"/>
        <v>0.5416314101251507</v>
      </c>
      <c r="BK227" s="426">
        <f t="shared" si="59"/>
        <v>1.5788896509518957E-3</v>
      </c>
      <c r="BL227" s="425">
        <f t="shared" si="60"/>
        <v>23434189.956019469</v>
      </c>
      <c r="BN227" s="423">
        <f t="shared" si="61"/>
        <v>0.47421599906130479</v>
      </c>
      <c r="BO227" s="423">
        <f t="shared" si="62"/>
        <v>4.5899690984917904E-2</v>
      </c>
      <c r="BP227" s="423">
        <f t="shared" si="63"/>
        <v>0.12366145114266404</v>
      </c>
      <c r="BQ227" s="423">
        <f t="shared" si="64"/>
        <v>0.33106886169378635</v>
      </c>
      <c r="BR227" s="423">
        <f t="shared" si="65"/>
        <v>4.0954803264127504E-3</v>
      </c>
      <c r="BS227" s="423">
        <f t="shared" si="66"/>
        <v>2.1058516790914226E-2</v>
      </c>
      <c r="BT227" s="425">
        <f t="shared" si="67"/>
        <v>9034349.3439287171</v>
      </c>
    </row>
    <row r="228" spans="1:72" x14ac:dyDescent="0.2">
      <c r="A228" s="309">
        <v>687</v>
      </c>
      <c r="B228" s="278" t="s">
        <v>149</v>
      </c>
      <c r="C228" s="278">
        <v>11</v>
      </c>
      <c r="D228" s="279">
        <v>1737</v>
      </c>
      <c r="E228" s="364">
        <v>14755000</v>
      </c>
      <c r="F228" s="279">
        <v>3906648</v>
      </c>
      <c r="G228" s="278">
        <v>1157069.42</v>
      </c>
      <c r="H228" s="279">
        <v>354337.8138</v>
      </c>
      <c r="I228" s="279">
        <v>8395423.7014753371</v>
      </c>
      <c r="J228" s="279">
        <v>-141094</v>
      </c>
      <c r="K228" s="279">
        <v>-225000</v>
      </c>
      <c r="L228" s="280">
        <v>338493.61848434072</v>
      </c>
      <c r="M228" s="369">
        <v>-1646108.6832090039</v>
      </c>
      <c r="N228" s="370">
        <v>-947.67339275129757</v>
      </c>
      <c r="P228" s="365">
        <v>5095575.3384241145</v>
      </c>
      <c r="Q228" s="283">
        <v>1793698</v>
      </c>
      <c r="R228" s="279">
        <v>354337.8138</v>
      </c>
      <c r="S228" s="279">
        <v>749387.41275543836</v>
      </c>
      <c r="T228" s="280">
        <v>1543362.1945285455</v>
      </c>
      <c r="U228" s="280">
        <v>-267585.65588081779</v>
      </c>
      <c r="V228" s="279">
        <v>-141094</v>
      </c>
      <c r="W228" s="279">
        <v>-225000</v>
      </c>
      <c r="X228" s="279">
        <v>21108.208425144669</v>
      </c>
      <c r="Y228" s="354">
        <v>-1267361.3647958036</v>
      </c>
      <c r="Z228" s="355">
        <v>-729.62657731479771</v>
      </c>
      <c r="AB228" s="366">
        <v>378747.31841320032</v>
      </c>
      <c r="AC228" s="349">
        <v>218.04681543649988</v>
      </c>
      <c r="AE228" s="374">
        <v>-213.60255337532249</v>
      </c>
      <c r="AF228" s="350">
        <v>-193.04681543649986</v>
      </c>
      <c r="AG228" s="350">
        <v>-168.04681543649986</v>
      </c>
      <c r="AH228" s="350">
        <v>-143.04681543649986</v>
      </c>
      <c r="AI228" s="350">
        <v>-118.04681543649986</v>
      </c>
      <c r="AJ228" s="408">
        <v>-1067</v>
      </c>
      <c r="AK228" s="387">
        <v>-13688</v>
      </c>
      <c r="AL228" s="287">
        <v>-297</v>
      </c>
      <c r="AM228" s="287">
        <v>-770</v>
      </c>
      <c r="AN228" s="287">
        <v>-4326</v>
      </c>
      <c r="AO228" s="287">
        <v>-9362</v>
      </c>
      <c r="AP228" s="287">
        <v>3907</v>
      </c>
      <c r="AQ228" s="287">
        <v>2113</v>
      </c>
      <c r="AR228" s="287">
        <v>1794</v>
      </c>
      <c r="AS228" s="287">
        <v>1157</v>
      </c>
      <c r="AT228" s="287">
        <v>408</v>
      </c>
      <c r="AU228" s="287">
        <v>749</v>
      </c>
      <c r="AV228" s="353">
        <f t="shared" si="51"/>
        <v>8592.823319959678</v>
      </c>
      <c r="AW228" s="353">
        <f t="shared" si="52"/>
        <v>7829.1684165248853</v>
      </c>
      <c r="AX228" s="353">
        <f t="shared" si="53"/>
        <v>763.65490343479246</v>
      </c>
      <c r="AY228" s="390">
        <v>371028</v>
      </c>
      <c r="AZ228" s="390">
        <v>-371028</v>
      </c>
      <c r="BA228" s="401">
        <f t="shared" si="54"/>
        <v>354.33781379999999</v>
      </c>
      <c r="BB228" s="401">
        <v>-1538</v>
      </c>
      <c r="BC228" s="401">
        <v>273</v>
      </c>
      <c r="BD228" s="401">
        <v>280</v>
      </c>
      <c r="BE228" s="401">
        <v>-914</v>
      </c>
      <c r="BG228" s="426">
        <f t="shared" si="55"/>
        <v>0.29051358452244758</v>
      </c>
      <c r="BH228" s="426">
        <f t="shared" si="56"/>
        <v>8.6044195623846687E-2</v>
      </c>
      <c r="BI228" s="426">
        <f t="shared" si="57"/>
        <v>2.6349942052338884E-2</v>
      </c>
      <c r="BJ228" s="426">
        <f t="shared" si="58"/>
        <v>0.61382415549230562</v>
      </c>
      <c r="BK228" s="426">
        <f t="shared" si="59"/>
        <v>-1.6731877690938805E-2</v>
      </c>
      <c r="BL228" s="425">
        <f t="shared" si="60"/>
        <v>13447384.935275337</v>
      </c>
      <c r="BN228" s="423">
        <f t="shared" si="61"/>
        <v>0.52201897982019974</v>
      </c>
      <c r="BO228" s="423">
        <f t="shared" si="62"/>
        <v>0.21809382220234</v>
      </c>
      <c r="BP228" s="423">
        <f t="shared" si="63"/>
        <v>0.10312274645542108</v>
      </c>
      <c r="BQ228" s="423">
        <f t="shared" si="64"/>
        <v>0.33022605881518574</v>
      </c>
      <c r="BR228" s="423">
        <f t="shared" si="65"/>
        <v>-6.5481630943193855E-2</v>
      </c>
      <c r="BS228" s="423">
        <f t="shared" si="66"/>
        <v>-0.10797997634995278</v>
      </c>
      <c r="BT228" s="425">
        <f t="shared" si="67"/>
        <v>3436078.1299902312</v>
      </c>
    </row>
    <row r="229" spans="1:72" x14ac:dyDescent="0.2">
      <c r="A229" s="309">
        <v>689</v>
      </c>
      <c r="B229" s="278" t="s">
        <v>150</v>
      </c>
      <c r="C229" s="278">
        <v>9</v>
      </c>
      <c r="D229" s="279">
        <v>3537</v>
      </c>
      <c r="E229" s="364">
        <v>24078000</v>
      </c>
      <c r="F229" s="279">
        <v>10806471</v>
      </c>
      <c r="G229" s="278">
        <v>1242493.33</v>
      </c>
      <c r="H229" s="279">
        <v>772607.15339999995</v>
      </c>
      <c r="I229" s="279">
        <v>11697385.113372875</v>
      </c>
      <c r="J229" s="279">
        <v>-125542</v>
      </c>
      <c r="K229" s="279">
        <v>-17000</v>
      </c>
      <c r="L229" s="280">
        <v>840892.63320430287</v>
      </c>
      <c r="M229" s="369">
        <v>-542478.03643142723</v>
      </c>
      <c r="N229" s="370">
        <v>-153.37235974877785</v>
      </c>
      <c r="P229" s="365">
        <v>8911798.8659217879</v>
      </c>
      <c r="Q229" s="283">
        <v>4508343</v>
      </c>
      <c r="R229" s="279">
        <v>772607.15339999995</v>
      </c>
      <c r="S229" s="279">
        <v>804713.04991760058</v>
      </c>
      <c r="T229" s="280">
        <v>1061222.5742627052</v>
      </c>
      <c r="U229" s="280">
        <v>872216.19755203836</v>
      </c>
      <c r="V229" s="279">
        <v>-125542</v>
      </c>
      <c r="W229" s="279">
        <v>-17000</v>
      </c>
      <c r="X229" s="279">
        <v>44509.898142899619</v>
      </c>
      <c r="Y229" s="354">
        <v>-990728.99264654424</v>
      </c>
      <c r="Z229" s="355">
        <v>-280.1043236207363</v>
      </c>
      <c r="AB229" s="366">
        <v>-448250.95621511701</v>
      </c>
      <c r="AC229" s="349">
        <v>-126.73196387195844</v>
      </c>
      <c r="AE229" s="374">
        <v>131.17622593313578</v>
      </c>
      <c r="AF229" s="350">
        <v>101.73196387195844</v>
      </c>
      <c r="AG229" s="350">
        <v>76.731963871958442</v>
      </c>
      <c r="AH229" s="350">
        <v>51.731963871958442</v>
      </c>
      <c r="AI229" s="350">
        <v>26.731963871958442</v>
      </c>
      <c r="AJ229" s="408">
        <v>-1883</v>
      </c>
      <c r="AK229" s="387">
        <v>-22195</v>
      </c>
      <c r="AL229" s="287">
        <v>-57</v>
      </c>
      <c r="AM229" s="287">
        <v>-1826</v>
      </c>
      <c r="AN229" s="287">
        <v>-7086</v>
      </c>
      <c r="AO229" s="287">
        <v>-15109</v>
      </c>
      <c r="AP229" s="287">
        <v>10806</v>
      </c>
      <c r="AQ229" s="287">
        <v>6298</v>
      </c>
      <c r="AR229" s="287">
        <v>4508</v>
      </c>
      <c r="AS229" s="287">
        <v>1242</v>
      </c>
      <c r="AT229" s="287">
        <v>437</v>
      </c>
      <c r="AU229" s="287">
        <v>805</v>
      </c>
      <c r="AV229" s="353">
        <f t="shared" si="51"/>
        <v>12412.73574657718</v>
      </c>
      <c r="AW229" s="353">
        <f t="shared" si="52"/>
        <v>10140.868663636935</v>
      </c>
      <c r="AX229" s="353">
        <f t="shared" si="53"/>
        <v>2271.8670829402445</v>
      </c>
      <c r="AY229" s="390">
        <v>463970</v>
      </c>
      <c r="AZ229" s="390">
        <v>463970</v>
      </c>
      <c r="BA229" s="401">
        <f t="shared" si="54"/>
        <v>772.60715340000002</v>
      </c>
      <c r="BB229" s="401">
        <v>-1810</v>
      </c>
      <c r="BC229" s="401">
        <v>270</v>
      </c>
      <c r="BD229" s="401">
        <v>125</v>
      </c>
      <c r="BE229" s="401">
        <v>513</v>
      </c>
      <c r="BG229" s="426">
        <f t="shared" si="55"/>
        <v>0.4433166722324553</v>
      </c>
      <c r="BH229" s="426">
        <f t="shared" si="56"/>
        <v>5.0971127237247199E-2</v>
      </c>
      <c r="BI229" s="426">
        <f t="shared" si="57"/>
        <v>3.1694864326039289E-2</v>
      </c>
      <c r="BJ229" s="426">
        <f t="shared" si="58"/>
        <v>0.47471473162853239</v>
      </c>
      <c r="BK229" s="426">
        <f t="shared" si="59"/>
        <v>-6.9739542427419093E-4</v>
      </c>
      <c r="BL229" s="425">
        <f t="shared" si="60"/>
        <v>24376414.596772876</v>
      </c>
      <c r="BN229" s="423">
        <f t="shared" si="61"/>
        <v>0.54053433597958467</v>
      </c>
      <c r="BO229" s="423">
        <f t="shared" si="62"/>
        <v>9.6482240612863007E-2</v>
      </c>
      <c r="BP229" s="423">
        <f t="shared" si="63"/>
        <v>9.2632857490245551E-2</v>
      </c>
      <c r="BQ229" s="423">
        <f t="shared" si="64"/>
        <v>0.2167604108810082</v>
      </c>
      <c r="BR229" s="423">
        <f t="shared" si="65"/>
        <v>-2.0382397061742951E-3</v>
      </c>
      <c r="BS229" s="423">
        <f t="shared" si="66"/>
        <v>5.5628394742472817E-2</v>
      </c>
      <c r="BT229" s="425">
        <f t="shared" si="67"/>
        <v>8340530.2862578453</v>
      </c>
    </row>
    <row r="230" spans="1:72" x14ac:dyDescent="0.2">
      <c r="A230" s="309">
        <v>691</v>
      </c>
      <c r="B230" s="278" t="s">
        <v>151</v>
      </c>
      <c r="C230" s="278">
        <v>17</v>
      </c>
      <c r="D230" s="279">
        <v>2894</v>
      </c>
      <c r="E230" s="364">
        <v>19278000</v>
      </c>
      <c r="F230" s="279">
        <v>7172134</v>
      </c>
      <c r="G230" s="278">
        <v>345425.56</v>
      </c>
      <c r="H230" s="279">
        <v>689130.98050000006</v>
      </c>
      <c r="I230" s="279">
        <v>11249610.995789599</v>
      </c>
      <c r="J230" s="279">
        <v>-324074</v>
      </c>
      <c r="K230" s="279">
        <v>395000</v>
      </c>
      <c r="L230" s="280">
        <v>11851.495822343488</v>
      </c>
      <c r="M230" s="369">
        <v>237376.04046725531</v>
      </c>
      <c r="N230" s="370">
        <v>82.02351087327412</v>
      </c>
      <c r="P230" s="365">
        <v>7448885.8549425285</v>
      </c>
      <c r="Q230" s="283">
        <v>3437673</v>
      </c>
      <c r="R230" s="279">
        <v>689130.98050000006</v>
      </c>
      <c r="S230" s="279">
        <v>223718.26809492419</v>
      </c>
      <c r="T230" s="280">
        <v>3861886.259543817</v>
      </c>
      <c r="U230" s="280">
        <v>-195651.57965298431</v>
      </c>
      <c r="V230" s="279">
        <v>-324074</v>
      </c>
      <c r="W230" s="279">
        <v>395000</v>
      </c>
      <c r="X230" s="279">
        <v>33733.345396624347</v>
      </c>
      <c r="Y230" s="354">
        <v>672530.41893985122</v>
      </c>
      <c r="Z230" s="355">
        <v>232.38784344846275</v>
      </c>
      <c r="AB230" s="366">
        <v>435154.37847259594</v>
      </c>
      <c r="AC230" s="349">
        <v>150.36433257518866</v>
      </c>
      <c r="AE230" s="374">
        <v>-145.92007051401129</v>
      </c>
      <c r="AF230" s="350">
        <v>-125.36433257518863</v>
      </c>
      <c r="AG230" s="350">
        <v>-100.36433257518863</v>
      </c>
      <c r="AH230" s="350">
        <v>-75.364332575188627</v>
      </c>
      <c r="AI230" s="350">
        <v>-50.364332575188627</v>
      </c>
      <c r="AJ230" s="408">
        <v>-661</v>
      </c>
      <c r="AK230" s="387">
        <v>-18617</v>
      </c>
      <c r="AL230" s="287">
        <v>0</v>
      </c>
      <c r="AM230" s="287">
        <v>-661</v>
      </c>
      <c r="AN230" s="287">
        <v>-6788</v>
      </c>
      <c r="AO230" s="287">
        <v>-11829</v>
      </c>
      <c r="AP230" s="287">
        <v>7172</v>
      </c>
      <c r="AQ230" s="287">
        <v>3734</v>
      </c>
      <c r="AR230" s="287">
        <v>3438</v>
      </c>
      <c r="AS230" s="287">
        <v>345</v>
      </c>
      <c r="AT230" s="287">
        <v>121</v>
      </c>
      <c r="AU230" s="287">
        <v>224</v>
      </c>
      <c r="AV230" s="353">
        <f t="shared" si="51"/>
        <v>10937.388491611942</v>
      </c>
      <c r="AW230" s="353">
        <f t="shared" si="52"/>
        <v>8017.5204957886581</v>
      </c>
      <c r="AX230" s="353">
        <f t="shared" si="53"/>
        <v>2919.8679958232842</v>
      </c>
      <c r="AY230" s="390">
        <v>422293</v>
      </c>
      <c r="AZ230" s="390">
        <v>-422293</v>
      </c>
      <c r="BA230" s="401">
        <f t="shared" si="54"/>
        <v>689.13098050000008</v>
      </c>
      <c r="BB230" s="401">
        <v>-7590</v>
      </c>
      <c r="BC230" s="401">
        <v>525</v>
      </c>
      <c r="BD230" s="401">
        <v>25</v>
      </c>
      <c r="BE230" s="401">
        <v>6277</v>
      </c>
      <c r="BG230" s="426">
        <f t="shared" si="55"/>
        <v>0.36728890400192415</v>
      </c>
      <c r="BH230" s="426">
        <f t="shared" si="56"/>
        <v>1.76894318129933E-2</v>
      </c>
      <c r="BI230" s="426">
        <f t="shared" si="57"/>
        <v>3.5290774341585972E-2</v>
      </c>
      <c r="BJ230" s="426">
        <f t="shared" si="58"/>
        <v>0.55950272384983835</v>
      </c>
      <c r="BK230" s="426">
        <f t="shared" si="59"/>
        <v>2.0228165993658238E-2</v>
      </c>
      <c r="BL230" s="425">
        <f t="shared" si="60"/>
        <v>19527227.536289599</v>
      </c>
      <c r="BN230" s="423">
        <f t="shared" si="61"/>
        <v>0.44846679560812297</v>
      </c>
      <c r="BO230" s="423">
        <f t="shared" si="62"/>
        <v>2.9185502754779068E-2</v>
      </c>
      <c r="BP230" s="423">
        <f t="shared" si="63"/>
        <v>8.9901617337983838E-2</v>
      </c>
      <c r="BQ230" s="423">
        <f t="shared" si="64"/>
        <v>0.43600659240076278</v>
      </c>
      <c r="BR230" s="423">
        <f t="shared" si="65"/>
        <v>5.1530318405854356E-2</v>
      </c>
      <c r="BS230" s="423">
        <f t="shared" si="66"/>
        <v>-5.5090826507502889E-2</v>
      </c>
      <c r="BT230" s="425">
        <f t="shared" si="67"/>
        <v>7665390.2444182076</v>
      </c>
    </row>
    <row r="231" spans="1:72" x14ac:dyDescent="0.2">
      <c r="A231" s="309">
        <v>680</v>
      </c>
      <c r="B231" s="278" t="s">
        <v>300</v>
      </c>
      <c r="C231" s="278">
        <v>2</v>
      </c>
      <c r="D231" s="279">
        <v>24290</v>
      </c>
      <c r="E231" s="364">
        <v>128831000</v>
      </c>
      <c r="F231" s="279">
        <v>85341946</v>
      </c>
      <c r="G231" s="278">
        <v>4887951.04</v>
      </c>
      <c r="H231" s="279">
        <v>7698566.1039000014</v>
      </c>
      <c r="I231" s="279">
        <v>30351918.086469997</v>
      </c>
      <c r="J231" s="279">
        <v>-2180040</v>
      </c>
      <c r="K231" s="279">
        <v>-214000</v>
      </c>
      <c r="L231" s="280">
        <v>-48822.899999999994</v>
      </c>
      <c r="M231" s="369">
        <v>-2895835.8696300001</v>
      </c>
      <c r="N231" s="370">
        <v>-119.21926182091396</v>
      </c>
      <c r="P231" s="365">
        <v>51108574.968680084</v>
      </c>
      <c r="Q231" s="283">
        <v>33646564</v>
      </c>
      <c r="R231" s="279">
        <v>7698566.1039000014</v>
      </c>
      <c r="S231" s="279">
        <v>3165729.6617007251</v>
      </c>
      <c r="T231" s="280">
        <v>7119558.5014795428</v>
      </c>
      <c r="U231" s="280">
        <v>-1047553.6679228389</v>
      </c>
      <c r="V231" s="279">
        <v>-2180040</v>
      </c>
      <c r="W231" s="279">
        <v>-214000</v>
      </c>
      <c r="X231" s="279">
        <v>315924.74507271452</v>
      </c>
      <c r="Y231" s="354">
        <v>-2603825.6244499385</v>
      </c>
      <c r="Z231" s="355">
        <v>-107.19743204816544</v>
      </c>
      <c r="AB231" s="366">
        <v>292010.24518006155</v>
      </c>
      <c r="AC231" s="349">
        <v>12.02182977274852</v>
      </c>
      <c r="AE231" s="374">
        <v>-7.5775677115711915</v>
      </c>
      <c r="AF231" s="350">
        <v>0</v>
      </c>
      <c r="AG231" s="350">
        <v>0</v>
      </c>
      <c r="AH231" s="350">
        <v>0</v>
      </c>
      <c r="AI231" s="350">
        <v>0</v>
      </c>
      <c r="AJ231" s="408">
        <v>-7060</v>
      </c>
      <c r="AK231" s="387">
        <v>-121771</v>
      </c>
      <c r="AL231" s="287">
        <v>-202</v>
      </c>
      <c r="AM231" s="287">
        <v>-6858</v>
      </c>
      <c r="AN231" s="287">
        <v>-44251</v>
      </c>
      <c r="AO231" s="287">
        <v>-77520</v>
      </c>
      <c r="AP231" s="287">
        <v>85342</v>
      </c>
      <c r="AQ231" s="287">
        <v>51695</v>
      </c>
      <c r="AR231" s="287">
        <v>33647</v>
      </c>
      <c r="AS231" s="287">
        <v>4888</v>
      </c>
      <c r="AT231" s="287">
        <v>1722</v>
      </c>
      <c r="AU231" s="287">
        <v>3166</v>
      </c>
      <c r="AV231" s="353">
        <f t="shared" si="51"/>
        <v>28123.055186469999</v>
      </c>
      <c r="AW231" s="353">
        <f t="shared" si="52"/>
        <v>24415.14947262736</v>
      </c>
      <c r="AX231" s="353">
        <f t="shared" si="53"/>
        <v>3707.9057138426401</v>
      </c>
      <c r="AY231" s="390">
        <v>184059</v>
      </c>
      <c r="AZ231" s="390">
        <v>-184059</v>
      </c>
      <c r="BA231" s="401">
        <f t="shared" si="54"/>
        <v>7698.5661039000015</v>
      </c>
      <c r="BB231" s="401">
        <v>-9534</v>
      </c>
      <c r="BC231" s="401">
        <v>570</v>
      </c>
      <c r="BD231" s="401">
        <v>1505</v>
      </c>
      <c r="BE231" s="401">
        <v>-5908</v>
      </c>
      <c r="BG231" s="426">
        <f t="shared" si="55"/>
        <v>0.67792855973012667</v>
      </c>
      <c r="BH231" s="426">
        <f t="shared" si="56"/>
        <v>3.8828287423614348E-2</v>
      </c>
      <c r="BI231" s="426">
        <f t="shared" si="57"/>
        <v>6.1154895985194677E-2</v>
      </c>
      <c r="BJ231" s="426">
        <f t="shared" si="58"/>
        <v>0.22378820300222968</v>
      </c>
      <c r="BK231" s="426">
        <f t="shared" si="59"/>
        <v>-1.6999461411654137E-3</v>
      </c>
      <c r="BL231" s="425">
        <f t="shared" si="60"/>
        <v>125886341.23037</v>
      </c>
      <c r="BN231" s="423">
        <f t="shared" si="61"/>
        <v>0.70090049735600013</v>
      </c>
      <c r="BO231" s="423">
        <f t="shared" si="62"/>
        <v>6.5946154097062643E-2</v>
      </c>
      <c r="BP231" s="423">
        <f t="shared" si="63"/>
        <v>0.16037087207928735</v>
      </c>
      <c r="BQ231" s="423">
        <f t="shared" si="64"/>
        <v>8.1074551550998089E-2</v>
      </c>
      <c r="BR231" s="423">
        <f t="shared" si="65"/>
        <v>-4.4578907502764329E-3</v>
      </c>
      <c r="BS231" s="423">
        <f t="shared" si="66"/>
        <v>-3.8341843330717273E-3</v>
      </c>
      <c r="BT231" s="425">
        <f t="shared" si="67"/>
        <v>48004765.479443364</v>
      </c>
    </row>
    <row r="232" spans="1:72" x14ac:dyDescent="0.2">
      <c r="A232" s="309">
        <v>694</v>
      </c>
      <c r="B232" s="278" t="s">
        <v>152</v>
      </c>
      <c r="C232" s="278">
        <v>5</v>
      </c>
      <c r="D232" s="279">
        <v>29269</v>
      </c>
      <c r="E232" s="364">
        <v>154447000</v>
      </c>
      <c r="F232" s="279">
        <v>103924197</v>
      </c>
      <c r="G232" s="278">
        <v>7297015.7550000008</v>
      </c>
      <c r="H232" s="279">
        <v>9835382.2464999985</v>
      </c>
      <c r="I232" s="279">
        <v>36807685.937855154</v>
      </c>
      <c r="J232" s="279">
        <v>-1019063</v>
      </c>
      <c r="K232" s="279">
        <v>233000</v>
      </c>
      <c r="L232" s="280">
        <v>-58830.689999999995</v>
      </c>
      <c r="M232" s="369">
        <v>2690048.6293551349</v>
      </c>
      <c r="N232" s="370">
        <v>91.907773731768586</v>
      </c>
      <c r="P232" s="365">
        <v>62751164.025404155</v>
      </c>
      <c r="Q232" s="283">
        <v>43502756</v>
      </c>
      <c r="R232" s="279">
        <v>9835382.2464999985</v>
      </c>
      <c r="S232" s="279">
        <v>4725984.1656476604</v>
      </c>
      <c r="T232" s="280">
        <v>10872540.702374313</v>
      </c>
      <c r="U232" s="280">
        <v>-2775323.3042771872</v>
      </c>
      <c r="V232" s="279">
        <v>-1019063</v>
      </c>
      <c r="W232" s="279">
        <v>233000</v>
      </c>
      <c r="X232" s="279">
        <v>379470.76356396551</v>
      </c>
      <c r="Y232" s="354">
        <v>3003583.5484046042</v>
      </c>
      <c r="Z232" s="355">
        <v>102.61995792150753</v>
      </c>
      <c r="AB232" s="366">
        <v>313534.91904946929</v>
      </c>
      <c r="AC232" s="349">
        <v>10.712184189738949</v>
      </c>
      <c r="AE232" s="374">
        <v>-6.2679221285616222</v>
      </c>
      <c r="AF232" s="350">
        <v>0</v>
      </c>
      <c r="AG232" s="350">
        <v>0</v>
      </c>
      <c r="AH232" s="350">
        <v>0</v>
      </c>
      <c r="AI232" s="350">
        <v>0</v>
      </c>
      <c r="AJ232" s="408">
        <v>-8843</v>
      </c>
      <c r="AK232" s="387">
        <v>-145604</v>
      </c>
      <c r="AL232" s="287">
        <v>0</v>
      </c>
      <c r="AM232" s="287">
        <v>-8843</v>
      </c>
      <c r="AN232" s="287">
        <v>-53908</v>
      </c>
      <c r="AO232" s="287">
        <v>-91696</v>
      </c>
      <c r="AP232" s="287">
        <v>103924</v>
      </c>
      <c r="AQ232" s="287">
        <v>60421</v>
      </c>
      <c r="AR232" s="287">
        <v>43503</v>
      </c>
      <c r="AS232" s="287">
        <v>7297</v>
      </c>
      <c r="AT232" s="287">
        <v>2571</v>
      </c>
      <c r="AU232" s="287">
        <v>4726</v>
      </c>
      <c r="AV232" s="353">
        <f t="shared" si="51"/>
        <v>35729.792247855155</v>
      </c>
      <c r="AW232" s="353">
        <f t="shared" si="52"/>
        <v>28835.0936625389</v>
      </c>
      <c r="AX232" s="353">
        <f t="shared" si="53"/>
        <v>6894.698585316256</v>
      </c>
      <c r="AY232" s="390">
        <v>183456</v>
      </c>
      <c r="AZ232" s="390">
        <v>-183456</v>
      </c>
      <c r="BA232" s="401">
        <f t="shared" si="54"/>
        <v>9835.3822464999994</v>
      </c>
      <c r="BB232" s="401">
        <v>-15725</v>
      </c>
      <c r="BC232" s="401">
        <v>580</v>
      </c>
      <c r="BD232" s="401">
        <v>1262</v>
      </c>
      <c r="BE232" s="401">
        <v>-7511</v>
      </c>
      <c r="BG232" s="426">
        <f t="shared" si="55"/>
        <v>0.66160794515839949</v>
      </c>
      <c r="BH232" s="426">
        <f t="shared" si="56"/>
        <v>4.6454663483750734E-2</v>
      </c>
      <c r="BI232" s="426">
        <f t="shared" si="57"/>
        <v>6.2614552008078223E-2</v>
      </c>
      <c r="BJ232" s="426">
        <f t="shared" si="58"/>
        <v>0.22783950192045374</v>
      </c>
      <c r="BK232" s="426">
        <f t="shared" si="59"/>
        <v>1.4833374293179006E-3</v>
      </c>
      <c r="BL232" s="425">
        <f t="shared" si="60"/>
        <v>157078217.93935513</v>
      </c>
      <c r="BN232" s="423">
        <f t="shared" si="61"/>
        <v>0.66730389386871614</v>
      </c>
      <c r="BO232" s="423">
        <f t="shared" si="62"/>
        <v>7.2493513654596484E-2</v>
      </c>
      <c r="BP232" s="423">
        <f t="shared" si="63"/>
        <v>0.15086834661180293</v>
      </c>
      <c r="BQ232" s="423">
        <f t="shared" si="64"/>
        <v>0.10857427035781803</v>
      </c>
      <c r="BR232" s="423">
        <f t="shared" si="65"/>
        <v>3.5740679802312028E-3</v>
      </c>
      <c r="BS232" s="423">
        <f t="shared" si="66"/>
        <v>-2.8140924731647993E-3</v>
      </c>
      <c r="BT232" s="425">
        <f t="shared" si="67"/>
        <v>65191820.997463919</v>
      </c>
    </row>
    <row r="233" spans="1:72" x14ac:dyDescent="0.2">
      <c r="A233" s="309">
        <v>697</v>
      </c>
      <c r="B233" s="278" t="s">
        <v>153</v>
      </c>
      <c r="C233" s="278">
        <v>18</v>
      </c>
      <c r="D233" s="279">
        <v>1351</v>
      </c>
      <c r="E233" s="364">
        <v>11663000</v>
      </c>
      <c r="F233" s="279">
        <v>3731085</v>
      </c>
      <c r="G233" s="278">
        <v>404244.64999999997</v>
      </c>
      <c r="H233" s="279">
        <v>844394.62800000003</v>
      </c>
      <c r="I233" s="279">
        <v>6354895.8290194385</v>
      </c>
      <c r="J233" s="279">
        <v>-273796</v>
      </c>
      <c r="K233" s="279">
        <v>-34000</v>
      </c>
      <c r="L233" s="280">
        <v>-2715.5099999999998</v>
      </c>
      <c r="M233" s="369">
        <v>-633460.38298056065</v>
      </c>
      <c r="N233" s="370">
        <v>-468.88259287976359</v>
      </c>
      <c r="P233" s="365">
        <v>4083448.2484472049</v>
      </c>
      <c r="Q233" s="283">
        <v>1730543</v>
      </c>
      <c r="R233" s="279">
        <v>844394.62800000003</v>
      </c>
      <c r="S233" s="279">
        <v>261813.03139419906</v>
      </c>
      <c r="T233" s="280">
        <v>1169314.5999810887</v>
      </c>
      <c r="U233" s="280">
        <v>-50520.351051107522</v>
      </c>
      <c r="V233" s="279">
        <v>-273796</v>
      </c>
      <c r="W233" s="279">
        <v>-34000</v>
      </c>
      <c r="X233" s="279">
        <v>16889.089105821571</v>
      </c>
      <c r="Y233" s="354">
        <v>-418810.25101720309</v>
      </c>
      <c r="Z233" s="355">
        <v>-310.00018580103858</v>
      </c>
      <c r="AB233" s="366">
        <v>214650.13196335756</v>
      </c>
      <c r="AC233" s="349">
        <v>158.88240707872507</v>
      </c>
      <c r="AE233" s="374">
        <v>-154.4381450175477</v>
      </c>
      <c r="AF233" s="350">
        <v>-133.88240707872501</v>
      </c>
      <c r="AG233" s="350">
        <v>-108.88240707872501</v>
      </c>
      <c r="AH233" s="350">
        <v>-83.882407078725009</v>
      </c>
      <c r="AI233" s="350">
        <v>-58.882407078725009</v>
      </c>
      <c r="AJ233" s="408">
        <v>-497</v>
      </c>
      <c r="AK233" s="387">
        <v>-11166</v>
      </c>
      <c r="AL233" s="287">
        <v>0</v>
      </c>
      <c r="AM233" s="287">
        <v>-497</v>
      </c>
      <c r="AN233" s="287">
        <v>-3586</v>
      </c>
      <c r="AO233" s="287">
        <v>-7580</v>
      </c>
      <c r="AP233" s="287">
        <v>3731</v>
      </c>
      <c r="AQ233" s="287">
        <v>2000</v>
      </c>
      <c r="AR233" s="287">
        <v>1731</v>
      </c>
      <c r="AS233" s="287">
        <v>404</v>
      </c>
      <c r="AT233" s="287">
        <v>142</v>
      </c>
      <c r="AU233" s="287">
        <v>262</v>
      </c>
      <c r="AV233" s="353">
        <f t="shared" si="51"/>
        <v>6078.3843190194384</v>
      </c>
      <c r="AW233" s="353">
        <f t="shared" si="52"/>
        <v>5442.0320040081642</v>
      </c>
      <c r="AX233" s="353">
        <f t="shared" si="53"/>
        <v>636.35231501127419</v>
      </c>
      <c r="AY233" s="390">
        <v>208646</v>
      </c>
      <c r="AZ233" s="390">
        <v>-208646</v>
      </c>
      <c r="BA233" s="401">
        <f t="shared" si="54"/>
        <v>844.39462800000001</v>
      </c>
      <c r="BB233" s="401">
        <v>-539</v>
      </c>
      <c r="BC233" s="401">
        <v>0</v>
      </c>
      <c r="BD233" s="401">
        <v>125</v>
      </c>
      <c r="BE233" s="401">
        <v>-650</v>
      </c>
      <c r="BG233" s="426">
        <f t="shared" si="55"/>
        <v>0.33836442513169968</v>
      </c>
      <c r="BH233" s="426">
        <f t="shared" si="56"/>
        <v>3.6660115920654476E-2</v>
      </c>
      <c r="BI233" s="426">
        <f t="shared" si="57"/>
        <v>7.6576412193106125E-2</v>
      </c>
      <c r="BJ233" s="426">
        <f t="shared" si="58"/>
        <v>0.55148243682860065</v>
      </c>
      <c r="BK233" s="426">
        <f t="shared" si="59"/>
        <v>-3.0833900740609736E-3</v>
      </c>
      <c r="BL233" s="425">
        <f t="shared" si="60"/>
        <v>11026824.107019439</v>
      </c>
      <c r="BN233" s="423">
        <f t="shared" si="61"/>
        <v>0.50319604061845913</v>
      </c>
      <c r="BO233" s="423">
        <f t="shared" si="62"/>
        <v>7.612829081963135E-2</v>
      </c>
      <c r="BP233" s="423">
        <f t="shared" si="63"/>
        <v>0.24552757922172214</v>
      </c>
      <c r="BQ233" s="423">
        <f t="shared" si="64"/>
        <v>0.24570309619067404</v>
      </c>
      <c r="BR233" s="423">
        <f t="shared" si="65"/>
        <v>-9.8862989137095177E-3</v>
      </c>
      <c r="BS233" s="423">
        <f t="shared" si="66"/>
        <v>-6.0668707936777061E-2</v>
      </c>
      <c r="BT233" s="425">
        <f t="shared" si="67"/>
        <v>3439102.9744054731</v>
      </c>
    </row>
    <row r="234" spans="1:72" x14ac:dyDescent="0.2">
      <c r="A234" s="309">
        <v>698</v>
      </c>
      <c r="B234" s="278" t="s">
        <v>154</v>
      </c>
      <c r="C234" s="278">
        <v>19</v>
      </c>
      <c r="D234" s="279">
        <v>61838</v>
      </c>
      <c r="E234" s="364">
        <v>361907000</v>
      </c>
      <c r="F234" s="279">
        <v>204708867</v>
      </c>
      <c r="G234" s="278">
        <v>9814687.7300000004</v>
      </c>
      <c r="H234" s="279">
        <v>30382927.289000001</v>
      </c>
      <c r="I234" s="279">
        <v>98014508.967202216</v>
      </c>
      <c r="J234" s="279">
        <v>-3566400</v>
      </c>
      <c r="K234" s="279">
        <v>8102000</v>
      </c>
      <c r="L234" s="280">
        <v>-124294.37999999999</v>
      </c>
      <c r="M234" s="369">
        <v>-14326114.633797759</v>
      </c>
      <c r="N234" s="370">
        <v>-231.67170079559105</v>
      </c>
      <c r="P234" s="365">
        <v>158066361.11688319</v>
      </c>
      <c r="Q234" s="283">
        <v>89266253</v>
      </c>
      <c r="R234" s="279">
        <v>30382927.289000001</v>
      </c>
      <c r="S234" s="279">
        <v>6356579.2318556365</v>
      </c>
      <c r="T234" s="280">
        <v>38208424.86895524</v>
      </c>
      <c r="U234" s="280">
        <v>-15015618.12444124</v>
      </c>
      <c r="V234" s="279">
        <v>-3566400</v>
      </c>
      <c r="W234" s="279">
        <v>8102000</v>
      </c>
      <c r="X234" s="279">
        <v>767664.16094032687</v>
      </c>
      <c r="Y234" s="354">
        <v>-3564530.6905732453</v>
      </c>
      <c r="Z234" s="355">
        <v>-57.643046194463686</v>
      </c>
      <c r="AB234" s="366">
        <v>10761583.943224514</v>
      </c>
      <c r="AC234" s="349">
        <v>174.02865460112736</v>
      </c>
      <c r="AE234" s="374">
        <v>-169.58439253995002</v>
      </c>
      <c r="AF234" s="350">
        <v>-149.02865460112736</v>
      </c>
      <c r="AG234" s="350">
        <v>-124.02865460112736</v>
      </c>
      <c r="AH234" s="350">
        <v>-99.028654601127357</v>
      </c>
      <c r="AI234" s="350">
        <v>-74.028654601127357</v>
      </c>
      <c r="AJ234" s="408">
        <v>-19100</v>
      </c>
      <c r="AK234" s="387">
        <v>-342807</v>
      </c>
      <c r="AL234" s="287">
        <v>-23</v>
      </c>
      <c r="AM234" s="287">
        <v>-19077</v>
      </c>
      <c r="AN234" s="287">
        <v>-138989</v>
      </c>
      <c r="AO234" s="287">
        <v>-203818</v>
      </c>
      <c r="AP234" s="287">
        <v>204709</v>
      </c>
      <c r="AQ234" s="287">
        <v>115443</v>
      </c>
      <c r="AR234" s="287">
        <v>89266</v>
      </c>
      <c r="AS234" s="287">
        <v>9815</v>
      </c>
      <c r="AT234" s="287">
        <v>3458</v>
      </c>
      <c r="AU234" s="287">
        <v>6357</v>
      </c>
      <c r="AV234" s="353">
        <f t="shared" si="51"/>
        <v>94323.814587202229</v>
      </c>
      <c r="AW234" s="353">
        <f t="shared" si="52"/>
        <v>85184.167508573664</v>
      </c>
      <c r="AX234" s="353">
        <f t="shared" si="53"/>
        <v>9139.6470786285699</v>
      </c>
      <c r="AY234" s="390">
        <v>10486760</v>
      </c>
      <c r="AZ234" s="390">
        <v>-10486760</v>
      </c>
      <c r="BA234" s="401">
        <f t="shared" si="54"/>
        <v>30382.927289000003</v>
      </c>
      <c r="BB234" s="401">
        <v>-19100</v>
      </c>
      <c r="BC234" s="401">
        <v>50</v>
      </c>
      <c r="BD234" s="401">
        <v>1500</v>
      </c>
      <c r="BE234" s="401">
        <v>-12448</v>
      </c>
      <c r="BG234" s="426">
        <f t="shared" si="55"/>
        <v>0.58916386193442261</v>
      </c>
      <c r="BH234" s="426">
        <f t="shared" si="56"/>
        <v>2.8247234286569479E-2</v>
      </c>
      <c r="BI234" s="426">
        <f t="shared" si="57"/>
        <v>8.7443807592662792E-2</v>
      </c>
      <c r="BJ234" s="426">
        <f t="shared" si="58"/>
        <v>0.27182707543156903</v>
      </c>
      <c r="BK234" s="426">
        <f t="shared" si="59"/>
        <v>2.3318020754776059E-2</v>
      </c>
      <c r="BL234" s="425">
        <f t="shared" si="60"/>
        <v>347456590.98620224</v>
      </c>
      <c r="BN234" s="423">
        <f t="shared" si="61"/>
        <v>0.62316138992719061</v>
      </c>
      <c r="BO234" s="423">
        <f t="shared" si="62"/>
        <v>4.437482941403928E-2</v>
      </c>
      <c r="BP234" s="423">
        <f t="shared" si="63"/>
        <v>0.21210106353931996</v>
      </c>
      <c r="BQ234" s="423">
        <f t="shared" si="64"/>
        <v>0.13701055544683535</v>
      </c>
      <c r="BR234" s="423">
        <f t="shared" si="65"/>
        <v>5.6559488177352964E-2</v>
      </c>
      <c r="BS234" s="423">
        <f t="shared" si="66"/>
        <v>-7.3207326504738199E-2</v>
      </c>
      <c r="BT234" s="425">
        <f t="shared" si="67"/>
        <v>143247406.59948421</v>
      </c>
    </row>
    <row r="235" spans="1:72" x14ac:dyDescent="0.2">
      <c r="A235" s="309">
        <v>700</v>
      </c>
      <c r="B235" s="278" t="s">
        <v>155</v>
      </c>
      <c r="C235" s="278">
        <v>9</v>
      </c>
      <c r="D235" s="279">
        <v>5312</v>
      </c>
      <c r="E235" s="364">
        <v>31626000</v>
      </c>
      <c r="F235" s="279">
        <v>17851090</v>
      </c>
      <c r="G235" s="278">
        <v>1697871.86</v>
      </c>
      <c r="H235" s="279">
        <v>1802873.2400000002</v>
      </c>
      <c r="I235" s="279">
        <v>12424004.775895922</v>
      </c>
      <c r="J235" s="279">
        <v>-991165</v>
      </c>
      <c r="K235" s="279">
        <v>-75000</v>
      </c>
      <c r="L235" s="280">
        <v>428681.32600825559</v>
      </c>
      <c r="M235" s="369">
        <v>654993.54988766927</v>
      </c>
      <c r="N235" s="370">
        <v>123.30450863849195</v>
      </c>
      <c r="P235" s="365">
        <v>11084237.301675979</v>
      </c>
      <c r="Q235" s="283">
        <v>7538831</v>
      </c>
      <c r="R235" s="279">
        <v>1802873.2400000002</v>
      </c>
      <c r="S235" s="279">
        <v>1099643.4426170073</v>
      </c>
      <c r="T235" s="280">
        <v>1695107.7704017102</v>
      </c>
      <c r="U235" s="280">
        <v>363796.26452124439</v>
      </c>
      <c r="V235" s="279">
        <v>-991165</v>
      </c>
      <c r="W235" s="279">
        <v>-75000</v>
      </c>
      <c r="X235" s="279">
        <v>68384.796559622657</v>
      </c>
      <c r="Y235" s="354">
        <v>418234.21242360584</v>
      </c>
      <c r="Z235" s="355">
        <v>78.733850230347485</v>
      </c>
      <c r="AB235" s="366">
        <v>-236759.33746406343</v>
      </c>
      <c r="AC235" s="349">
        <v>-44.570658408144467</v>
      </c>
      <c r="AE235" s="374">
        <v>49.014920469321794</v>
      </c>
      <c r="AF235" s="350">
        <v>19.570658408144467</v>
      </c>
      <c r="AG235" s="350">
        <v>0</v>
      </c>
      <c r="AH235" s="350">
        <v>0</v>
      </c>
      <c r="AI235" s="350">
        <v>0</v>
      </c>
      <c r="AJ235" s="408">
        <v>-1300</v>
      </c>
      <c r="AK235" s="387">
        <v>-30326</v>
      </c>
      <c r="AL235" s="287">
        <v>0</v>
      </c>
      <c r="AM235" s="287">
        <v>-1300</v>
      </c>
      <c r="AN235" s="287">
        <v>-9784</v>
      </c>
      <c r="AO235" s="287">
        <v>-20542</v>
      </c>
      <c r="AP235" s="287">
        <v>17851</v>
      </c>
      <c r="AQ235" s="287">
        <v>10312</v>
      </c>
      <c r="AR235" s="287">
        <v>7539</v>
      </c>
      <c r="AS235" s="287">
        <v>1698</v>
      </c>
      <c r="AT235" s="287">
        <v>598</v>
      </c>
      <c r="AU235" s="287">
        <v>1100</v>
      </c>
      <c r="AV235" s="353">
        <f t="shared" si="51"/>
        <v>11861.521101904176</v>
      </c>
      <c r="AW235" s="353">
        <f t="shared" si="52"/>
        <v>10533.414809448184</v>
      </c>
      <c r="AX235" s="353">
        <f t="shared" si="53"/>
        <v>1328.1062924559919</v>
      </c>
      <c r="AY235" s="390">
        <v>260367</v>
      </c>
      <c r="AZ235" s="390">
        <v>260367</v>
      </c>
      <c r="BA235" s="401">
        <f t="shared" si="54"/>
        <v>1802.8732400000004</v>
      </c>
      <c r="BB235" s="401">
        <v>-8719</v>
      </c>
      <c r="BC235" s="401">
        <v>0</v>
      </c>
      <c r="BD235" s="401">
        <v>236</v>
      </c>
      <c r="BE235" s="401">
        <v>-7237</v>
      </c>
      <c r="BG235" s="426">
        <f t="shared" si="55"/>
        <v>0.54574342507924589</v>
      </c>
      <c r="BH235" s="426">
        <f t="shared" si="56"/>
        <v>5.1907329144722812E-2</v>
      </c>
      <c r="BI235" s="426">
        <f t="shared" si="57"/>
        <v>5.5117430755282588E-2</v>
      </c>
      <c r="BJ235" s="426">
        <f t="shared" si="58"/>
        <v>0.34952471460732532</v>
      </c>
      <c r="BK235" s="426">
        <f t="shared" si="59"/>
        <v>-2.2928995865766988E-3</v>
      </c>
      <c r="BL235" s="425">
        <f t="shared" si="60"/>
        <v>32709674.875895925</v>
      </c>
      <c r="BN235" s="423">
        <f t="shared" si="61"/>
        <v>0.64465010645808629</v>
      </c>
      <c r="BO235" s="423">
        <f t="shared" si="62"/>
        <v>9.4031191619627794E-2</v>
      </c>
      <c r="BP235" s="423">
        <f t="shared" si="63"/>
        <v>0.15416480699679236</v>
      </c>
      <c r="BQ235" s="423">
        <f t="shared" si="64"/>
        <v>9.1303025964176276E-2</v>
      </c>
      <c r="BR235" s="423">
        <f t="shared" si="65"/>
        <v>-6.4132964360597115E-3</v>
      </c>
      <c r="BS235" s="423">
        <f t="shared" si="66"/>
        <v>2.2264165397376929E-2</v>
      </c>
      <c r="BT235" s="425">
        <f t="shared" si="67"/>
        <v>11694453.975073</v>
      </c>
    </row>
    <row r="236" spans="1:72" x14ac:dyDescent="0.2">
      <c r="A236" s="309">
        <v>702</v>
      </c>
      <c r="B236" s="278" t="s">
        <v>156</v>
      </c>
      <c r="C236" s="278">
        <v>6</v>
      </c>
      <c r="D236" s="279">
        <v>4623</v>
      </c>
      <c r="E236" s="364">
        <v>29704000</v>
      </c>
      <c r="F236" s="279">
        <v>13479930</v>
      </c>
      <c r="G236" s="278">
        <v>1357906.02</v>
      </c>
      <c r="H236" s="279">
        <v>1634906.3360000001</v>
      </c>
      <c r="I236" s="279">
        <v>14677271.300208697</v>
      </c>
      <c r="J236" s="279">
        <v>-447077</v>
      </c>
      <c r="K236" s="279">
        <v>6000</v>
      </c>
      <c r="L236" s="280">
        <v>-9292.23</v>
      </c>
      <c r="M236" s="369">
        <v>1014228.886208694</v>
      </c>
      <c r="N236" s="370">
        <v>219.3876024678118</v>
      </c>
      <c r="P236" s="365">
        <v>8834484.4396616556</v>
      </c>
      <c r="Q236" s="283">
        <v>6419332</v>
      </c>
      <c r="R236" s="279">
        <v>1634906.3360000001</v>
      </c>
      <c r="S236" s="279">
        <v>879461.21598549769</v>
      </c>
      <c r="T236" s="280">
        <v>2287207.6715060011</v>
      </c>
      <c r="U236" s="280">
        <v>-487887.23765054188</v>
      </c>
      <c r="V236" s="279">
        <v>-447077</v>
      </c>
      <c r="W236" s="279">
        <v>6000</v>
      </c>
      <c r="X236" s="279">
        <v>56719.562181134643</v>
      </c>
      <c r="Y236" s="354">
        <v>1514178.1083604358</v>
      </c>
      <c r="Z236" s="355">
        <v>327.53149650885484</v>
      </c>
      <c r="AB236" s="366">
        <v>499949.22215174185</v>
      </c>
      <c r="AC236" s="349">
        <v>108.14389404104301</v>
      </c>
      <c r="AE236" s="374">
        <v>-103.6996319798649</v>
      </c>
      <c r="AF236" s="350">
        <v>-83.143894041042245</v>
      </c>
      <c r="AG236" s="350">
        <v>-58.143894041042245</v>
      </c>
      <c r="AH236" s="350">
        <v>-33.143894041042245</v>
      </c>
      <c r="AI236" s="350">
        <v>-8.1438940410422447</v>
      </c>
      <c r="AJ236" s="408">
        <v>-1105</v>
      </c>
      <c r="AK236" s="387">
        <v>-28599</v>
      </c>
      <c r="AL236" s="287">
        <v>-5</v>
      </c>
      <c r="AM236" s="287">
        <v>-1100</v>
      </c>
      <c r="AN236" s="287">
        <v>-7734</v>
      </c>
      <c r="AO236" s="287">
        <v>-20865</v>
      </c>
      <c r="AP236" s="287">
        <v>13480</v>
      </c>
      <c r="AQ236" s="287">
        <v>7061</v>
      </c>
      <c r="AR236" s="287">
        <v>6419</v>
      </c>
      <c r="AS236" s="287">
        <v>1358</v>
      </c>
      <c r="AT236" s="287">
        <v>479</v>
      </c>
      <c r="AU236" s="287">
        <v>879</v>
      </c>
      <c r="AV236" s="353">
        <f t="shared" si="51"/>
        <v>14220.902070208696</v>
      </c>
      <c r="AW236" s="353">
        <f t="shared" si="52"/>
        <v>13348.062034996152</v>
      </c>
      <c r="AX236" s="353">
        <f t="shared" si="53"/>
        <v>872.84003521254385</v>
      </c>
      <c r="AY236" s="390">
        <v>479403</v>
      </c>
      <c r="AZ236" s="390">
        <v>-479403</v>
      </c>
      <c r="BA236" s="401">
        <f t="shared" si="54"/>
        <v>1634.9063360000002</v>
      </c>
      <c r="BB236" s="401">
        <v>-2021</v>
      </c>
      <c r="BC236" s="401">
        <v>128</v>
      </c>
      <c r="BD236" s="401">
        <v>0</v>
      </c>
      <c r="BE236" s="401">
        <v>-300</v>
      </c>
      <c r="BG236" s="426">
        <f t="shared" si="55"/>
        <v>0.43895788873805386</v>
      </c>
      <c r="BH236" s="426">
        <f t="shared" si="56"/>
        <v>4.4218594580527758E-2</v>
      </c>
      <c r="BI236" s="426">
        <f t="shared" si="57"/>
        <v>5.3238780433950875E-2</v>
      </c>
      <c r="BJ236" s="426">
        <f t="shared" si="58"/>
        <v>0.46338935338328147</v>
      </c>
      <c r="BK236" s="426">
        <f t="shared" si="59"/>
        <v>1.9538286418611397E-4</v>
      </c>
      <c r="BL236" s="425">
        <f t="shared" si="60"/>
        <v>30708936.656208694</v>
      </c>
      <c r="BN236" s="423">
        <f t="shared" si="61"/>
        <v>0.65419680022234006</v>
      </c>
      <c r="BO236" s="423">
        <f t="shared" si="62"/>
        <v>8.962625915241039E-2</v>
      </c>
      <c r="BP236" s="423">
        <f t="shared" si="63"/>
        <v>0.16661398626436988</v>
      </c>
      <c r="BQ236" s="423">
        <f t="shared" si="64"/>
        <v>0.13780769206981522</v>
      </c>
      <c r="BR236" s="423">
        <f t="shared" si="65"/>
        <v>6.114625012904832E-4</v>
      </c>
      <c r="BS236" s="423">
        <f t="shared" si="66"/>
        <v>-4.8856200210225957E-2</v>
      </c>
      <c r="BT236" s="425">
        <f t="shared" si="67"/>
        <v>9812539.5871980414</v>
      </c>
    </row>
    <row r="237" spans="1:72" x14ac:dyDescent="0.2">
      <c r="A237" s="309">
        <v>704</v>
      </c>
      <c r="B237" s="278" t="s">
        <v>157</v>
      </c>
      <c r="C237" s="278">
        <v>2</v>
      </c>
      <c r="D237" s="279">
        <v>6110</v>
      </c>
      <c r="E237" s="364">
        <v>29033000</v>
      </c>
      <c r="F237" s="279">
        <v>20612139</v>
      </c>
      <c r="G237" s="278">
        <v>1111627.76</v>
      </c>
      <c r="H237" s="279">
        <v>1148981.7677</v>
      </c>
      <c r="I237" s="279">
        <v>6654610.5557607496</v>
      </c>
      <c r="J237" s="279">
        <v>-1220732</v>
      </c>
      <c r="K237" s="279">
        <v>-25000</v>
      </c>
      <c r="L237" s="280">
        <v>-12281.099999999999</v>
      </c>
      <c r="M237" s="369">
        <v>-739091.8165392481</v>
      </c>
      <c r="N237" s="370">
        <v>-120.96429075928773</v>
      </c>
      <c r="P237" s="365">
        <v>12844931.749440717</v>
      </c>
      <c r="Q237" s="283">
        <v>8151851</v>
      </c>
      <c r="R237" s="279">
        <v>1148981.7677</v>
      </c>
      <c r="S237" s="279">
        <v>719956.67382992746</v>
      </c>
      <c r="T237" s="280">
        <v>4417438.970212006</v>
      </c>
      <c r="U237" s="280">
        <v>-485786.59148078156</v>
      </c>
      <c r="V237" s="279">
        <v>-1220732</v>
      </c>
      <c r="W237" s="279">
        <v>-25000</v>
      </c>
      <c r="X237" s="279">
        <v>76545.29424567215</v>
      </c>
      <c r="Y237" s="354">
        <v>-61676.634933892637</v>
      </c>
      <c r="Z237" s="355">
        <v>-10.094375602928418</v>
      </c>
      <c r="AB237" s="366">
        <v>677415.18160535546</v>
      </c>
      <c r="AC237" s="349">
        <v>110.86991515635933</v>
      </c>
      <c r="AE237" s="374">
        <v>-106.42565309518199</v>
      </c>
      <c r="AF237" s="350">
        <v>-85.869915156359312</v>
      </c>
      <c r="AG237" s="350">
        <v>-60.869915156359312</v>
      </c>
      <c r="AH237" s="350">
        <v>-35.869915156359312</v>
      </c>
      <c r="AI237" s="350">
        <v>-10.869915156359312</v>
      </c>
      <c r="AJ237" s="408">
        <v>-1560</v>
      </c>
      <c r="AK237" s="387">
        <v>-27473</v>
      </c>
      <c r="AL237" s="287">
        <v>0</v>
      </c>
      <c r="AM237" s="287">
        <v>-1560</v>
      </c>
      <c r="AN237" s="287">
        <v>-11285</v>
      </c>
      <c r="AO237" s="287">
        <v>-16188</v>
      </c>
      <c r="AP237" s="287">
        <v>20612</v>
      </c>
      <c r="AQ237" s="287">
        <v>12460</v>
      </c>
      <c r="AR237" s="287">
        <v>8152</v>
      </c>
      <c r="AS237" s="287">
        <v>1112</v>
      </c>
      <c r="AT237" s="287">
        <v>392</v>
      </c>
      <c r="AU237" s="287">
        <v>720</v>
      </c>
      <c r="AV237" s="353">
        <f t="shared" si="51"/>
        <v>5421.5974557607497</v>
      </c>
      <c r="AW237" s="353">
        <f t="shared" si="52"/>
        <v>3360.9378174410867</v>
      </c>
      <c r="AX237" s="353">
        <f t="shared" si="53"/>
        <v>2060.6596383196629</v>
      </c>
      <c r="AY237" s="390">
        <v>650261</v>
      </c>
      <c r="AZ237" s="390">
        <v>-650261</v>
      </c>
      <c r="BA237" s="401">
        <f t="shared" si="54"/>
        <v>1148.9817677000001</v>
      </c>
      <c r="BB237" s="401">
        <v>-1375</v>
      </c>
      <c r="BC237" s="401">
        <v>20</v>
      </c>
      <c r="BD237" s="401">
        <v>700</v>
      </c>
      <c r="BE237" s="401">
        <v>-616</v>
      </c>
      <c r="BG237" s="426">
        <f t="shared" si="55"/>
        <v>0.72881729679739993</v>
      </c>
      <c r="BH237" s="426">
        <f t="shared" si="56"/>
        <v>3.9305650863704585E-2</v>
      </c>
      <c r="BI237" s="426">
        <f t="shared" si="57"/>
        <v>4.0626437945358904E-2</v>
      </c>
      <c r="BJ237" s="426">
        <f t="shared" si="58"/>
        <v>0.19213458050787011</v>
      </c>
      <c r="BK237" s="426">
        <f t="shared" si="59"/>
        <v>-8.8396611433364577E-4</v>
      </c>
      <c r="BL237" s="425">
        <f t="shared" si="60"/>
        <v>28281627.083460752</v>
      </c>
      <c r="BN237" s="423">
        <f t="shared" si="61"/>
        <v>0.67614029188946723</v>
      </c>
      <c r="BO237" s="423">
        <f t="shared" si="62"/>
        <v>5.9715482482584271E-2</v>
      </c>
      <c r="BP237" s="423">
        <f t="shared" si="63"/>
        <v>9.5300180019035424E-2</v>
      </c>
      <c r="BQ237" s="423">
        <f t="shared" si="64"/>
        <v>0.22485230607924939</v>
      </c>
      <c r="BR237" s="423">
        <f t="shared" si="65"/>
        <v>-2.0735790309755024E-3</v>
      </c>
      <c r="BS237" s="423">
        <f t="shared" si="66"/>
        <v>-5.3934681439360768E-2</v>
      </c>
      <c r="BT237" s="425">
        <f t="shared" si="67"/>
        <v>12056449.07984959</v>
      </c>
    </row>
    <row r="238" spans="1:72" x14ac:dyDescent="0.2">
      <c r="A238" s="309">
        <v>707</v>
      </c>
      <c r="B238" s="278" t="s">
        <v>158</v>
      </c>
      <c r="C238" s="278">
        <v>12</v>
      </c>
      <c r="D238" s="279">
        <v>2349</v>
      </c>
      <c r="E238" s="364">
        <v>16002000</v>
      </c>
      <c r="F238" s="279">
        <v>5247056</v>
      </c>
      <c r="G238" s="278">
        <v>443795.69</v>
      </c>
      <c r="H238" s="279">
        <v>656593.6995000001</v>
      </c>
      <c r="I238" s="279">
        <v>10301357.847711053</v>
      </c>
      <c r="J238" s="279">
        <v>-554482</v>
      </c>
      <c r="K238" s="279">
        <v>168000</v>
      </c>
      <c r="L238" s="280">
        <v>-4721.49</v>
      </c>
      <c r="M238" s="369">
        <v>265042.72721105232</v>
      </c>
      <c r="N238" s="370">
        <v>112.83215292083965</v>
      </c>
      <c r="P238" s="365">
        <v>4817691.131849315</v>
      </c>
      <c r="Q238" s="283">
        <v>2497100</v>
      </c>
      <c r="R238" s="279">
        <v>656593.6995000001</v>
      </c>
      <c r="S238" s="279">
        <v>287428.65222478576</v>
      </c>
      <c r="T238" s="280">
        <v>1905209.6805821324</v>
      </c>
      <c r="U238" s="280">
        <v>-91032.418483075817</v>
      </c>
      <c r="V238" s="279">
        <v>-554482</v>
      </c>
      <c r="W238" s="279">
        <v>168000</v>
      </c>
      <c r="X238" s="279">
        <v>27619.675740037925</v>
      </c>
      <c r="Y238" s="354">
        <v>78746.157714565285</v>
      </c>
      <c r="Z238" s="355">
        <v>33.523268503433499</v>
      </c>
      <c r="AB238" s="366">
        <v>-186296.56949648703</v>
      </c>
      <c r="AC238" s="349">
        <v>-79.308884417406148</v>
      </c>
      <c r="AE238" s="374">
        <v>83.753146478584256</v>
      </c>
      <c r="AF238" s="350">
        <v>54.308884417406929</v>
      </c>
      <c r="AG238" s="350">
        <v>29.308884417406929</v>
      </c>
      <c r="AH238" s="350">
        <v>4.3088844174069294</v>
      </c>
      <c r="AI238" s="350">
        <v>0</v>
      </c>
      <c r="AJ238" s="408">
        <v>-514</v>
      </c>
      <c r="AK238" s="387">
        <v>-15488</v>
      </c>
      <c r="AL238" s="287">
        <v>-1</v>
      </c>
      <c r="AM238" s="287">
        <v>-513</v>
      </c>
      <c r="AN238" s="287">
        <v>-4305</v>
      </c>
      <c r="AO238" s="287">
        <v>-11183</v>
      </c>
      <c r="AP238" s="287">
        <v>5247</v>
      </c>
      <c r="AQ238" s="287">
        <v>2750</v>
      </c>
      <c r="AR238" s="287">
        <v>2497</v>
      </c>
      <c r="AS238" s="287">
        <v>444</v>
      </c>
      <c r="AT238" s="287">
        <v>157</v>
      </c>
      <c r="AU238" s="287">
        <v>287</v>
      </c>
      <c r="AV238" s="353">
        <f t="shared" si="51"/>
        <v>9742.1543577110533</v>
      </c>
      <c r="AW238" s="353">
        <f t="shared" si="52"/>
        <v>8285.7229545338014</v>
      </c>
      <c r="AX238" s="353">
        <f t="shared" si="53"/>
        <v>1456.431403177251</v>
      </c>
      <c r="AY238" s="390">
        <v>196736</v>
      </c>
      <c r="AZ238" s="390">
        <v>196736</v>
      </c>
      <c r="BA238" s="401">
        <f t="shared" si="54"/>
        <v>656.59369950000007</v>
      </c>
      <c r="BB238" s="401">
        <v>-374</v>
      </c>
      <c r="BC238" s="401">
        <v>0</v>
      </c>
      <c r="BD238" s="401">
        <v>10</v>
      </c>
      <c r="BE238" s="401">
        <v>319</v>
      </c>
      <c r="BG238" s="426">
        <f t="shared" si="55"/>
        <v>0.32265111010067937</v>
      </c>
      <c r="BH238" s="426">
        <f t="shared" si="56"/>
        <v>2.7289812046297386E-2</v>
      </c>
      <c r="BI238" s="426">
        <f t="shared" si="57"/>
        <v>4.0375152471936057E-2</v>
      </c>
      <c r="BJ238" s="426">
        <f t="shared" si="58"/>
        <v>0.59935329683492455</v>
      </c>
      <c r="BK238" s="426">
        <f t="shared" si="59"/>
        <v>1.0330628546162674E-2</v>
      </c>
      <c r="BL238" s="425">
        <f t="shared" si="60"/>
        <v>16262321.237211052</v>
      </c>
      <c r="BN238" s="423">
        <f t="shared" si="61"/>
        <v>0.4929569640009262</v>
      </c>
      <c r="BO238" s="423">
        <f t="shared" si="62"/>
        <v>5.6741802798289401E-2</v>
      </c>
      <c r="BP238" s="423">
        <f t="shared" si="63"/>
        <v>0.12961933310146029</v>
      </c>
      <c r="BQ238" s="423">
        <f t="shared" si="64"/>
        <v>0.24867868806643784</v>
      </c>
      <c r="BR238" s="423">
        <f t="shared" si="65"/>
        <v>3.3165179589185696E-2</v>
      </c>
      <c r="BS238" s="423">
        <f t="shared" si="66"/>
        <v>3.8838032443700543E-2</v>
      </c>
      <c r="BT238" s="425">
        <f t="shared" si="67"/>
        <v>5065553.7549020369</v>
      </c>
    </row>
    <row r="239" spans="1:72" x14ac:dyDescent="0.2">
      <c r="A239" s="309">
        <v>202</v>
      </c>
      <c r="B239" s="278" t="s">
        <v>253</v>
      </c>
      <c r="C239" s="278">
        <v>2</v>
      </c>
      <c r="D239" s="279">
        <v>32590</v>
      </c>
      <c r="E239" s="364">
        <v>166736000</v>
      </c>
      <c r="F239" s="279">
        <v>125779174</v>
      </c>
      <c r="G239" s="278">
        <v>4143512.855</v>
      </c>
      <c r="H239" s="279">
        <v>7046361.943</v>
      </c>
      <c r="I239" s="279">
        <v>30905291.521467939</v>
      </c>
      <c r="J239" s="279">
        <v>-2193384</v>
      </c>
      <c r="K239" s="279">
        <v>1127000</v>
      </c>
      <c r="L239" s="280">
        <v>-65505.899999999994</v>
      </c>
      <c r="M239" s="369">
        <v>137462.21946796178</v>
      </c>
      <c r="N239" s="370">
        <v>4.2179263414532615</v>
      </c>
      <c r="P239" s="365">
        <v>69469596.591836736</v>
      </c>
      <c r="Q239" s="283">
        <v>49043239</v>
      </c>
      <c r="R239" s="279">
        <v>7046361.943</v>
      </c>
      <c r="S239" s="279">
        <v>2683586.9347643377</v>
      </c>
      <c r="T239" s="280">
        <v>16573664.539682182</v>
      </c>
      <c r="U239" s="280">
        <v>-2677323.4278474143</v>
      </c>
      <c r="V239" s="279">
        <v>-2193384</v>
      </c>
      <c r="W239" s="279">
        <v>1127000</v>
      </c>
      <c r="X239" s="279">
        <v>422940.85647393385</v>
      </c>
      <c r="Y239" s="354">
        <v>2556489.2542363107</v>
      </c>
      <c r="Z239" s="355">
        <v>78.443978344164179</v>
      </c>
      <c r="AB239" s="366">
        <v>2419027.034768349</v>
      </c>
      <c r="AC239" s="349">
        <v>74.226052002710929</v>
      </c>
      <c r="AE239" s="374">
        <v>-69.781789941534498</v>
      </c>
      <c r="AF239" s="350">
        <v>-49.226052002711839</v>
      </c>
      <c r="AG239" s="350">
        <v>-24.226052002711839</v>
      </c>
      <c r="AH239" s="350">
        <v>0</v>
      </c>
      <c r="AI239" s="350">
        <v>0</v>
      </c>
      <c r="AJ239" s="408">
        <v>-8500</v>
      </c>
      <c r="AK239" s="387">
        <v>-158236</v>
      </c>
      <c r="AL239" s="287">
        <v>0</v>
      </c>
      <c r="AM239" s="287">
        <v>-8500</v>
      </c>
      <c r="AN239" s="287">
        <v>-60970</v>
      </c>
      <c r="AO239" s="287">
        <v>-97266</v>
      </c>
      <c r="AP239" s="287">
        <v>125779</v>
      </c>
      <c r="AQ239" s="287">
        <v>76736</v>
      </c>
      <c r="AR239" s="287">
        <v>49043</v>
      </c>
      <c r="AS239" s="287">
        <v>4144</v>
      </c>
      <c r="AT239" s="287">
        <v>1460</v>
      </c>
      <c r="AU239" s="287">
        <v>2684</v>
      </c>
      <c r="AV239" s="353">
        <f t="shared" si="51"/>
        <v>28646.40162146794</v>
      </c>
      <c r="AW239" s="353">
        <f t="shared" si="52"/>
        <v>19217.63304382778</v>
      </c>
      <c r="AX239" s="353">
        <f t="shared" si="53"/>
        <v>9428.7685776401595</v>
      </c>
      <c r="AY239" s="390">
        <v>2274189</v>
      </c>
      <c r="AZ239" s="390">
        <v>-2274189</v>
      </c>
      <c r="BA239" s="401">
        <f t="shared" si="54"/>
        <v>7046.3619429999999</v>
      </c>
      <c r="BB239" s="401">
        <v>-21365</v>
      </c>
      <c r="BC239" s="401">
        <v>0</v>
      </c>
      <c r="BD239" s="401">
        <v>2700</v>
      </c>
      <c r="BE239" s="401">
        <v>-14361</v>
      </c>
      <c r="BG239" s="426">
        <f t="shared" si="55"/>
        <v>0.75403581924539442</v>
      </c>
      <c r="BH239" s="426">
        <f t="shared" si="56"/>
        <v>2.4840019303781945E-2</v>
      </c>
      <c r="BI239" s="426">
        <f t="shared" si="57"/>
        <v>4.2242361206709579E-2</v>
      </c>
      <c r="BJ239" s="426">
        <f t="shared" si="58"/>
        <v>0.17212552779244741</v>
      </c>
      <c r="BK239" s="426">
        <f t="shared" si="59"/>
        <v>6.7562724516664384E-3</v>
      </c>
      <c r="BL239" s="425">
        <f t="shared" si="60"/>
        <v>166807956.31946796</v>
      </c>
      <c r="BN239" s="423">
        <f t="shared" si="61"/>
        <v>0.7073990653753286</v>
      </c>
      <c r="BO239" s="423">
        <f t="shared" si="62"/>
        <v>3.870802435185277E-2</v>
      </c>
      <c r="BP239" s="423">
        <f t="shared" si="63"/>
        <v>0.10163663645409889</v>
      </c>
      <c r="BQ239" s="423">
        <f t="shared" si="64"/>
        <v>0.16880330687456163</v>
      </c>
      <c r="BR239" s="423">
        <f t="shared" si="65"/>
        <v>1.6255833891354429E-2</v>
      </c>
      <c r="BS239" s="423">
        <f t="shared" si="66"/>
        <v>-3.2802866947196432E-2</v>
      </c>
      <c r="BT239" s="425">
        <f t="shared" si="67"/>
        <v>69328956.455404505</v>
      </c>
    </row>
    <row r="240" spans="1:72" x14ac:dyDescent="0.2">
      <c r="A240" s="309">
        <v>491</v>
      </c>
      <c r="B240" s="278" t="s">
        <v>280</v>
      </c>
      <c r="C240" s="278">
        <v>10</v>
      </c>
      <c r="D240" s="279">
        <v>54665</v>
      </c>
      <c r="E240" s="364">
        <v>317030000</v>
      </c>
      <c r="F240" s="279">
        <v>172475688</v>
      </c>
      <c r="G240" s="278">
        <v>10969923.810000001</v>
      </c>
      <c r="H240" s="279">
        <v>19132722.636899997</v>
      </c>
      <c r="I240" s="279">
        <v>113238930.20466584</v>
      </c>
      <c r="J240" s="279">
        <v>-617371</v>
      </c>
      <c r="K240" s="279">
        <v>3609000</v>
      </c>
      <c r="L240" s="280">
        <v>-109876.65</v>
      </c>
      <c r="M240" s="369">
        <v>1888770.3015658497</v>
      </c>
      <c r="N240" s="370">
        <v>34.551729654547692</v>
      </c>
      <c r="P240" s="365">
        <v>137413465.99775675</v>
      </c>
      <c r="Q240" s="283">
        <v>73151659</v>
      </c>
      <c r="R240" s="279">
        <v>19132722.636899997</v>
      </c>
      <c r="S240" s="279">
        <v>7104779.2638925519</v>
      </c>
      <c r="T240" s="280">
        <v>22086129.116140034</v>
      </c>
      <c r="U240" s="280">
        <v>7329353.8900918299</v>
      </c>
      <c r="V240" s="279">
        <v>-617371</v>
      </c>
      <c r="W240" s="279">
        <v>3609000</v>
      </c>
      <c r="X240" s="279">
        <v>679694.32277332759</v>
      </c>
      <c r="Y240" s="354">
        <v>-4937498.7679590136</v>
      </c>
      <c r="Z240" s="355">
        <v>-90.322853159407543</v>
      </c>
      <c r="AB240" s="366">
        <v>-6826269.0695248637</v>
      </c>
      <c r="AC240" s="349">
        <v>-124.87458281395524</v>
      </c>
      <c r="AE240" s="374">
        <v>129.31884487513258</v>
      </c>
      <c r="AF240" s="350">
        <v>99.874582813955243</v>
      </c>
      <c r="AG240" s="350">
        <v>74.874582813955243</v>
      </c>
      <c r="AH240" s="350">
        <v>49.874582813955243</v>
      </c>
      <c r="AI240" s="350">
        <v>24.874582813955243</v>
      </c>
      <c r="AJ240" s="408">
        <v>-19200</v>
      </c>
      <c r="AK240" s="387">
        <v>-297830</v>
      </c>
      <c r="AL240" s="287">
        <v>-932</v>
      </c>
      <c r="AM240" s="287">
        <v>-18268</v>
      </c>
      <c r="AN240" s="287">
        <v>-119145</v>
      </c>
      <c r="AO240" s="287">
        <v>-178685</v>
      </c>
      <c r="AP240" s="287">
        <v>172476</v>
      </c>
      <c r="AQ240" s="287">
        <v>99324</v>
      </c>
      <c r="AR240" s="287">
        <v>73152</v>
      </c>
      <c r="AS240" s="287">
        <v>10970</v>
      </c>
      <c r="AT240" s="287">
        <v>3865</v>
      </c>
      <c r="AU240" s="287">
        <v>7105</v>
      </c>
      <c r="AV240" s="353">
        <f t="shared" si="51"/>
        <v>112511.68255466584</v>
      </c>
      <c r="AW240" s="353">
        <f t="shared" si="52"/>
        <v>76644.355893334854</v>
      </c>
      <c r="AX240" s="353">
        <f t="shared" si="53"/>
        <v>35867.326661330982</v>
      </c>
      <c r="AY240" s="390">
        <v>7069215</v>
      </c>
      <c r="AZ240" s="390">
        <v>7069215</v>
      </c>
      <c r="BA240" s="401">
        <f t="shared" si="54"/>
        <v>19132.722636899998</v>
      </c>
      <c r="BB240" s="401">
        <v>-37590</v>
      </c>
      <c r="BC240" s="401">
        <v>1798</v>
      </c>
      <c r="BD240" s="401">
        <v>5300</v>
      </c>
      <c r="BE240" s="401">
        <v>-14037</v>
      </c>
      <c r="BG240" s="426">
        <f t="shared" si="55"/>
        <v>0.54100024006388903</v>
      </c>
      <c r="BH240" s="426">
        <f t="shared" si="56"/>
        <v>3.440908967235181E-2</v>
      </c>
      <c r="BI240" s="426">
        <f t="shared" si="57"/>
        <v>6.0013139588918192E-2</v>
      </c>
      <c r="BJ240" s="426">
        <f t="shared" si="58"/>
        <v>0.35325726931492929</v>
      </c>
      <c r="BK240" s="426">
        <f t="shared" si="59"/>
        <v>1.1320261359911639E-2</v>
      </c>
      <c r="BL240" s="425">
        <f t="shared" si="60"/>
        <v>318808893.65156585</v>
      </c>
      <c r="BN240" s="423">
        <f t="shared" si="61"/>
        <v>0.52678070184483039</v>
      </c>
      <c r="BO240" s="423">
        <f t="shared" si="62"/>
        <v>5.1163031136257836E-2</v>
      </c>
      <c r="BP240" s="423">
        <f t="shared" si="63"/>
        <v>0.13777881727697597</v>
      </c>
      <c r="BQ240" s="423">
        <f t="shared" si="64"/>
        <v>0.20738134803544042</v>
      </c>
      <c r="BR240" s="423">
        <f t="shared" si="65"/>
        <v>2.5989178905129039E-2</v>
      </c>
      <c r="BS240" s="423">
        <f t="shared" si="66"/>
        <v>5.0906922801366356E-2</v>
      </c>
      <c r="BT240" s="425">
        <f t="shared" si="67"/>
        <v>138865487.56212354</v>
      </c>
    </row>
    <row r="241" spans="1:72" x14ac:dyDescent="0.2">
      <c r="A241" s="309">
        <v>729</v>
      </c>
      <c r="B241" s="278" t="s">
        <v>159</v>
      </c>
      <c r="C241" s="278">
        <v>13</v>
      </c>
      <c r="D241" s="279">
        <v>9915</v>
      </c>
      <c r="E241" s="364">
        <v>60118000</v>
      </c>
      <c r="F241" s="279">
        <v>26310338</v>
      </c>
      <c r="G241" s="278">
        <v>1809531.845</v>
      </c>
      <c r="H241" s="279">
        <v>2351764.3654</v>
      </c>
      <c r="I241" s="279">
        <v>30748434.403880976</v>
      </c>
      <c r="J241" s="279">
        <v>-110623</v>
      </c>
      <c r="K241" s="279">
        <v>-221000</v>
      </c>
      <c r="L241" s="280">
        <v>-19929.149999999998</v>
      </c>
      <c r="M241" s="369">
        <v>790374.76428097638</v>
      </c>
      <c r="N241" s="370">
        <v>79.715054390416171</v>
      </c>
      <c r="P241" s="365">
        <v>22136859.353312306</v>
      </c>
      <c r="Q241" s="283">
        <v>12272380</v>
      </c>
      <c r="R241" s="279">
        <v>2351764.3654</v>
      </c>
      <c r="S241" s="279">
        <v>1171961.1323088333</v>
      </c>
      <c r="T241" s="280">
        <v>7525409.9379070234</v>
      </c>
      <c r="U241" s="280">
        <v>-286409.68567058485</v>
      </c>
      <c r="V241" s="279">
        <v>-110623</v>
      </c>
      <c r="W241" s="279">
        <v>-221000</v>
      </c>
      <c r="X241" s="279">
        <v>118788.06285144968</v>
      </c>
      <c r="Y241" s="354">
        <v>685411.45948441699</v>
      </c>
      <c r="Z241" s="355">
        <v>69.128740240485826</v>
      </c>
      <c r="AB241" s="366">
        <v>-104963.30479655939</v>
      </c>
      <c r="AC241" s="349">
        <v>-10.586314149930347</v>
      </c>
      <c r="AE241" s="374">
        <v>15.030576211107672</v>
      </c>
      <c r="AF241" s="350">
        <v>0</v>
      </c>
      <c r="AG241" s="350">
        <v>0</v>
      </c>
      <c r="AH241" s="350">
        <v>0</v>
      </c>
      <c r="AI241" s="350">
        <v>0</v>
      </c>
      <c r="AJ241" s="408">
        <v>-4187</v>
      </c>
      <c r="AK241" s="387">
        <v>-55931</v>
      </c>
      <c r="AL241" s="287">
        <v>0</v>
      </c>
      <c r="AM241" s="287">
        <v>-4187</v>
      </c>
      <c r="AN241" s="287">
        <v>-17950</v>
      </c>
      <c r="AO241" s="287">
        <v>-37981</v>
      </c>
      <c r="AP241" s="287">
        <v>26310</v>
      </c>
      <c r="AQ241" s="287">
        <v>14038</v>
      </c>
      <c r="AR241" s="287">
        <v>12272</v>
      </c>
      <c r="AS241" s="287">
        <v>1810</v>
      </c>
      <c r="AT241" s="287">
        <v>638</v>
      </c>
      <c r="AU241" s="287">
        <v>1172</v>
      </c>
      <c r="AV241" s="353">
        <f t="shared" si="51"/>
        <v>30617.88225388098</v>
      </c>
      <c r="AW241" s="353">
        <f t="shared" si="52"/>
        <v>23340.476838511408</v>
      </c>
      <c r="AX241" s="353">
        <f t="shared" si="53"/>
        <v>7277.4054153695715</v>
      </c>
      <c r="AY241" s="390">
        <v>149028</v>
      </c>
      <c r="AZ241" s="390">
        <v>149028</v>
      </c>
      <c r="BA241" s="401">
        <f t="shared" si="54"/>
        <v>2351.7643653999999</v>
      </c>
      <c r="BB241" s="401">
        <v>-3574</v>
      </c>
      <c r="BC241" s="401">
        <v>0</v>
      </c>
      <c r="BD241" s="401">
        <v>150</v>
      </c>
      <c r="BE241" s="401">
        <v>727</v>
      </c>
      <c r="BG241" s="426">
        <f t="shared" si="55"/>
        <v>0.43210723700637688</v>
      </c>
      <c r="BH241" s="426">
        <f t="shared" si="56"/>
        <v>2.9718805049862965E-2</v>
      </c>
      <c r="BI241" s="426">
        <f t="shared" si="57"/>
        <v>3.8624148500982745E-2</v>
      </c>
      <c r="BJ241" s="426">
        <f t="shared" si="58"/>
        <v>0.50317939791018551</v>
      </c>
      <c r="BK241" s="426">
        <f t="shared" si="59"/>
        <v>-3.6295884674081074E-3</v>
      </c>
      <c r="BL241" s="425">
        <f t="shared" si="60"/>
        <v>60888445.614280976</v>
      </c>
      <c r="BN241" s="423">
        <f t="shared" si="61"/>
        <v>0.53702545189362816</v>
      </c>
      <c r="BO241" s="423">
        <f t="shared" si="62"/>
        <v>5.1283692053205605E-2</v>
      </c>
      <c r="BP241" s="423">
        <f t="shared" si="63"/>
        <v>0.10291054555646637</v>
      </c>
      <c r="BQ241" s="423">
        <f t="shared" si="64"/>
        <v>0.31192971657906071</v>
      </c>
      <c r="BR241" s="423">
        <f t="shared" si="65"/>
        <v>-9.6707097456639884E-3</v>
      </c>
      <c r="BS241" s="423">
        <f t="shared" si="66"/>
        <v>6.521303663303113E-3</v>
      </c>
      <c r="BT241" s="425">
        <f t="shared" si="67"/>
        <v>22852510.913078405</v>
      </c>
    </row>
    <row r="242" spans="1:72" x14ac:dyDescent="0.2">
      <c r="A242" s="309">
        <v>738</v>
      </c>
      <c r="B242" s="278" t="s">
        <v>302</v>
      </c>
      <c r="C242" s="278">
        <v>2</v>
      </c>
      <c r="D242" s="279">
        <v>3019</v>
      </c>
      <c r="E242" s="364">
        <v>15682000</v>
      </c>
      <c r="F242" s="279">
        <v>9695325</v>
      </c>
      <c r="G242" s="278">
        <v>383196.42499999999</v>
      </c>
      <c r="H242" s="279">
        <v>1101105.2879999999</v>
      </c>
      <c r="I242" s="279">
        <v>5286443.2451014258</v>
      </c>
      <c r="J242" s="279">
        <v>-646269</v>
      </c>
      <c r="K242" s="279">
        <v>28000</v>
      </c>
      <c r="L242" s="280">
        <v>-6068.19</v>
      </c>
      <c r="M242" s="369">
        <v>171869.14810142718</v>
      </c>
      <c r="N242" s="370">
        <v>56.92916465764398</v>
      </c>
      <c r="P242" s="365">
        <v>6536978.2925170064</v>
      </c>
      <c r="Q242" s="283">
        <v>4432329</v>
      </c>
      <c r="R242" s="279">
        <v>1101105.2879999999</v>
      </c>
      <c r="S242" s="279">
        <v>248180.94104317733</v>
      </c>
      <c r="T242" s="280">
        <v>2067217.3411067894</v>
      </c>
      <c r="U242" s="280">
        <v>-232556.92546502629</v>
      </c>
      <c r="V242" s="279">
        <v>-646269</v>
      </c>
      <c r="W242" s="279">
        <v>28000</v>
      </c>
      <c r="X242" s="279">
        <v>36574.463891521831</v>
      </c>
      <c r="Y242" s="354">
        <v>497602.81605945621</v>
      </c>
      <c r="Z242" s="355">
        <v>164.82372178186691</v>
      </c>
      <c r="AB242" s="366">
        <v>325733.66795802902</v>
      </c>
      <c r="AC242" s="349">
        <v>107.89455712422293</v>
      </c>
      <c r="AE242" s="374">
        <v>-103.45029506304559</v>
      </c>
      <c r="AF242" s="350">
        <v>-82.894557124222928</v>
      </c>
      <c r="AG242" s="350">
        <v>-57.894557124222928</v>
      </c>
      <c r="AH242" s="350">
        <v>-32.894557124222928</v>
      </c>
      <c r="AI242" s="350">
        <v>-7.8945571242229278</v>
      </c>
      <c r="AJ242" s="408">
        <v>-381</v>
      </c>
      <c r="AK242" s="387">
        <v>-15301</v>
      </c>
      <c r="AL242" s="287">
        <v>0</v>
      </c>
      <c r="AM242" s="287">
        <v>-381</v>
      </c>
      <c r="AN242" s="287">
        <v>-6156</v>
      </c>
      <c r="AO242" s="287">
        <v>-9145</v>
      </c>
      <c r="AP242" s="287">
        <v>9695</v>
      </c>
      <c r="AQ242" s="287">
        <v>5263</v>
      </c>
      <c r="AR242" s="287">
        <v>4432</v>
      </c>
      <c r="AS242" s="287">
        <v>383</v>
      </c>
      <c r="AT242" s="287">
        <v>135</v>
      </c>
      <c r="AU242" s="287">
        <v>248</v>
      </c>
      <c r="AV242" s="353">
        <f t="shared" si="51"/>
        <v>4634.1060551014252</v>
      </c>
      <c r="AW242" s="353">
        <f t="shared" si="52"/>
        <v>3758.0310802549966</v>
      </c>
      <c r="AX242" s="353">
        <f t="shared" si="53"/>
        <v>876.07497484642863</v>
      </c>
      <c r="AY242" s="390">
        <v>312316</v>
      </c>
      <c r="AZ242" s="390">
        <v>-312316</v>
      </c>
      <c r="BA242" s="401">
        <f t="shared" si="54"/>
        <v>1101.105288</v>
      </c>
      <c r="BB242" s="401">
        <v>-509</v>
      </c>
      <c r="BC242" s="401">
        <v>6</v>
      </c>
      <c r="BD242" s="401">
        <v>0</v>
      </c>
      <c r="BE242" s="401">
        <v>-239</v>
      </c>
      <c r="BG242" s="426">
        <f t="shared" si="55"/>
        <v>0.61177730750358339</v>
      </c>
      <c r="BH242" s="426">
        <f t="shared" si="56"/>
        <v>2.4179785322461993E-2</v>
      </c>
      <c r="BI242" s="426">
        <f t="shared" si="57"/>
        <v>6.9480004885921584E-2</v>
      </c>
      <c r="BJ242" s="426">
        <f t="shared" si="58"/>
        <v>0.29279609564564602</v>
      </c>
      <c r="BK242" s="426">
        <f t="shared" si="59"/>
        <v>1.7668066423869582E-3</v>
      </c>
      <c r="BL242" s="425">
        <f t="shared" si="60"/>
        <v>15847800.958101427</v>
      </c>
      <c r="BN242" s="423">
        <f t="shared" si="61"/>
        <v>0.66295758026917795</v>
      </c>
      <c r="BO242" s="423">
        <f t="shared" si="62"/>
        <v>3.7121214635220529E-2</v>
      </c>
      <c r="BP242" s="423">
        <f t="shared" si="63"/>
        <v>0.16469582861607887</v>
      </c>
      <c r="BQ242" s="423">
        <f t="shared" si="64"/>
        <v>0.17775149302466633</v>
      </c>
      <c r="BR242" s="423">
        <f t="shared" si="65"/>
        <v>4.1880492733136427E-3</v>
      </c>
      <c r="BS242" s="423">
        <f t="shared" si="66"/>
        <v>-4.6714165818457304E-2</v>
      </c>
      <c r="BT242" s="425">
        <f t="shared" si="67"/>
        <v>6685690.2038896056</v>
      </c>
    </row>
    <row r="243" spans="1:72" x14ac:dyDescent="0.2">
      <c r="A243" s="309">
        <v>732</v>
      </c>
      <c r="B243" s="278" t="s">
        <v>160</v>
      </c>
      <c r="C243" s="278">
        <v>19</v>
      </c>
      <c r="D243" s="279">
        <v>3727</v>
      </c>
      <c r="E243" s="364">
        <v>31846000</v>
      </c>
      <c r="F243" s="279">
        <v>9543623</v>
      </c>
      <c r="G243" s="278">
        <v>1070726.67</v>
      </c>
      <c r="H243" s="279">
        <v>1275173.6235000002</v>
      </c>
      <c r="I243" s="279">
        <v>20550440.278993171</v>
      </c>
      <c r="J243" s="279">
        <v>-212709</v>
      </c>
      <c r="K243" s="279">
        <v>-181000</v>
      </c>
      <c r="L243" s="280">
        <v>-7491.2699999999995</v>
      </c>
      <c r="M243" s="369">
        <v>207745.84249317317</v>
      </c>
      <c r="N243" s="370">
        <v>55.740768042171496</v>
      </c>
      <c r="P243" s="365">
        <v>10023075.939652532</v>
      </c>
      <c r="Q243" s="283">
        <v>4147859</v>
      </c>
      <c r="R243" s="279">
        <v>1275173.6235000002</v>
      </c>
      <c r="S243" s="279">
        <v>693466.67981212912</v>
      </c>
      <c r="T243" s="280">
        <v>5798218.5177210327</v>
      </c>
      <c r="U243" s="280">
        <v>-632786.00952236087</v>
      </c>
      <c r="V243" s="279">
        <v>-212709</v>
      </c>
      <c r="W243" s="279">
        <v>-181000</v>
      </c>
      <c r="X243" s="279">
        <v>45118.520242332626</v>
      </c>
      <c r="Y243" s="354">
        <v>910265.39210060239</v>
      </c>
      <c r="Z243" s="355">
        <v>244.23541510614498</v>
      </c>
      <c r="AB243" s="366">
        <v>702519.54960742919</v>
      </c>
      <c r="AC243" s="349">
        <v>188.49464706397347</v>
      </c>
      <c r="AE243" s="374">
        <v>-184.05038500279716</v>
      </c>
      <c r="AF243" s="350">
        <v>-163.49464706397447</v>
      </c>
      <c r="AG243" s="350">
        <v>-138.49464706397447</v>
      </c>
      <c r="AH243" s="350">
        <v>-113.49464706397447</v>
      </c>
      <c r="AI243" s="350">
        <v>-88.494647063974469</v>
      </c>
      <c r="AJ243" s="408">
        <v>-1037</v>
      </c>
      <c r="AK243" s="387">
        <v>-30809</v>
      </c>
      <c r="AL243" s="287">
        <v>-154</v>
      </c>
      <c r="AM243" s="287">
        <v>-883</v>
      </c>
      <c r="AN243" s="287">
        <v>-9140</v>
      </c>
      <c r="AO243" s="287">
        <v>-21669</v>
      </c>
      <c r="AP243" s="287">
        <v>9544</v>
      </c>
      <c r="AQ243" s="287">
        <v>5396</v>
      </c>
      <c r="AR243" s="287">
        <v>4148</v>
      </c>
      <c r="AS243" s="287">
        <v>1071</v>
      </c>
      <c r="AT243" s="287">
        <v>378</v>
      </c>
      <c r="AU243" s="287">
        <v>693</v>
      </c>
      <c r="AV243" s="353">
        <f t="shared" si="51"/>
        <v>20330.240008993173</v>
      </c>
      <c r="AW243" s="353">
        <f t="shared" si="52"/>
        <v>16063.472285699925</v>
      </c>
      <c r="AX243" s="353">
        <f t="shared" si="53"/>
        <v>4266.7677232932465</v>
      </c>
      <c r="AY243" s="390">
        <v>685956</v>
      </c>
      <c r="AZ243" s="390">
        <v>-685956</v>
      </c>
      <c r="BA243" s="401">
        <f t="shared" si="54"/>
        <v>1275.1736235000003</v>
      </c>
      <c r="BB243" s="401">
        <v>-2043</v>
      </c>
      <c r="BC243" s="401">
        <v>0</v>
      </c>
      <c r="BD243" s="401">
        <v>50</v>
      </c>
      <c r="BE243" s="401">
        <v>-1010</v>
      </c>
      <c r="BG243" s="426">
        <f t="shared" si="55"/>
        <v>0.29780775093111023</v>
      </c>
      <c r="BH243" s="426">
        <f t="shared" si="56"/>
        <v>3.3411913007738998E-2</v>
      </c>
      <c r="BI243" s="426">
        <f t="shared" si="57"/>
        <v>3.9791658666861573E-2</v>
      </c>
      <c r="BJ243" s="426">
        <f t="shared" si="58"/>
        <v>0.63463676333801622</v>
      </c>
      <c r="BK243" s="426">
        <f t="shared" si="59"/>
        <v>-5.6480859437271309E-3</v>
      </c>
      <c r="BL243" s="425">
        <f t="shared" si="60"/>
        <v>32046254.572493173</v>
      </c>
      <c r="BN243" s="423">
        <f t="shared" si="61"/>
        <v>0.40656248157230662</v>
      </c>
      <c r="BO243" s="423">
        <f t="shared" si="62"/>
        <v>6.797182214538329E-2</v>
      </c>
      <c r="BP243" s="423">
        <f t="shared" si="63"/>
        <v>0.1249892421139943</v>
      </c>
      <c r="BQ243" s="423">
        <f t="shared" si="64"/>
        <v>0.48545323262790568</v>
      </c>
      <c r="BR243" s="423">
        <f t="shared" si="65"/>
        <v>-1.7741154934289592E-2</v>
      </c>
      <c r="BS243" s="423">
        <f t="shared" si="66"/>
        <v>-6.7235623525300395E-2</v>
      </c>
      <c r="BT243" s="425">
        <f t="shared" si="67"/>
        <v>10202267.026605377</v>
      </c>
    </row>
    <row r="244" spans="1:72" x14ac:dyDescent="0.2">
      <c r="A244" s="309">
        <v>734</v>
      </c>
      <c r="B244" s="278" t="s">
        <v>161</v>
      </c>
      <c r="C244" s="278">
        <v>2</v>
      </c>
      <c r="D244" s="279">
        <v>53890</v>
      </c>
      <c r="E244" s="364">
        <v>298672000</v>
      </c>
      <c r="F244" s="279">
        <v>170516260</v>
      </c>
      <c r="G244" s="278">
        <v>10487228.700000001</v>
      </c>
      <c r="H244" s="279">
        <v>14581318.1503</v>
      </c>
      <c r="I244" s="279">
        <v>110241324.91558704</v>
      </c>
      <c r="J244" s="279">
        <v>-3336897</v>
      </c>
      <c r="K244" s="279">
        <v>-1038000</v>
      </c>
      <c r="L244" s="280">
        <v>-108318.9</v>
      </c>
      <c r="M244" s="369">
        <v>2887553.6658870219</v>
      </c>
      <c r="N244" s="370">
        <v>53.582365297588083</v>
      </c>
      <c r="P244" s="365">
        <v>126590230</v>
      </c>
      <c r="Q244" s="283">
        <v>73978810</v>
      </c>
      <c r="R244" s="279">
        <v>14581318.1503</v>
      </c>
      <c r="S244" s="279">
        <v>6792157.0189518798</v>
      </c>
      <c r="T244" s="280">
        <v>32966631.609590676</v>
      </c>
      <c r="U244" s="280">
        <v>1796719.078535811</v>
      </c>
      <c r="V244" s="279">
        <v>-3336897</v>
      </c>
      <c r="W244" s="279">
        <v>-1038000</v>
      </c>
      <c r="X244" s="279">
        <v>669188.05097390327</v>
      </c>
      <c r="Y244" s="354">
        <v>-180303.09164772928</v>
      </c>
      <c r="Z244" s="355">
        <v>-3.3457615818840094</v>
      </c>
      <c r="AB244" s="366">
        <v>-3067856.7575347512</v>
      </c>
      <c r="AC244" s="349">
        <v>-56.928126879472096</v>
      </c>
      <c r="AE244" s="374">
        <v>61.372388940649429</v>
      </c>
      <c r="AF244" s="350">
        <v>31.928126879472096</v>
      </c>
      <c r="AG244" s="350">
        <v>6.9281268794720958</v>
      </c>
      <c r="AH244" s="350">
        <v>0</v>
      </c>
      <c r="AI244" s="350">
        <v>0</v>
      </c>
      <c r="AJ244" s="408">
        <v>-15258</v>
      </c>
      <c r="AK244" s="387">
        <v>-283414</v>
      </c>
      <c r="AL244" s="287">
        <v>-577</v>
      </c>
      <c r="AM244" s="287">
        <v>-14681</v>
      </c>
      <c r="AN244" s="287">
        <v>-111909</v>
      </c>
      <c r="AO244" s="287">
        <v>-171505</v>
      </c>
      <c r="AP244" s="287">
        <v>170516</v>
      </c>
      <c r="AQ244" s="287">
        <v>96537</v>
      </c>
      <c r="AR244" s="287">
        <v>73979</v>
      </c>
      <c r="AS244" s="287">
        <v>10487</v>
      </c>
      <c r="AT244" s="287">
        <v>3695</v>
      </c>
      <c r="AU244" s="287">
        <v>6792</v>
      </c>
      <c r="AV244" s="353">
        <f t="shared" si="51"/>
        <v>106796.10901558703</v>
      </c>
      <c r="AW244" s="353">
        <f t="shared" si="52"/>
        <v>72062.29728744895</v>
      </c>
      <c r="AX244" s="353">
        <f t="shared" si="53"/>
        <v>34733.811728138091</v>
      </c>
      <c r="AY244" s="390">
        <v>3307358</v>
      </c>
      <c r="AZ244" s="390">
        <v>3307358</v>
      </c>
      <c r="BA244" s="401">
        <f t="shared" si="54"/>
        <v>14581.3181503</v>
      </c>
      <c r="BB244" s="401">
        <v>-16150</v>
      </c>
      <c r="BC244" s="401">
        <v>380</v>
      </c>
      <c r="BD244" s="401">
        <v>0</v>
      </c>
      <c r="BE244" s="401">
        <v>-8964</v>
      </c>
      <c r="BG244" s="426">
        <f t="shared" si="55"/>
        <v>0.56565122425995795</v>
      </c>
      <c r="BH244" s="426">
        <f t="shared" si="56"/>
        <v>3.4789138310030776E-2</v>
      </c>
      <c r="BI244" s="426">
        <f t="shared" si="57"/>
        <v>4.8370404459030132E-2</v>
      </c>
      <c r="BJ244" s="426">
        <f t="shared" si="58"/>
        <v>0.35463257597405806</v>
      </c>
      <c r="BK244" s="426">
        <f t="shared" si="59"/>
        <v>-3.4433430030768701E-3</v>
      </c>
      <c r="BL244" s="425">
        <f t="shared" si="60"/>
        <v>301451234.76588702</v>
      </c>
      <c r="BN244" s="423">
        <f t="shared" si="61"/>
        <v>0.57326540862375353</v>
      </c>
      <c r="BO244" s="423">
        <f t="shared" si="62"/>
        <v>5.2632756175804193E-2</v>
      </c>
      <c r="BP244" s="423">
        <f t="shared" si="63"/>
        <v>0.11299134586923855</v>
      </c>
      <c r="BQ244" s="423">
        <f t="shared" si="64"/>
        <v>0.24352512314160363</v>
      </c>
      <c r="BR244" s="423">
        <f t="shared" si="65"/>
        <v>-8.0435126511423493E-3</v>
      </c>
      <c r="BS244" s="423">
        <f t="shared" si="66"/>
        <v>2.5628878840742442E-2</v>
      </c>
      <c r="BT244" s="425">
        <f t="shared" si="67"/>
        <v>129048096.89738996</v>
      </c>
    </row>
    <row r="245" spans="1:72" x14ac:dyDescent="0.2">
      <c r="A245" s="309">
        <v>790</v>
      </c>
      <c r="B245" s="278" t="s">
        <v>181</v>
      </c>
      <c r="C245" s="278">
        <v>6</v>
      </c>
      <c r="D245" s="279">
        <v>25220</v>
      </c>
      <c r="E245" s="364">
        <v>142602000</v>
      </c>
      <c r="F245" s="279">
        <v>71719798</v>
      </c>
      <c r="G245" s="278">
        <v>3946584.5799999996</v>
      </c>
      <c r="H245" s="279">
        <v>5647404.2254000008</v>
      </c>
      <c r="I245" s="279">
        <v>65400291.940608039</v>
      </c>
      <c r="J245" s="279">
        <v>-1697208</v>
      </c>
      <c r="K245" s="279">
        <v>-275000</v>
      </c>
      <c r="L245" s="280">
        <v>-50692.2</v>
      </c>
      <c r="M245" s="369">
        <v>2190562.9460080387</v>
      </c>
      <c r="N245" s="370">
        <v>86.858165979700189</v>
      </c>
      <c r="P245" s="365">
        <v>51640604.121248975</v>
      </c>
      <c r="Q245" s="283">
        <v>31393808</v>
      </c>
      <c r="R245" s="279">
        <v>5647404.2254000008</v>
      </c>
      <c r="S245" s="279">
        <v>2556044.3967369804</v>
      </c>
      <c r="T245" s="280">
        <v>16726143.817656547</v>
      </c>
      <c r="U245" s="280">
        <v>-130512.5095616184</v>
      </c>
      <c r="V245" s="279">
        <v>-1697208</v>
      </c>
      <c r="W245" s="279">
        <v>-275000</v>
      </c>
      <c r="X245" s="279">
        <v>306128.81657999038</v>
      </c>
      <c r="Y245" s="354">
        <v>2886204.6255629212</v>
      </c>
      <c r="Z245" s="355">
        <v>114.44110331335928</v>
      </c>
      <c r="AB245" s="366">
        <v>695641.67955488246</v>
      </c>
      <c r="AC245" s="349">
        <v>27.5829373336591</v>
      </c>
      <c r="AE245" s="374">
        <v>-23.138675272481763</v>
      </c>
      <c r="AF245" s="350">
        <v>-2.5829373336590891</v>
      </c>
      <c r="AG245" s="350">
        <v>0</v>
      </c>
      <c r="AH245" s="350">
        <v>0</v>
      </c>
      <c r="AI245" s="350">
        <v>0</v>
      </c>
      <c r="AJ245" s="408">
        <v>-7420</v>
      </c>
      <c r="AK245" s="387">
        <v>-135182</v>
      </c>
      <c r="AL245" s="287">
        <v>-43</v>
      </c>
      <c r="AM245" s="287">
        <v>-7377</v>
      </c>
      <c r="AN245" s="287">
        <v>-44264</v>
      </c>
      <c r="AO245" s="287">
        <v>-90918</v>
      </c>
      <c r="AP245" s="287">
        <v>71720</v>
      </c>
      <c r="AQ245" s="287">
        <v>40326</v>
      </c>
      <c r="AR245" s="287">
        <v>31394</v>
      </c>
      <c r="AS245" s="287">
        <v>3947</v>
      </c>
      <c r="AT245" s="287">
        <v>1391</v>
      </c>
      <c r="AU245" s="287">
        <v>2556</v>
      </c>
      <c r="AV245" s="353">
        <f t="shared" si="51"/>
        <v>63652.391740608036</v>
      </c>
      <c r="AW245" s="353">
        <f t="shared" si="52"/>
        <v>49337.525822885102</v>
      </c>
      <c r="AX245" s="353">
        <f t="shared" si="53"/>
        <v>14314.865917722938</v>
      </c>
      <c r="AY245" s="390">
        <v>583557</v>
      </c>
      <c r="AZ245" s="390">
        <v>-583557</v>
      </c>
      <c r="BA245" s="401">
        <f t="shared" si="54"/>
        <v>5647.4042254000005</v>
      </c>
      <c r="BB245" s="401">
        <v>-9510</v>
      </c>
      <c r="BC245" s="401">
        <v>1035</v>
      </c>
      <c r="BD245" s="401">
        <v>300</v>
      </c>
      <c r="BE245" s="401">
        <v>-636</v>
      </c>
      <c r="BG245" s="426">
        <f t="shared" si="55"/>
        <v>0.49550138899236262</v>
      </c>
      <c r="BH245" s="426">
        <f t="shared" si="56"/>
        <v>2.7266364319177807E-2</v>
      </c>
      <c r="BI245" s="426">
        <f t="shared" si="57"/>
        <v>3.9017073610372384E-2</v>
      </c>
      <c r="BJ245" s="426">
        <f t="shared" si="58"/>
        <v>0.44011510706804213</v>
      </c>
      <c r="BK245" s="426">
        <f t="shared" si="59"/>
        <v>-1.8999339899549036E-3</v>
      </c>
      <c r="BL245" s="425">
        <f t="shared" si="60"/>
        <v>144741870.74600804</v>
      </c>
      <c r="BN245" s="423">
        <f t="shared" si="61"/>
        <v>0.58530000330778353</v>
      </c>
      <c r="BO245" s="423">
        <f t="shared" si="62"/>
        <v>4.7654390759636303E-2</v>
      </c>
      <c r="BP245" s="423">
        <f t="shared" si="63"/>
        <v>0.10528909751270096</v>
      </c>
      <c r="BQ245" s="423">
        <f t="shared" si="64"/>
        <v>0.2777632841326137</v>
      </c>
      <c r="BR245" s="423">
        <f t="shared" si="65"/>
        <v>-5.1270461012452037E-3</v>
      </c>
      <c r="BS245" s="423">
        <f t="shared" si="66"/>
        <v>-1.0879729611489225E-2</v>
      </c>
      <c r="BT245" s="425">
        <f t="shared" si="67"/>
        <v>53637122.539859913</v>
      </c>
    </row>
    <row r="246" spans="1:72" x14ac:dyDescent="0.2">
      <c r="A246" s="309">
        <v>484</v>
      </c>
      <c r="B246" s="278" t="s">
        <v>279</v>
      </c>
      <c r="C246" s="278">
        <v>4</v>
      </c>
      <c r="D246" s="279">
        <v>3185</v>
      </c>
      <c r="E246" s="364">
        <v>22257000</v>
      </c>
      <c r="F246" s="279">
        <v>7902080</v>
      </c>
      <c r="G246" s="278">
        <v>644734.9</v>
      </c>
      <c r="H246" s="279">
        <v>1017664.4829000002</v>
      </c>
      <c r="I246" s="279">
        <v>12125090.145198368</v>
      </c>
      <c r="J246" s="279">
        <v>209232</v>
      </c>
      <c r="K246" s="279">
        <v>75000</v>
      </c>
      <c r="L246" s="280">
        <v>1339885.5424837912</v>
      </c>
      <c r="M246" s="369">
        <v>-1623084.0143854241</v>
      </c>
      <c r="N246" s="370">
        <v>-509.60251629055699</v>
      </c>
      <c r="P246" s="365">
        <v>8839363.762237763</v>
      </c>
      <c r="Q246" s="283">
        <v>3152520</v>
      </c>
      <c r="R246" s="279">
        <v>1017664.4829000002</v>
      </c>
      <c r="S246" s="279">
        <v>417568.91183256428</v>
      </c>
      <c r="T246" s="280">
        <v>2170002.1538589303</v>
      </c>
      <c r="U246" s="280">
        <v>-43718.602237605424</v>
      </c>
      <c r="V246" s="279">
        <v>209232</v>
      </c>
      <c r="W246" s="279">
        <v>75000</v>
      </c>
      <c r="X246" s="279">
        <v>38492.189633394817</v>
      </c>
      <c r="Y246" s="354">
        <v>-1802602.6262504794</v>
      </c>
      <c r="Z246" s="355">
        <v>-565.96628767675963</v>
      </c>
      <c r="AB246" s="366">
        <v>-179518.61186505528</v>
      </c>
      <c r="AC246" s="349">
        <v>-56.3637713862026</v>
      </c>
      <c r="AE246" s="374">
        <v>60.808033447379955</v>
      </c>
      <c r="AF246" s="350">
        <v>31.363771386202643</v>
      </c>
      <c r="AG246" s="350">
        <v>6.363771386202643</v>
      </c>
      <c r="AH246" s="350">
        <v>0</v>
      </c>
      <c r="AI246" s="350">
        <v>0</v>
      </c>
      <c r="AJ246" s="408">
        <v>-1187</v>
      </c>
      <c r="AK246" s="387">
        <v>-21070</v>
      </c>
      <c r="AL246" s="287">
        <v>-23</v>
      </c>
      <c r="AM246" s="287">
        <v>-1164</v>
      </c>
      <c r="AN246" s="287">
        <v>-7675</v>
      </c>
      <c r="AO246" s="287">
        <v>-13395</v>
      </c>
      <c r="AP246" s="287">
        <v>7902</v>
      </c>
      <c r="AQ246" s="287">
        <v>4749</v>
      </c>
      <c r="AR246" s="287">
        <v>3153</v>
      </c>
      <c r="AS246" s="287">
        <v>645</v>
      </c>
      <c r="AT246" s="287">
        <v>227</v>
      </c>
      <c r="AU246" s="287">
        <v>418</v>
      </c>
      <c r="AV246" s="353">
        <f t="shared" si="51"/>
        <v>13674.207687682159</v>
      </c>
      <c r="AW246" s="353">
        <f t="shared" si="52"/>
        <v>11145.018549530929</v>
      </c>
      <c r="AX246" s="353">
        <f t="shared" si="53"/>
        <v>2529.1891381512301</v>
      </c>
      <c r="AY246" s="390">
        <v>193674</v>
      </c>
      <c r="AZ246" s="390">
        <v>193674</v>
      </c>
      <c r="BA246" s="401">
        <f t="shared" si="54"/>
        <v>1017.6644829000002</v>
      </c>
      <c r="BB246" s="401">
        <v>-1549</v>
      </c>
      <c r="BC246" s="401">
        <v>82</v>
      </c>
      <c r="BD246" s="401">
        <v>99</v>
      </c>
      <c r="BE246" s="401">
        <v>-632</v>
      </c>
      <c r="BG246" s="426">
        <f t="shared" si="55"/>
        <v>0.35961369678776073</v>
      </c>
      <c r="BH246" s="426">
        <f t="shared" si="56"/>
        <v>2.9341072329954549E-2</v>
      </c>
      <c r="BI246" s="426">
        <f t="shared" si="57"/>
        <v>4.6312627407628627E-2</v>
      </c>
      <c r="BJ246" s="426">
        <f t="shared" si="58"/>
        <v>0.56131944804480949</v>
      </c>
      <c r="BK246" s="426">
        <f t="shared" si="59"/>
        <v>3.4131554298465791E-3</v>
      </c>
      <c r="BL246" s="425">
        <f t="shared" si="60"/>
        <v>21973801.528098367</v>
      </c>
      <c r="BN246" s="423">
        <f t="shared" si="61"/>
        <v>0.4383405436828367</v>
      </c>
      <c r="BO246" s="423">
        <f t="shared" si="62"/>
        <v>5.806065745427047E-2</v>
      </c>
      <c r="BP246" s="423">
        <f t="shared" si="63"/>
        <v>0.14150064162038589</v>
      </c>
      <c r="BQ246" s="423">
        <f t="shared" si="64"/>
        <v>0.32474057473938683</v>
      </c>
      <c r="BR246" s="423">
        <f t="shared" si="65"/>
        <v>1.0428336941942559E-2</v>
      </c>
      <c r="BS246" s="423">
        <f t="shared" si="66"/>
        <v>2.6929245561177581E-2</v>
      </c>
      <c r="BT246" s="425">
        <f t="shared" si="67"/>
        <v>7191942.532883794</v>
      </c>
    </row>
    <row r="247" spans="1:72" x14ac:dyDescent="0.2">
      <c r="A247" s="309">
        <v>739</v>
      </c>
      <c r="B247" s="278" t="s">
        <v>162</v>
      </c>
      <c r="C247" s="278">
        <v>9</v>
      </c>
      <c r="D247" s="279">
        <v>3613</v>
      </c>
      <c r="E247" s="364">
        <v>24952000</v>
      </c>
      <c r="F247" s="279">
        <v>9973445</v>
      </c>
      <c r="G247" s="278">
        <v>1129450.5900000001</v>
      </c>
      <c r="H247" s="279">
        <v>1364871.7721000002</v>
      </c>
      <c r="I247" s="279">
        <v>11855538.804699574</v>
      </c>
      <c r="J247" s="279">
        <v>-9307</v>
      </c>
      <c r="K247" s="279">
        <v>-76000</v>
      </c>
      <c r="L247" s="280">
        <v>-7262.1299999999992</v>
      </c>
      <c r="M247" s="369">
        <v>-706738.7032004249</v>
      </c>
      <c r="N247" s="370">
        <v>-195.60993722679902</v>
      </c>
      <c r="P247" s="365">
        <v>9061830.7318435758</v>
      </c>
      <c r="Q247" s="283">
        <v>4453269</v>
      </c>
      <c r="R247" s="279">
        <v>1364871.7721000002</v>
      </c>
      <c r="S247" s="279">
        <v>731499.805323006</v>
      </c>
      <c r="T247" s="280">
        <v>1501792.2346304178</v>
      </c>
      <c r="U247" s="280">
        <v>136291.0740180003</v>
      </c>
      <c r="V247" s="279">
        <v>-9307</v>
      </c>
      <c r="W247" s="279">
        <v>-76000</v>
      </c>
      <c r="X247" s="279">
        <v>44199.411144175428</v>
      </c>
      <c r="Y247" s="354">
        <v>-915214.43462797627</v>
      </c>
      <c r="Z247" s="355">
        <v>-253.31149588374655</v>
      </c>
      <c r="AB247" s="366">
        <v>-208475.73142755136</v>
      </c>
      <c r="AC247" s="349">
        <v>-57.701558656947512</v>
      </c>
      <c r="AE247" s="374">
        <v>62.145820718124867</v>
      </c>
      <c r="AF247" s="350">
        <v>32.701558656947526</v>
      </c>
      <c r="AG247" s="350">
        <v>7.7015586569475261</v>
      </c>
      <c r="AH247" s="350">
        <v>0</v>
      </c>
      <c r="AI247" s="350">
        <v>0</v>
      </c>
      <c r="AJ247" s="408">
        <v>-1216</v>
      </c>
      <c r="AK247" s="387">
        <v>-23736</v>
      </c>
      <c r="AL247" s="287">
        <v>0</v>
      </c>
      <c r="AM247" s="287">
        <v>-1216</v>
      </c>
      <c r="AN247" s="287">
        <v>-7846</v>
      </c>
      <c r="AO247" s="287">
        <v>-15890</v>
      </c>
      <c r="AP247" s="287">
        <v>9973</v>
      </c>
      <c r="AQ247" s="287">
        <v>5520</v>
      </c>
      <c r="AR247" s="287">
        <v>4453</v>
      </c>
      <c r="AS247" s="287">
        <v>1129</v>
      </c>
      <c r="AT247" s="287">
        <v>398</v>
      </c>
      <c r="AU247" s="287">
        <v>731</v>
      </c>
      <c r="AV247" s="353">
        <f t="shared" si="51"/>
        <v>11838.969674699572</v>
      </c>
      <c r="AW247" s="353">
        <f t="shared" si="52"/>
        <v>9985.6605157965696</v>
      </c>
      <c r="AX247" s="353">
        <f t="shared" si="53"/>
        <v>1853.3091589030032</v>
      </c>
      <c r="AY247" s="390">
        <v>224533</v>
      </c>
      <c r="AZ247" s="390">
        <v>224533</v>
      </c>
      <c r="BA247" s="401">
        <f t="shared" si="54"/>
        <v>1364.8717721000003</v>
      </c>
      <c r="BB247" s="401">
        <v>-4487</v>
      </c>
      <c r="BC247" s="401">
        <v>585</v>
      </c>
      <c r="BD247" s="401">
        <v>0</v>
      </c>
      <c r="BE247" s="401">
        <v>-4581</v>
      </c>
      <c r="BG247" s="426">
        <f t="shared" si="55"/>
        <v>0.41147971544042716</v>
      </c>
      <c r="BH247" s="426">
        <f t="shared" si="56"/>
        <v>4.6598342636593737E-2</v>
      </c>
      <c r="BI247" s="426">
        <f t="shared" si="57"/>
        <v>5.6311239335693895E-2</v>
      </c>
      <c r="BJ247" s="426">
        <f t="shared" si="58"/>
        <v>0.48874627493700706</v>
      </c>
      <c r="BK247" s="426">
        <f t="shared" si="59"/>
        <v>-3.1355723497219329E-3</v>
      </c>
      <c r="BL247" s="425">
        <f t="shared" si="60"/>
        <v>24237999.166799575</v>
      </c>
      <c r="BN247" s="423">
        <f t="shared" si="61"/>
        <v>0.53480195521930185</v>
      </c>
      <c r="BO247" s="423">
        <f t="shared" si="62"/>
        <v>8.7847270427473007E-2</v>
      </c>
      <c r="BP247" s="423">
        <f t="shared" si="63"/>
        <v>0.16391017303080355</v>
      </c>
      <c r="BQ247" s="423">
        <f t="shared" si="64"/>
        <v>0.19560299512112364</v>
      </c>
      <c r="BR247" s="423">
        <f t="shared" si="65"/>
        <v>-9.126991564324307E-3</v>
      </c>
      <c r="BS247" s="423">
        <f t="shared" si="66"/>
        <v>2.6964597765622256E-2</v>
      </c>
      <c r="BT247" s="425">
        <f t="shared" si="67"/>
        <v>8326949.736326009</v>
      </c>
    </row>
    <row r="248" spans="1:72" x14ac:dyDescent="0.2">
      <c r="A248" s="309">
        <v>742</v>
      </c>
      <c r="B248" s="278" t="s">
        <v>163</v>
      </c>
      <c r="C248" s="278">
        <v>19</v>
      </c>
      <c r="D248" s="279">
        <v>1061</v>
      </c>
      <c r="E248" s="364">
        <v>8859000</v>
      </c>
      <c r="F248" s="279">
        <v>2945249</v>
      </c>
      <c r="G248" s="278">
        <v>805772.61499999999</v>
      </c>
      <c r="H248" s="279">
        <v>403699.01599999995</v>
      </c>
      <c r="I248" s="279">
        <v>4454745.6157948924</v>
      </c>
      <c r="J248" s="279">
        <v>-26200</v>
      </c>
      <c r="K248" s="279">
        <v>-43000</v>
      </c>
      <c r="L248" s="280">
        <v>-2132.6099999999997</v>
      </c>
      <c r="M248" s="369">
        <v>-316601.14320510754</v>
      </c>
      <c r="N248" s="370">
        <v>-298.39881546192981</v>
      </c>
      <c r="P248" s="365">
        <v>3211717.1837042915</v>
      </c>
      <c r="Q248" s="283">
        <v>1393048</v>
      </c>
      <c r="R248" s="279">
        <v>403699.01599999995</v>
      </c>
      <c r="S248" s="279">
        <v>521866.57497528015</v>
      </c>
      <c r="T248" s="280">
        <v>1391788.9419388729</v>
      </c>
      <c r="U248" s="280">
        <v>-407554.13606413384</v>
      </c>
      <c r="V248" s="279">
        <v>-26200</v>
      </c>
      <c r="W248" s="279">
        <v>-43000</v>
      </c>
      <c r="X248" s="279">
        <v>13756.172616141526</v>
      </c>
      <c r="Y248" s="354">
        <v>35687.385761868674</v>
      </c>
      <c r="Z248" s="355">
        <v>33.635613347661334</v>
      </c>
      <c r="AB248" s="366">
        <v>352288.52896697621</v>
      </c>
      <c r="AC248" s="349">
        <v>332.03442880959113</v>
      </c>
      <c r="AE248" s="374">
        <v>-327.59016674841382</v>
      </c>
      <c r="AF248" s="350">
        <v>-307.03442880959113</v>
      </c>
      <c r="AG248" s="350">
        <v>-282.03442880959113</v>
      </c>
      <c r="AH248" s="350">
        <v>-257.03442880959113</v>
      </c>
      <c r="AI248" s="350">
        <v>-232.03442880959113</v>
      </c>
      <c r="AJ248" s="408">
        <v>-186</v>
      </c>
      <c r="AK248" s="387">
        <v>-8673</v>
      </c>
      <c r="AL248" s="287">
        <v>-57</v>
      </c>
      <c r="AM248" s="287">
        <v>-129</v>
      </c>
      <c r="AN248" s="287">
        <v>-3083</v>
      </c>
      <c r="AO248" s="287">
        <v>-5590</v>
      </c>
      <c r="AP248" s="287">
        <v>2945</v>
      </c>
      <c r="AQ248" s="287">
        <v>1552</v>
      </c>
      <c r="AR248" s="287">
        <v>1393</v>
      </c>
      <c r="AS248" s="287">
        <v>806</v>
      </c>
      <c r="AT248" s="287">
        <v>284</v>
      </c>
      <c r="AU248" s="287">
        <v>522</v>
      </c>
      <c r="AV248" s="353">
        <f t="shared" si="51"/>
        <v>4426.4130057948923</v>
      </c>
      <c r="AW248" s="353">
        <f t="shared" si="52"/>
        <v>3815.9513668402205</v>
      </c>
      <c r="AX248" s="353">
        <f t="shared" si="53"/>
        <v>610.46163895467203</v>
      </c>
      <c r="AY248" s="390">
        <v>347573</v>
      </c>
      <c r="AZ248" s="390">
        <v>-347573</v>
      </c>
      <c r="BA248" s="401">
        <f t="shared" si="54"/>
        <v>403.69901599999997</v>
      </c>
      <c r="BB248" s="401">
        <v>-952</v>
      </c>
      <c r="BC248" s="401">
        <v>0</v>
      </c>
      <c r="BD248" s="401">
        <v>0</v>
      </c>
      <c r="BE248" s="401">
        <v>-1109</v>
      </c>
      <c r="BG248" s="426">
        <f t="shared" si="55"/>
        <v>0.34486618038463768</v>
      </c>
      <c r="BH248" s="426">
        <f t="shared" si="56"/>
        <v>9.4349823730893789E-2</v>
      </c>
      <c r="BI248" s="426">
        <f t="shared" si="57"/>
        <v>4.7270073828378077E-2</v>
      </c>
      <c r="BJ248" s="426">
        <f t="shared" si="58"/>
        <v>0.51854889388921543</v>
      </c>
      <c r="BK248" s="426">
        <f t="shared" si="59"/>
        <v>-5.0349718331249484E-3</v>
      </c>
      <c r="BL248" s="425">
        <f t="shared" si="60"/>
        <v>8540266.2467948925</v>
      </c>
      <c r="BN248" s="423">
        <f t="shared" si="61"/>
        <v>0.48267903260228279</v>
      </c>
      <c r="BO248" s="423">
        <f t="shared" si="62"/>
        <v>0.18082223552708512</v>
      </c>
      <c r="BP248" s="423">
        <f t="shared" si="63"/>
        <v>0.13987820269321188</v>
      </c>
      <c r="BQ248" s="423">
        <f t="shared" si="64"/>
        <v>0.33195073916974493</v>
      </c>
      <c r="BR248" s="423">
        <f t="shared" si="65"/>
        <v>-1.4899126521051794E-2</v>
      </c>
      <c r="BS248" s="423">
        <f t="shared" si="66"/>
        <v>-0.12043108347127286</v>
      </c>
      <c r="BT248" s="425">
        <f t="shared" si="67"/>
        <v>2886075.229929952</v>
      </c>
    </row>
    <row r="249" spans="1:72" x14ac:dyDescent="0.2">
      <c r="A249" s="309">
        <v>743</v>
      </c>
      <c r="B249" s="278" t="s">
        <v>164</v>
      </c>
      <c r="C249" s="278">
        <v>14</v>
      </c>
      <c r="D249" s="279">
        <v>61530</v>
      </c>
      <c r="E249" s="364">
        <v>347020000</v>
      </c>
      <c r="F249" s="279">
        <v>204838408</v>
      </c>
      <c r="G249" s="278">
        <v>12932696.25</v>
      </c>
      <c r="H249" s="279">
        <v>23943367.515000001</v>
      </c>
      <c r="I249" s="279">
        <v>96706049.394365683</v>
      </c>
      <c r="J249" s="279">
        <v>-2449019</v>
      </c>
      <c r="K249" s="279">
        <v>4421000</v>
      </c>
      <c r="L249" s="280">
        <v>-123675.29999999999</v>
      </c>
      <c r="M249" s="369">
        <v>-6503822.5406343462</v>
      </c>
      <c r="N249" s="370">
        <v>-105.70165026221918</v>
      </c>
      <c r="P249" s="365">
        <v>158035141.73903644</v>
      </c>
      <c r="Q249" s="283">
        <v>89564149</v>
      </c>
      <c r="R249" s="279">
        <v>23943367.515000001</v>
      </c>
      <c r="S249" s="279">
        <v>8375988.177735663</v>
      </c>
      <c r="T249" s="280">
        <v>31507748.413268745</v>
      </c>
      <c r="U249" s="280">
        <v>-3752565.406761446</v>
      </c>
      <c r="V249" s="279">
        <v>-2449019</v>
      </c>
      <c r="W249" s="279">
        <v>4421000</v>
      </c>
      <c r="X249" s="279">
        <v>768690.79809342942</v>
      </c>
      <c r="Y249" s="354">
        <v>-5655782.2417000234</v>
      </c>
      <c r="Z249" s="355">
        <v>-91.919100303917176</v>
      </c>
      <c r="AB249" s="366">
        <v>848040.29893432278</v>
      </c>
      <c r="AC249" s="349">
        <v>13.782549958302011</v>
      </c>
      <c r="AE249" s="374">
        <v>-9.3382878971246726</v>
      </c>
      <c r="AF249" s="350">
        <v>0</v>
      </c>
      <c r="AG249" s="350">
        <v>0</v>
      </c>
      <c r="AH249" s="350">
        <v>0</v>
      </c>
      <c r="AI249" s="350">
        <v>0</v>
      </c>
      <c r="AJ249" s="408">
        <v>-19453</v>
      </c>
      <c r="AK249" s="387">
        <v>-327567</v>
      </c>
      <c r="AL249" s="287">
        <v>-1558</v>
      </c>
      <c r="AM249" s="287">
        <v>-17895</v>
      </c>
      <c r="AN249" s="287">
        <v>-140140</v>
      </c>
      <c r="AO249" s="287">
        <v>-187427</v>
      </c>
      <c r="AP249" s="287">
        <v>204838</v>
      </c>
      <c r="AQ249" s="287">
        <v>115274</v>
      </c>
      <c r="AR249" s="287">
        <v>89564</v>
      </c>
      <c r="AS249" s="287">
        <v>12933</v>
      </c>
      <c r="AT249" s="287">
        <v>4557</v>
      </c>
      <c r="AU249" s="287">
        <v>8376</v>
      </c>
      <c r="AV249" s="353">
        <f t="shared" si="51"/>
        <v>94133.355094365688</v>
      </c>
      <c r="AW249" s="353">
        <f t="shared" si="52"/>
        <v>69401.77594216846</v>
      </c>
      <c r="AX249" s="353">
        <f t="shared" si="53"/>
        <v>24731.579152197221</v>
      </c>
      <c r="AY249" s="390">
        <v>574585</v>
      </c>
      <c r="AZ249" s="390">
        <v>-574585</v>
      </c>
      <c r="BA249" s="401">
        <f t="shared" si="54"/>
        <v>23943.367515000002</v>
      </c>
      <c r="BB249" s="401">
        <v>-31852</v>
      </c>
      <c r="BC249" s="401">
        <v>1391</v>
      </c>
      <c r="BD249" s="401">
        <v>5350</v>
      </c>
      <c r="BE249" s="401">
        <v>-7770</v>
      </c>
      <c r="BG249" s="426">
        <f t="shared" si="55"/>
        <v>0.60177121029563196</v>
      </c>
      <c r="BH249" s="426">
        <f t="shared" si="56"/>
        <v>3.7993481548383647E-2</v>
      </c>
      <c r="BI249" s="426">
        <f t="shared" si="57"/>
        <v>7.0340466852557598E-2</v>
      </c>
      <c r="BJ249" s="426">
        <f t="shared" si="58"/>
        <v>0.27690689364901533</v>
      </c>
      <c r="BK249" s="426">
        <f t="shared" si="59"/>
        <v>1.2987947654411516E-2</v>
      </c>
      <c r="BL249" s="425">
        <f t="shared" si="60"/>
        <v>340392502.15936565</v>
      </c>
      <c r="BN249" s="423">
        <f t="shared" si="61"/>
        <v>0.592998353240902</v>
      </c>
      <c r="BO249" s="423">
        <f t="shared" si="62"/>
        <v>5.5456868084153982E-2</v>
      </c>
      <c r="BP249" s="423">
        <f t="shared" si="63"/>
        <v>0.15852746512934218</v>
      </c>
      <c r="BQ249" s="423">
        <f t="shared" si="64"/>
        <v>0.16755045127155749</v>
      </c>
      <c r="BR249" s="423">
        <f t="shared" si="65"/>
        <v>2.9271150889604587E-2</v>
      </c>
      <c r="BS249" s="423">
        <f t="shared" si="66"/>
        <v>-3.8042886155602472E-3</v>
      </c>
      <c r="BT249" s="425">
        <f t="shared" si="67"/>
        <v>151036083.84493288</v>
      </c>
    </row>
    <row r="250" spans="1:72" x14ac:dyDescent="0.2">
      <c r="A250" s="309">
        <v>753</v>
      </c>
      <c r="B250" s="278" t="s">
        <v>304</v>
      </c>
      <c r="C250" s="278">
        <v>1</v>
      </c>
      <c r="D250" s="279">
        <v>19399</v>
      </c>
      <c r="E250" s="364">
        <v>105228000</v>
      </c>
      <c r="F250" s="279">
        <v>77162597</v>
      </c>
      <c r="G250" s="278">
        <v>3835465.2350000003</v>
      </c>
      <c r="H250" s="279">
        <v>8562625.1280000005</v>
      </c>
      <c r="I250" s="279">
        <v>15982051.586547721</v>
      </c>
      <c r="J250" s="279">
        <v>-1477821</v>
      </c>
      <c r="K250" s="279">
        <v>169000</v>
      </c>
      <c r="L250" s="280">
        <v>-38991.99</v>
      </c>
      <c r="M250" s="369">
        <v>-955090.06045227707</v>
      </c>
      <c r="N250" s="370">
        <v>-49.233984249305486</v>
      </c>
      <c r="P250" s="365">
        <v>52021754.286041193</v>
      </c>
      <c r="Q250" s="283">
        <v>28544070</v>
      </c>
      <c r="R250" s="279">
        <v>8562625.1280000005</v>
      </c>
      <c r="S250" s="279">
        <v>2484076.8578691501</v>
      </c>
      <c r="T250" s="280">
        <v>12408176.151260236</v>
      </c>
      <c r="U250" s="280">
        <v>351589.4003498471</v>
      </c>
      <c r="V250" s="279">
        <v>-1477821</v>
      </c>
      <c r="W250" s="279">
        <v>169000</v>
      </c>
      <c r="X250" s="279">
        <v>256821.79683285928</v>
      </c>
      <c r="Y250" s="354">
        <v>-723215.95172910392</v>
      </c>
      <c r="Z250" s="355">
        <v>-37.281094475442238</v>
      </c>
      <c r="AB250" s="366">
        <v>231874.10872317315</v>
      </c>
      <c r="AC250" s="349">
        <v>11.952889773863248</v>
      </c>
      <c r="AE250" s="374">
        <v>-7.5086277126859144</v>
      </c>
      <c r="AF250" s="350">
        <v>0</v>
      </c>
      <c r="AG250" s="350">
        <v>0</v>
      </c>
      <c r="AH250" s="350">
        <v>0</v>
      </c>
      <c r="AI250" s="350">
        <v>0</v>
      </c>
      <c r="AJ250" s="408">
        <v>-8300</v>
      </c>
      <c r="AK250" s="387">
        <v>-96928</v>
      </c>
      <c r="AL250" s="287">
        <v>-32</v>
      </c>
      <c r="AM250" s="287">
        <v>-8268</v>
      </c>
      <c r="AN250" s="287">
        <v>-43754</v>
      </c>
      <c r="AO250" s="287">
        <v>-53174</v>
      </c>
      <c r="AP250" s="287">
        <v>77163</v>
      </c>
      <c r="AQ250" s="287">
        <v>48619</v>
      </c>
      <c r="AR250" s="287">
        <v>28544</v>
      </c>
      <c r="AS250" s="287">
        <v>3835</v>
      </c>
      <c r="AT250" s="287">
        <v>1351</v>
      </c>
      <c r="AU250" s="287">
        <v>2484</v>
      </c>
      <c r="AV250" s="353">
        <f t="shared" si="51"/>
        <v>14465.238596547721</v>
      </c>
      <c r="AW250" s="353">
        <f t="shared" si="52"/>
        <v>3328.9539139360295</v>
      </c>
      <c r="AX250" s="353">
        <f t="shared" si="53"/>
        <v>11136.284682611691</v>
      </c>
      <c r="AY250" s="390">
        <v>145660</v>
      </c>
      <c r="AZ250" s="390">
        <v>-145660</v>
      </c>
      <c r="BA250" s="401">
        <f t="shared" si="54"/>
        <v>8562.6251280000015</v>
      </c>
      <c r="BB250" s="401">
        <v>-22066</v>
      </c>
      <c r="BC250" s="401">
        <v>0</v>
      </c>
      <c r="BD250" s="401">
        <v>6600</v>
      </c>
      <c r="BE250" s="401">
        <v>12111</v>
      </c>
      <c r="BG250" s="426">
        <f t="shared" si="55"/>
        <v>0.74028299538110964</v>
      </c>
      <c r="BH250" s="426">
        <f t="shared" si="56"/>
        <v>3.6796709846947113E-2</v>
      </c>
      <c r="BI250" s="426">
        <f t="shared" si="57"/>
        <v>8.2148165361533881E-2</v>
      </c>
      <c r="BJ250" s="426">
        <f t="shared" si="58"/>
        <v>0.1391507761760255</v>
      </c>
      <c r="BK250" s="426">
        <f t="shared" si="59"/>
        <v>1.6213532343838496E-3</v>
      </c>
      <c r="BL250" s="425">
        <f t="shared" si="60"/>
        <v>104233917.94954772</v>
      </c>
      <c r="BN250" s="423">
        <f t="shared" si="61"/>
        <v>0.56083067861084246</v>
      </c>
      <c r="BO250" s="423">
        <f t="shared" si="62"/>
        <v>4.8806862858738947E-2</v>
      </c>
      <c r="BP250" s="423">
        <f t="shared" si="63"/>
        <v>0.16823749595718102</v>
      </c>
      <c r="BQ250" s="423">
        <f t="shared" si="64"/>
        <v>0.2216663783030724</v>
      </c>
      <c r="BR250" s="423">
        <f t="shared" si="65"/>
        <v>3.3204930020572531E-3</v>
      </c>
      <c r="BS250" s="423">
        <f t="shared" si="66"/>
        <v>-2.8619087318919744E-3</v>
      </c>
      <c r="BT250" s="425">
        <f t="shared" si="67"/>
        <v>50896056.668480836</v>
      </c>
    </row>
    <row r="251" spans="1:72" x14ac:dyDescent="0.2">
      <c r="A251" s="309">
        <v>746</v>
      </c>
      <c r="B251" s="278" t="s">
        <v>165</v>
      </c>
      <c r="C251" s="278">
        <v>17</v>
      </c>
      <c r="D251" s="279">
        <v>5124</v>
      </c>
      <c r="E251" s="364">
        <v>34083000</v>
      </c>
      <c r="F251" s="279">
        <v>12191329</v>
      </c>
      <c r="G251" s="278">
        <v>1859921.7250000001</v>
      </c>
      <c r="H251" s="279">
        <v>1057715.0697999999</v>
      </c>
      <c r="I251" s="279">
        <v>18848159.848400664</v>
      </c>
      <c r="J251" s="279">
        <v>198838</v>
      </c>
      <c r="K251" s="279">
        <v>-135000</v>
      </c>
      <c r="L251" s="280">
        <v>-10299.24</v>
      </c>
      <c r="M251" s="369">
        <v>-51737.11679933429</v>
      </c>
      <c r="N251" s="370">
        <v>-10.097017330080853</v>
      </c>
      <c r="P251" s="365">
        <v>14362244.439322032</v>
      </c>
      <c r="Q251" s="283">
        <v>5735698</v>
      </c>
      <c r="R251" s="279">
        <v>1057715.0697999999</v>
      </c>
      <c r="S251" s="279">
        <v>1204596.6346819382</v>
      </c>
      <c r="T251" s="280">
        <v>8374424.7875137823</v>
      </c>
      <c r="U251" s="280">
        <v>-878143.54320179694</v>
      </c>
      <c r="V251" s="279">
        <v>198838</v>
      </c>
      <c r="W251" s="279">
        <v>-135000</v>
      </c>
      <c r="X251" s="279">
        <v>60451.223410723607</v>
      </c>
      <c r="Y251" s="354">
        <v>1256335.7328826152</v>
      </c>
      <c r="Z251" s="355">
        <v>245.18652085921451</v>
      </c>
      <c r="AB251" s="366">
        <v>1308072.8496819495</v>
      </c>
      <c r="AC251" s="349">
        <v>255.28353818929537</v>
      </c>
      <c r="AE251" s="374">
        <v>-250.83927612811948</v>
      </c>
      <c r="AF251" s="350">
        <v>-230.28353818929682</v>
      </c>
      <c r="AG251" s="350">
        <v>-205.28353818929682</v>
      </c>
      <c r="AH251" s="350">
        <v>-180.28353818929682</v>
      </c>
      <c r="AI251" s="350">
        <v>-155.28353818929682</v>
      </c>
      <c r="AJ251" s="408">
        <v>-721</v>
      </c>
      <c r="AK251" s="387">
        <v>-33362</v>
      </c>
      <c r="AL251" s="287">
        <v>0</v>
      </c>
      <c r="AM251" s="287">
        <v>-721</v>
      </c>
      <c r="AN251" s="287">
        <v>-13641</v>
      </c>
      <c r="AO251" s="287">
        <v>-19721</v>
      </c>
      <c r="AP251" s="287">
        <v>12191</v>
      </c>
      <c r="AQ251" s="287">
        <v>6455</v>
      </c>
      <c r="AR251" s="287">
        <v>5736</v>
      </c>
      <c r="AS251" s="287">
        <v>1860</v>
      </c>
      <c r="AT251" s="287">
        <v>655</v>
      </c>
      <c r="AU251" s="287">
        <v>1205</v>
      </c>
      <c r="AV251" s="353">
        <f t="shared" si="51"/>
        <v>19036.698608400664</v>
      </c>
      <c r="AW251" s="353">
        <f t="shared" si="52"/>
        <v>12626.879814969161</v>
      </c>
      <c r="AX251" s="353">
        <f t="shared" si="53"/>
        <v>6409.8187934315019</v>
      </c>
      <c r="AY251" s="390">
        <v>1285300</v>
      </c>
      <c r="AZ251" s="390">
        <v>-1285300</v>
      </c>
      <c r="BA251" s="401">
        <f t="shared" si="54"/>
        <v>1057.7150698</v>
      </c>
      <c r="BB251" s="401">
        <v>-2039</v>
      </c>
      <c r="BC251" s="401">
        <v>108</v>
      </c>
      <c r="BD251" s="401">
        <v>0</v>
      </c>
      <c r="BE251" s="401">
        <v>-1200</v>
      </c>
      <c r="BG251" s="426">
        <f t="shared" si="55"/>
        <v>0.35834755087651743</v>
      </c>
      <c r="BH251" s="426">
        <f t="shared" si="56"/>
        <v>5.466987192091835E-2</v>
      </c>
      <c r="BI251" s="426">
        <f t="shared" si="57"/>
        <v>3.1090097296858667E-2</v>
      </c>
      <c r="BJ251" s="426">
        <f t="shared" si="58"/>
        <v>0.55986062147323512</v>
      </c>
      <c r="BK251" s="426">
        <f t="shared" si="59"/>
        <v>-3.9681415675296644E-3</v>
      </c>
      <c r="BL251" s="425">
        <f t="shared" si="60"/>
        <v>34020963.643200666</v>
      </c>
      <c r="BN251" s="423">
        <f t="shared" si="61"/>
        <v>0.40186134099758208</v>
      </c>
      <c r="BO251" s="423">
        <f t="shared" si="62"/>
        <v>8.4397891760420132E-2</v>
      </c>
      <c r="BP251" s="423">
        <f t="shared" si="63"/>
        <v>7.4106899690879663E-2</v>
      </c>
      <c r="BQ251" s="423">
        <f t="shared" si="64"/>
        <v>0.5391446583581484</v>
      </c>
      <c r="BR251" s="423">
        <f t="shared" si="65"/>
        <v>-9.4585316442172482E-3</v>
      </c>
      <c r="BS251" s="423">
        <f t="shared" si="66"/>
        <v>-9.0052259162813009E-2</v>
      </c>
      <c r="BT251" s="425">
        <f t="shared" si="67"/>
        <v>14272828.497913439</v>
      </c>
    </row>
    <row r="252" spans="1:72" x14ac:dyDescent="0.2">
      <c r="A252" s="309">
        <v>747</v>
      </c>
      <c r="B252" s="278" t="s">
        <v>166</v>
      </c>
      <c r="C252" s="278">
        <v>4</v>
      </c>
      <c r="D252" s="279">
        <v>1527</v>
      </c>
      <c r="E252" s="364">
        <v>10079000</v>
      </c>
      <c r="F252" s="279">
        <v>3417551</v>
      </c>
      <c r="G252" s="278">
        <v>499310.18000000005</v>
      </c>
      <c r="H252" s="279">
        <v>561650.7892</v>
      </c>
      <c r="I252" s="279">
        <v>5373950.8156727068</v>
      </c>
      <c r="J252" s="279">
        <v>-242055</v>
      </c>
      <c r="K252" s="279">
        <v>-31000</v>
      </c>
      <c r="L252" s="280">
        <v>-3069.2699999999995</v>
      </c>
      <c r="M252" s="369">
        <v>-496522.945127293</v>
      </c>
      <c r="N252" s="370">
        <v>-325.16237401918335</v>
      </c>
      <c r="P252" s="365">
        <v>3565705.7424242422</v>
      </c>
      <c r="Q252" s="283">
        <v>1549128</v>
      </c>
      <c r="R252" s="279">
        <v>561650.7892</v>
      </c>
      <c r="S252" s="279">
        <v>323383.15876730392</v>
      </c>
      <c r="T252" s="280">
        <v>1245383.0552208817</v>
      </c>
      <c r="U252" s="280">
        <v>-257046.00856887028</v>
      </c>
      <c r="V252" s="279">
        <v>-242055</v>
      </c>
      <c r="W252" s="279">
        <v>-31000</v>
      </c>
      <c r="X252" s="279">
        <v>18378.153040180117</v>
      </c>
      <c r="Y252" s="354">
        <v>-397883.59476474719</v>
      </c>
      <c r="Z252" s="355">
        <v>-260.56554994416973</v>
      </c>
      <c r="AB252" s="366">
        <v>98639.350362545811</v>
      </c>
      <c r="AC252" s="349">
        <v>64.596824075013629</v>
      </c>
      <c r="AE252" s="374">
        <v>-60.152562013836302</v>
      </c>
      <c r="AF252" s="350">
        <v>-39.596824075013615</v>
      </c>
      <c r="AG252" s="350">
        <v>-14.596824075013615</v>
      </c>
      <c r="AH252" s="350">
        <v>0</v>
      </c>
      <c r="AI252" s="350">
        <v>0</v>
      </c>
      <c r="AJ252" s="408">
        <v>-570</v>
      </c>
      <c r="AK252" s="387">
        <v>-9509</v>
      </c>
      <c r="AL252" s="287">
        <v>0</v>
      </c>
      <c r="AM252" s="287">
        <v>-570</v>
      </c>
      <c r="AN252" s="287">
        <v>-2996</v>
      </c>
      <c r="AO252" s="287">
        <v>-6513</v>
      </c>
      <c r="AP252" s="287">
        <v>3418</v>
      </c>
      <c r="AQ252" s="287">
        <v>1869</v>
      </c>
      <c r="AR252" s="287">
        <v>1549</v>
      </c>
      <c r="AS252" s="287">
        <v>499</v>
      </c>
      <c r="AT252" s="287">
        <v>176</v>
      </c>
      <c r="AU252" s="287">
        <v>323</v>
      </c>
      <c r="AV252" s="353">
        <f t="shared" si="51"/>
        <v>5128.8265456727077</v>
      </c>
      <c r="AW252" s="353">
        <f t="shared" si="52"/>
        <v>4474.3974612158245</v>
      </c>
      <c r="AX252" s="353">
        <f t="shared" si="53"/>
        <v>654.4290844568834</v>
      </c>
      <c r="AY252" s="390">
        <v>91853</v>
      </c>
      <c r="AZ252" s="390">
        <v>-91853</v>
      </c>
      <c r="BA252" s="401">
        <f t="shared" si="54"/>
        <v>561.65078919999996</v>
      </c>
      <c r="BB252" s="401">
        <v>-404</v>
      </c>
      <c r="BC252" s="401">
        <v>0</v>
      </c>
      <c r="BD252" s="401">
        <v>50</v>
      </c>
      <c r="BE252" s="401">
        <v>-232</v>
      </c>
      <c r="BG252" s="426">
        <f t="shared" si="55"/>
        <v>0.35676015435910508</v>
      </c>
      <c r="BH252" s="426">
        <f t="shared" si="56"/>
        <v>5.2123282692744764E-2</v>
      </c>
      <c r="BI252" s="426">
        <f t="shared" si="57"/>
        <v>5.8631055469517558E-2</v>
      </c>
      <c r="BJ252" s="426">
        <f t="shared" si="58"/>
        <v>0.53572161566988774</v>
      </c>
      <c r="BK252" s="426">
        <f t="shared" si="59"/>
        <v>-3.2361081912551585E-3</v>
      </c>
      <c r="BL252" s="425">
        <f t="shared" si="60"/>
        <v>9579407.784872707</v>
      </c>
      <c r="BN252" s="423">
        <f t="shared" si="61"/>
        <v>0.50664983759184634</v>
      </c>
      <c r="BO252" s="423">
        <f t="shared" si="62"/>
        <v>0.10576403297170588</v>
      </c>
      <c r="BP252" s="423">
        <f t="shared" si="63"/>
        <v>0.18369061893627403</v>
      </c>
      <c r="BQ252" s="423">
        <f t="shared" si="64"/>
        <v>0.2440751685683509</v>
      </c>
      <c r="BR252" s="423">
        <f t="shared" si="65"/>
        <v>-1.0138700588555134E-2</v>
      </c>
      <c r="BS252" s="423">
        <f t="shared" si="66"/>
        <v>-3.0040957479621835E-2</v>
      </c>
      <c r="BT252" s="425">
        <f t="shared" si="67"/>
        <v>3057591.0324241868</v>
      </c>
    </row>
    <row r="253" spans="1:72" x14ac:dyDescent="0.2">
      <c r="A253" s="309">
        <v>748</v>
      </c>
      <c r="B253" s="278" t="s">
        <v>167</v>
      </c>
      <c r="C253" s="278">
        <v>17</v>
      </c>
      <c r="D253" s="279">
        <v>5466</v>
      </c>
      <c r="E253" s="364">
        <v>35318000</v>
      </c>
      <c r="F253" s="279">
        <v>14986495</v>
      </c>
      <c r="G253" s="278">
        <v>728684.60499999998</v>
      </c>
      <c r="H253" s="279">
        <v>1177731.02</v>
      </c>
      <c r="I253" s="279">
        <v>18061571.954654254</v>
      </c>
      <c r="J253" s="279">
        <v>174567</v>
      </c>
      <c r="K253" s="279">
        <v>151000</v>
      </c>
      <c r="L253" s="280">
        <v>-242401.33928174505</v>
      </c>
      <c r="M253" s="369">
        <v>204450.91893599907</v>
      </c>
      <c r="N253" s="370">
        <v>37.404119819977879</v>
      </c>
      <c r="P253" s="365">
        <v>16012558.690077823</v>
      </c>
      <c r="Q253" s="283">
        <v>7084898</v>
      </c>
      <c r="R253" s="279">
        <v>1177731.02</v>
      </c>
      <c r="S253" s="279">
        <v>471939.76559822017</v>
      </c>
      <c r="T253" s="280">
        <v>8022606.6597500723</v>
      </c>
      <c r="U253" s="280">
        <v>-216057.69846581671</v>
      </c>
      <c r="V253" s="279">
        <v>174567</v>
      </c>
      <c r="W253" s="279">
        <v>151000</v>
      </c>
      <c r="X253" s="279">
        <v>65281.101458303077</v>
      </c>
      <c r="Y253" s="354">
        <v>919407.15826295689</v>
      </c>
      <c r="Z253" s="355">
        <v>168.20474904188745</v>
      </c>
      <c r="AB253" s="366">
        <v>714956.23932695785</v>
      </c>
      <c r="AC253" s="349">
        <v>130.80062922190959</v>
      </c>
      <c r="AE253" s="374">
        <v>-126.35636716073225</v>
      </c>
      <c r="AF253" s="350">
        <v>-105.80062922190956</v>
      </c>
      <c r="AG253" s="350">
        <v>-80.80062922190956</v>
      </c>
      <c r="AH253" s="350">
        <v>-55.80062922190956</v>
      </c>
      <c r="AI253" s="350">
        <v>-30.80062922190956</v>
      </c>
      <c r="AJ253" s="408">
        <v>-1322</v>
      </c>
      <c r="AK253" s="387">
        <v>-33996</v>
      </c>
      <c r="AL253" s="287">
        <v>0</v>
      </c>
      <c r="AM253" s="287">
        <v>-1322</v>
      </c>
      <c r="AN253" s="287">
        <v>-14691</v>
      </c>
      <c r="AO253" s="287">
        <v>-19305</v>
      </c>
      <c r="AP253" s="287">
        <v>14986</v>
      </c>
      <c r="AQ253" s="287">
        <v>7901</v>
      </c>
      <c r="AR253" s="287">
        <v>7085</v>
      </c>
      <c r="AS253" s="287">
        <v>729</v>
      </c>
      <c r="AT253" s="287">
        <v>257</v>
      </c>
      <c r="AU253" s="287">
        <v>472</v>
      </c>
      <c r="AV253" s="353">
        <f t="shared" si="51"/>
        <v>17993.737615372509</v>
      </c>
      <c r="AW253" s="353">
        <f t="shared" si="52"/>
        <v>10703.285556988816</v>
      </c>
      <c r="AX253" s="353">
        <f t="shared" si="53"/>
        <v>7290.4520583836929</v>
      </c>
      <c r="AY253" s="390">
        <v>690664</v>
      </c>
      <c r="AZ253" s="390">
        <v>-690664</v>
      </c>
      <c r="BA253" s="401">
        <f t="shared" si="54"/>
        <v>1177.7310199999999</v>
      </c>
      <c r="BB253" s="401">
        <v>-1181</v>
      </c>
      <c r="BC253" s="401">
        <v>10</v>
      </c>
      <c r="BD253" s="401">
        <v>0</v>
      </c>
      <c r="BE253" s="401">
        <v>-226</v>
      </c>
      <c r="BG253" s="426">
        <f t="shared" si="55"/>
        <v>0.42478667628184408</v>
      </c>
      <c r="BH253" s="426">
        <f t="shared" si="56"/>
        <v>2.0654296512673469E-2</v>
      </c>
      <c r="BI253" s="426">
        <f t="shared" si="57"/>
        <v>3.338235161322417E-2</v>
      </c>
      <c r="BJ253" s="426">
        <f t="shared" si="58"/>
        <v>0.516896636255605</v>
      </c>
      <c r="BK253" s="426">
        <f t="shared" si="59"/>
        <v>4.2800393366533305E-3</v>
      </c>
      <c r="BL253" s="425">
        <f t="shared" si="60"/>
        <v>35280049.579654254</v>
      </c>
      <c r="BN253" s="423">
        <f t="shared" si="61"/>
        <v>0.43798768982396852</v>
      </c>
      <c r="BO253" s="423">
        <f t="shared" si="62"/>
        <v>2.9175269378674141E-2</v>
      </c>
      <c r="BP253" s="423">
        <f t="shared" si="63"/>
        <v>7.2807214540537638E-2</v>
      </c>
      <c r="BQ253" s="423">
        <f t="shared" si="64"/>
        <v>0.49339179506890468</v>
      </c>
      <c r="BR253" s="423">
        <f t="shared" si="65"/>
        <v>9.3348049842664274E-3</v>
      </c>
      <c r="BS253" s="423">
        <f t="shared" si="66"/>
        <v>-4.2696773796351492E-2</v>
      </c>
      <c r="BT253" s="425">
        <f t="shared" si="67"/>
        <v>16176020.843981914</v>
      </c>
    </row>
    <row r="254" spans="1:72" x14ac:dyDescent="0.2">
      <c r="A254" s="309">
        <v>791</v>
      </c>
      <c r="B254" s="278" t="s">
        <v>182</v>
      </c>
      <c r="C254" s="278">
        <v>17</v>
      </c>
      <c r="D254" s="279">
        <v>5677</v>
      </c>
      <c r="E254" s="364">
        <v>40126000</v>
      </c>
      <c r="F254" s="279">
        <v>14380861</v>
      </c>
      <c r="G254" s="278">
        <v>1052056.3</v>
      </c>
      <c r="H254" s="279">
        <v>1363531.8165</v>
      </c>
      <c r="I254" s="279">
        <v>23374785.319828231</v>
      </c>
      <c r="J254" s="279">
        <v>-555537</v>
      </c>
      <c r="K254" s="279">
        <v>17000</v>
      </c>
      <c r="L254" s="280">
        <v>-11410.769999999999</v>
      </c>
      <c r="M254" s="369">
        <v>-481891.79367176769</v>
      </c>
      <c r="N254" s="370">
        <v>-84.884938113751573</v>
      </c>
      <c r="P254" s="365">
        <v>13757957.778263472</v>
      </c>
      <c r="Q254" s="283">
        <v>6941235</v>
      </c>
      <c r="R254" s="279">
        <v>1363531.8165</v>
      </c>
      <c r="S254" s="279">
        <v>681374.63068556366</v>
      </c>
      <c r="T254" s="280">
        <v>7060749.1721127061</v>
      </c>
      <c r="U254" s="280">
        <v>-743127.65121733304</v>
      </c>
      <c r="V254" s="279">
        <v>-555537</v>
      </c>
      <c r="W254" s="279">
        <v>17000</v>
      </c>
      <c r="X254" s="279">
        <v>67427.217745424292</v>
      </c>
      <c r="Y254" s="354">
        <v>1074695.4075628873</v>
      </c>
      <c r="Z254" s="355">
        <v>189.3069240026224</v>
      </c>
      <c r="AB254" s="366">
        <v>1556587.201234655</v>
      </c>
      <c r="AC254" s="349">
        <v>274.19186211637395</v>
      </c>
      <c r="AE254" s="374">
        <v>-269.74760005519664</v>
      </c>
      <c r="AF254" s="350">
        <v>-249.19186211637395</v>
      </c>
      <c r="AG254" s="350">
        <v>-224.19186211637395</v>
      </c>
      <c r="AH254" s="350">
        <v>-199.19186211637395</v>
      </c>
      <c r="AI254" s="350">
        <v>-174.19186211637395</v>
      </c>
      <c r="AJ254" s="408">
        <v>0</v>
      </c>
      <c r="AK254" s="387">
        <v>-40126</v>
      </c>
      <c r="AL254" s="287">
        <v>0</v>
      </c>
      <c r="AM254" s="287">
        <v>0</v>
      </c>
      <c r="AN254" s="287">
        <v>-13758</v>
      </c>
      <c r="AO254" s="287">
        <v>-26368</v>
      </c>
      <c r="AP254" s="287">
        <v>14381</v>
      </c>
      <c r="AQ254" s="287">
        <v>7440</v>
      </c>
      <c r="AR254" s="287">
        <v>6941</v>
      </c>
      <c r="AS254" s="287">
        <v>1052</v>
      </c>
      <c r="AT254" s="287">
        <v>371</v>
      </c>
      <c r="AU254" s="287">
        <v>681</v>
      </c>
      <c r="AV254" s="353">
        <f t="shared" si="51"/>
        <v>22807.837549828233</v>
      </c>
      <c r="AW254" s="353">
        <f t="shared" si="52"/>
        <v>18577.110154446211</v>
      </c>
      <c r="AX254" s="353">
        <f t="shared" si="53"/>
        <v>4230.7273953820213</v>
      </c>
      <c r="AY254" s="390">
        <v>1531357</v>
      </c>
      <c r="AZ254" s="390">
        <v>-1531357</v>
      </c>
      <c r="BA254" s="401">
        <f t="shared" si="54"/>
        <v>1363.5318164999999</v>
      </c>
      <c r="BB254" s="401">
        <v>0</v>
      </c>
      <c r="BC254" s="401">
        <v>0</v>
      </c>
      <c r="BD254" s="401">
        <v>0</v>
      </c>
      <c r="BE254" s="401">
        <v>0</v>
      </c>
      <c r="BG254" s="426">
        <f t="shared" si="55"/>
        <v>0.36285345006111486</v>
      </c>
      <c r="BH254" s="426">
        <f t="shared" si="56"/>
        <v>2.6545160134259782E-2</v>
      </c>
      <c r="BI254" s="426">
        <f t="shared" si="57"/>
        <v>3.4404214315479714E-2</v>
      </c>
      <c r="BJ254" s="426">
        <f t="shared" si="58"/>
        <v>0.57576823673151223</v>
      </c>
      <c r="BK254" s="426">
        <f t="shared" si="59"/>
        <v>4.2893875763342347E-4</v>
      </c>
      <c r="BL254" s="425">
        <f t="shared" si="60"/>
        <v>39632697.436328232</v>
      </c>
      <c r="BN254" s="423">
        <f t="shared" si="61"/>
        <v>0.52450534931048087</v>
      </c>
      <c r="BO254" s="423">
        <f t="shared" si="62"/>
        <v>5.1487183286408181E-2</v>
      </c>
      <c r="BP254" s="423">
        <f t="shared" si="63"/>
        <v>0.10303349932818684</v>
      </c>
      <c r="BQ254" s="423">
        <f t="shared" si="64"/>
        <v>0.43540438472242227</v>
      </c>
      <c r="BR254" s="423">
        <f t="shared" si="65"/>
        <v>1.2845827778886862E-3</v>
      </c>
      <c r="BS254" s="423">
        <f t="shared" si="66"/>
        <v>-0.11571499942538672</v>
      </c>
      <c r="BT254" s="425">
        <f t="shared" si="67"/>
        <v>13233868.842567584</v>
      </c>
    </row>
    <row r="255" spans="1:72" x14ac:dyDescent="0.2">
      <c r="A255" s="309">
        <v>749</v>
      </c>
      <c r="B255" s="278" t="s">
        <v>168</v>
      </c>
      <c r="C255" s="278">
        <v>11</v>
      </c>
      <c r="D255" s="279">
        <v>21794</v>
      </c>
      <c r="E255" s="364">
        <v>117775000</v>
      </c>
      <c r="F255" s="279">
        <v>75253004</v>
      </c>
      <c r="G255" s="278">
        <v>3942123.2150000003</v>
      </c>
      <c r="H255" s="279">
        <v>5397225.5844999999</v>
      </c>
      <c r="I255" s="279">
        <v>33873953.170929782</v>
      </c>
      <c r="J255" s="279">
        <v>-2126366</v>
      </c>
      <c r="K255" s="279">
        <v>-153000</v>
      </c>
      <c r="L255" s="280">
        <v>-43805.939999999995</v>
      </c>
      <c r="M255" s="369">
        <v>-1544254.089570222</v>
      </c>
      <c r="N255" s="370">
        <v>-70.856845442333764</v>
      </c>
      <c r="P255" s="365">
        <v>49101587.841195136</v>
      </c>
      <c r="Q255" s="283">
        <v>33353133</v>
      </c>
      <c r="R255" s="279">
        <v>5397225.5844999999</v>
      </c>
      <c r="S255" s="279">
        <v>2553154.9497280819</v>
      </c>
      <c r="T255" s="280">
        <v>15917851.767978888</v>
      </c>
      <c r="U255" s="280">
        <v>-3972266.6949596368</v>
      </c>
      <c r="V255" s="279">
        <v>-2126366</v>
      </c>
      <c r="W255" s="279">
        <v>-153000</v>
      </c>
      <c r="X255" s="279">
        <v>275571.68169942318</v>
      </c>
      <c r="Y255" s="354">
        <v>2143716.4477516115</v>
      </c>
      <c r="Z255" s="355">
        <v>98.362689169111292</v>
      </c>
      <c r="AB255" s="366">
        <v>3687970.5373218334</v>
      </c>
      <c r="AC255" s="349">
        <v>169.21953461144506</v>
      </c>
      <c r="AE255" s="374">
        <v>-164.77527255026706</v>
      </c>
      <c r="AF255" s="350">
        <v>-144.21953461144437</v>
      </c>
      <c r="AG255" s="350">
        <v>-119.21953461144437</v>
      </c>
      <c r="AH255" s="350">
        <v>-94.219534611444374</v>
      </c>
      <c r="AI255" s="350">
        <v>-69.219534611444374</v>
      </c>
      <c r="AJ255" s="408">
        <v>-6098</v>
      </c>
      <c r="AK255" s="387">
        <v>-111677</v>
      </c>
      <c r="AL255" s="287">
        <v>-223</v>
      </c>
      <c r="AM255" s="287">
        <v>-5875</v>
      </c>
      <c r="AN255" s="287">
        <v>-43227</v>
      </c>
      <c r="AO255" s="287">
        <v>-68450</v>
      </c>
      <c r="AP255" s="287">
        <v>75253</v>
      </c>
      <c r="AQ255" s="287">
        <v>41900</v>
      </c>
      <c r="AR255" s="287">
        <v>33353</v>
      </c>
      <c r="AS255" s="287">
        <v>3942</v>
      </c>
      <c r="AT255" s="287">
        <v>1389</v>
      </c>
      <c r="AU255" s="287">
        <v>2553</v>
      </c>
      <c r="AV255" s="353">
        <f t="shared" si="51"/>
        <v>31703.781230929781</v>
      </c>
      <c r="AW255" s="353">
        <f t="shared" si="52"/>
        <v>25475.67444787105</v>
      </c>
      <c r="AX255" s="353">
        <f t="shared" si="53"/>
        <v>6228.1067830587308</v>
      </c>
      <c r="AY255" s="390">
        <v>3591112</v>
      </c>
      <c r="AZ255" s="390">
        <v>-3591112</v>
      </c>
      <c r="BA255" s="401">
        <f t="shared" si="54"/>
        <v>5397.2255845</v>
      </c>
      <c r="BB255" s="401">
        <v>-11007</v>
      </c>
      <c r="BC255" s="401">
        <v>500</v>
      </c>
      <c r="BD255" s="401">
        <v>0</v>
      </c>
      <c r="BE255" s="401">
        <v>-6537</v>
      </c>
      <c r="BG255" s="426">
        <f t="shared" si="55"/>
        <v>0.64768900892950887</v>
      </c>
      <c r="BH255" s="426">
        <f t="shared" si="56"/>
        <v>3.3929142259907119E-2</v>
      </c>
      <c r="BI255" s="426">
        <f t="shared" si="57"/>
        <v>4.6452945450440673E-2</v>
      </c>
      <c r="BJ255" s="426">
        <f t="shared" si="58"/>
        <v>0.27324574671653906</v>
      </c>
      <c r="BK255" s="426">
        <f t="shared" si="59"/>
        <v>-1.3168433563956444E-3</v>
      </c>
      <c r="BL255" s="425">
        <f t="shared" si="60"/>
        <v>116186939.97042978</v>
      </c>
      <c r="BN255" s="423">
        <f t="shared" si="61"/>
        <v>0.70397011936269083</v>
      </c>
      <c r="BO255" s="423">
        <f t="shared" si="62"/>
        <v>5.3888334709411637E-2</v>
      </c>
      <c r="BP255" s="423">
        <f t="shared" si="63"/>
        <v>0.11391690066860687</v>
      </c>
      <c r="BQ255" s="423">
        <f t="shared" si="64"/>
        <v>0.20725000025879944</v>
      </c>
      <c r="BR255" s="423">
        <f t="shared" si="65"/>
        <v>-3.2293046731919216E-3</v>
      </c>
      <c r="BS255" s="423">
        <f t="shared" si="66"/>
        <v>-7.5796050326316672E-2</v>
      </c>
      <c r="BT255" s="425">
        <f t="shared" si="67"/>
        <v>47378620.317286804</v>
      </c>
    </row>
    <row r="256" spans="1:72" x14ac:dyDescent="0.2">
      <c r="A256" s="309">
        <v>751</v>
      </c>
      <c r="B256" s="278" t="s">
        <v>169</v>
      </c>
      <c r="C256" s="278">
        <v>19</v>
      </c>
      <c r="D256" s="279">
        <v>3238</v>
      </c>
      <c r="E256" s="364">
        <v>20628000</v>
      </c>
      <c r="F256" s="279">
        <v>10924099</v>
      </c>
      <c r="G256" s="278">
        <v>296170.27999999997</v>
      </c>
      <c r="H256" s="279">
        <v>899397.03200000001</v>
      </c>
      <c r="I256" s="279">
        <v>8771184.8157737665</v>
      </c>
      <c r="J256" s="279">
        <v>-75592</v>
      </c>
      <c r="K256" s="279">
        <v>-123000</v>
      </c>
      <c r="L256" s="280">
        <v>229205.43140056441</v>
      </c>
      <c r="M256" s="369">
        <v>-164946.30362679894</v>
      </c>
      <c r="N256" s="370">
        <v>-50.94079790821462</v>
      </c>
      <c r="P256" s="365">
        <v>8046747.1944347154</v>
      </c>
      <c r="Q256" s="283">
        <v>5109323</v>
      </c>
      <c r="R256" s="279">
        <v>899397.03200000001</v>
      </c>
      <c r="S256" s="279">
        <v>191817.60059327618</v>
      </c>
      <c r="T256" s="280">
        <v>3425975.3638889077</v>
      </c>
      <c r="U256" s="280">
        <v>-660564.39785658533</v>
      </c>
      <c r="V256" s="279">
        <v>-75592</v>
      </c>
      <c r="W256" s="279">
        <v>-123000</v>
      </c>
      <c r="X256" s="279">
        <v>40342.541386093006</v>
      </c>
      <c r="Y256" s="354">
        <v>760951.94557697512</v>
      </c>
      <c r="Z256" s="355">
        <v>235.00677750987495</v>
      </c>
      <c r="AB256" s="366">
        <v>925898.24920377403</v>
      </c>
      <c r="AC256" s="349">
        <v>285.94757541808957</v>
      </c>
      <c r="AE256" s="374">
        <v>-281.50331335691226</v>
      </c>
      <c r="AF256" s="350">
        <v>-260.94757541808957</v>
      </c>
      <c r="AG256" s="350">
        <v>-235.94757541808957</v>
      </c>
      <c r="AH256" s="350">
        <v>-210.94757541808957</v>
      </c>
      <c r="AI256" s="350">
        <v>-185.94757541808957</v>
      </c>
      <c r="AJ256" s="408">
        <v>-770</v>
      </c>
      <c r="AK256" s="387">
        <v>-19858</v>
      </c>
      <c r="AL256" s="287">
        <v>-14</v>
      </c>
      <c r="AM256" s="287">
        <v>-756</v>
      </c>
      <c r="AN256" s="287">
        <v>-7291</v>
      </c>
      <c r="AO256" s="287">
        <v>-12567</v>
      </c>
      <c r="AP256" s="287">
        <v>10924</v>
      </c>
      <c r="AQ256" s="287">
        <v>5815</v>
      </c>
      <c r="AR256" s="287">
        <v>5109</v>
      </c>
      <c r="AS256" s="287">
        <v>296</v>
      </c>
      <c r="AT256" s="287">
        <v>104</v>
      </c>
      <c r="AU256" s="287">
        <v>192</v>
      </c>
      <c r="AV256" s="353">
        <f t="shared" si="51"/>
        <v>8924.7982471743308</v>
      </c>
      <c r="AW256" s="353">
        <f t="shared" si="52"/>
        <v>7146.4870097916901</v>
      </c>
      <c r="AX256" s="353">
        <f t="shared" si="53"/>
        <v>1778.3112373826407</v>
      </c>
      <c r="AY256" s="390">
        <v>911508</v>
      </c>
      <c r="AZ256" s="390">
        <v>-911508</v>
      </c>
      <c r="BA256" s="401">
        <f t="shared" si="54"/>
        <v>899.39703200000008</v>
      </c>
      <c r="BB256" s="401">
        <v>-890</v>
      </c>
      <c r="BC256" s="401">
        <v>172</v>
      </c>
      <c r="BD256" s="401">
        <v>20</v>
      </c>
      <c r="BE256" s="401">
        <v>0</v>
      </c>
      <c r="BG256" s="426">
        <f t="shared" si="55"/>
        <v>0.52793167399191077</v>
      </c>
      <c r="BH256" s="426">
        <f t="shared" si="56"/>
        <v>1.4313095451355111E-2</v>
      </c>
      <c r="BI256" s="426">
        <f t="shared" si="57"/>
        <v>4.3465386086954737E-2</v>
      </c>
      <c r="BJ256" s="426">
        <f t="shared" si="58"/>
        <v>0.42023409633906444</v>
      </c>
      <c r="BK256" s="426">
        <f t="shared" si="59"/>
        <v>-5.9442518692850574E-3</v>
      </c>
      <c r="BL256" s="425">
        <f t="shared" si="60"/>
        <v>20692259.127773765</v>
      </c>
      <c r="BN256" s="423">
        <f t="shared" si="61"/>
        <v>0.6503845840934136</v>
      </c>
      <c r="BO256" s="423">
        <f t="shared" si="62"/>
        <v>2.4417170412529107E-2</v>
      </c>
      <c r="BP256" s="423">
        <f t="shared" si="63"/>
        <v>0.11448756803830382</v>
      </c>
      <c r="BQ256" s="423">
        <f t="shared" si="64"/>
        <v>0.34239698478829933</v>
      </c>
      <c r="BR256" s="423">
        <f t="shared" si="65"/>
        <v>-1.5657124014960468E-2</v>
      </c>
      <c r="BS256" s="423">
        <f t="shared" si="66"/>
        <v>-0.11602918331758541</v>
      </c>
      <c r="BT256" s="425">
        <f t="shared" si="67"/>
        <v>7855848.869975917</v>
      </c>
    </row>
    <row r="257" spans="1:72" x14ac:dyDescent="0.2">
      <c r="A257" s="309">
        <v>755</v>
      </c>
      <c r="B257" s="278" t="s">
        <v>305</v>
      </c>
      <c r="C257" s="278">
        <v>1</v>
      </c>
      <c r="D257" s="279">
        <v>6182</v>
      </c>
      <c r="E257" s="364">
        <v>31314000</v>
      </c>
      <c r="F257" s="279">
        <v>26175253</v>
      </c>
      <c r="G257" s="278">
        <v>471715.83999999997</v>
      </c>
      <c r="H257" s="279">
        <v>2166064.0069999998</v>
      </c>
      <c r="I257" s="279">
        <v>5552941.6097117728</v>
      </c>
      <c r="J257" s="279">
        <v>-1185698</v>
      </c>
      <c r="K257" s="279">
        <v>-424000</v>
      </c>
      <c r="L257" s="280">
        <v>-12425.819999999998</v>
      </c>
      <c r="M257" s="369">
        <v>1454702.2767117692</v>
      </c>
      <c r="N257" s="370">
        <v>235.31256498087498</v>
      </c>
      <c r="P257" s="365">
        <v>16339829.672904192</v>
      </c>
      <c r="Q257" s="283">
        <v>11611653</v>
      </c>
      <c r="R257" s="279">
        <v>2166064.0069999998</v>
      </c>
      <c r="S257" s="279">
        <v>305511.41252471984</v>
      </c>
      <c r="T257" s="280">
        <v>4464422.3484074213</v>
      </c>
      <c r="U257" s="280">
        <v>366388.19061350432</v>
      </c>
      <c r="V257" s="279">
        <v>-1185698</v>
      </c>
      <c r="W257" s="279">
        <v>-424000</v>
      </c>
      <c r="X257" s="279">
        <v>81274.085316438024</v>
      </c>
      <c r="Y257" s="354">
        <v>1045785.3709578905</v>
      </c>
      <c r="Z257" s="355">
        <v>169.16618747296837</v>
      </c>
      <c r="AB257" s="366">
        <v>-408916.90575387864</v>
      </c>
      <c r="AC257" s="349">
        <v>-66.146377507906607</v>
      </c>
      <c r="AE257" s="374">
        <v>70.590639569084544</v>
      </c>
      <c r="AF257" s="350">
        <v>41.146377507907204</v>
      </c>
      <c r="AG257" s="350">
        <v>16.146377507907204</v>
      </c>
      <c r="AH257" s="350">
        <v>0</v>
      </c>
      <c r="AI257" s="350">
        <v>0</v>
      </c>
      <c r="AJ257" s="408">
        <v>-1902</v>
      </c>
      <c r="AK257" s="387">
        <v>-29412</v>
      </c>
      <c r="AL257" s="287">
        <v>-41</v>
      </c>
      <c r="AM257" s="287">
        <v>-1861</v>
      </c>
      <c r="AN257" s="287">
        <v>-14479</v>
      </c>
      <c r="AO257" s="287">
        <v>-14933</v>
      </c>
      <c r="AP257" s="287">
        <v>26175</v>
      </c>
      <c r="AQ257" s="287">
        <v>14563</v>
      </c>
      <c r="AR257" s="287">
        <v>11612</v>
      </c>
      <c r="AS257" s="287">
        <v>472</v>
      </c>
      <c r="AT257" s="287">
        <v>166</v>
      </c>
      <c r="AU257" s="287">
        <v>306</v>
      </c>
      <c r="AV257" s="353">
        <f t="shared" si="51"/>
        <v>4354.817789711773</v>
      </c>
      <c r="AW257" s="353">
        <f t="shared" si="52"/>
        <v>273.31391687476616</v>
      </c>
      <c r="AX257" s="353">
        <f t="shared" si="53"/>
        <v>4081.5038728370068</v>
      </c>
      <c r="AY257" s="390">
        <v>436391</v>
      </c>
      <c r="AZ257" s="390">
        <v>436391</v>
      </c>
      <c r="BA257" s="401">
        <f t="shared" si="54"/>
        <v>2166.0640069999999</v>
      </c>
      <c r="BB257" s="401">
        <v>-3155</v>
      </c>
      <c r="BC257" s="401">
        <v>0</v>
      </c>
      <c r="BD257" s="401">
        <v>365</v>
      </c>
      <c r="BE257" s="401">
        <v>-631</v>
      </c>
      <c r="BG257" s="426">
        <f t="shared" si="55"/>
        <v>0.79909122255062315</v>
      </c>
      <c r="BH257" s="426">
        <f t="shared" si="56"/>
        <v>1.4400777225805385E-2</v>
      </c>
      <c r="BI257" s="426">
        <f t="shared" si="57"/>
        <v>6.6126685976121466E-2</v>
      </c>
      <c r="BJ257" s="426">
        <f t="shared" si="58"/>
        <v>0.13332539843114322</v>
      </c>
      <c r="BK257" s="426">
        <f t="shared" si="59"/>
        <v>-1.2944084183693055E-2</v>
      </c>
      <c r="BL257" s="425">
        <f t="shared" si="60"/>
        <v>32756276.456711769</v>
      </c>
      <c r="BN257" s="423">
        <f t="shared" si="61"/>
        <v>0.65451937432139706</v>
      </c>
      <c r="BO257" s="423">
        <f t="shared" si="62"/>
        <v>1.7220902017458312E-2</v>
      </c>
      <c r="BP257" s="423">
        <f t="shared" si="63"/>
        <v>0.12209552409133635</v>
      </c>
      <c r="BQ257" s="423">
        <f t="shared" si="64"/>
        <v>0.2054657315690587</v>
      </c>
      <c r="BR257" s="423">
        <f t="shared" si="65"/>
        <v>-2.3899802613139776E-2</v>
      </c>
      <c r="BS257" s="423">
        <f t="shared" si="66"/>
        <v>2.4598270613889427E-2</v>
      </c>
      <c r="BT257" s="425">
        <f t="shared" si="67"/>
        <v>17740732.292361725</v>
      </c>
    </row>
    <row r="258" spans="1:72" x14ac:dyDescent="0.2">
      <c r="A258" s="309">
        <v>758</v>
      </c>
      <c r="B258" s="278" t="s">
        <v>170</v>
      </c>
      <c r="C258" s="278">
        <v>19</v>
      </c>
      <c r="D258" s="279">
        <v>8782</v>
      </c>
      <c r="E258" s="364">
        <v>64018000</v>
      </c>
      <c r="F258" s="279">
        <v>27538494</v>
      </c>
      <c r="G258" s="278">
        <v>2414640.0649999999</v>
      </c>
      <c r="H258" s="279">
        <v>7154047.5554</v>
      </c>
      <c r="I258" s="279">
        <v>26782324.859499879</v>
      </c>
      <c r="J258" s="279">
        <v>-621667</v>
      </c>
      <c r="K258" s="279">
        <v>1073000</v>
      </c>
      <c r="L258" s="280">
        <v>-362422.28010862664</v>
      </c>
      <c r="M258" s="369">
        <v>685261.76000850997</v>
      </c>
      <c r="N258" s="370">
        <v>78.030261900308588</v>
      </c>
      <c r="P258" s="365">
        <v>24837443.802424416</v>
      </c>
      <c r="Q258" s="283">
        <v>11235372</v>
      </c>
      <c r="R258" s="279">
        <v>7154047.5554</v>
      </c>
      <c r="S258" s="279">
        <v>1563865.4343193802</v>
      </c>
      <c r="T258" s="280">
        <v>11885628.195883719</v>
      </c>
      <c r="U258" s="280">
        <v>-2812633.7636166341</v>
      </c>
      <c r="V258" s="279">
        <v>-621667</v>
      </c>
      <c r="W258" s="279">
        <v>1073000</v>
      </c>
      <c r="X258" s="279">
        <v>110206.42574695488</v>
      </c>
      <c r="Y258" s="354">
        <v>4750375.0453090034</v>
      </c>
      <c r="Z258" s="355">
        <v>540.92177696527028</v>
      </c>
      <c r="AB258" s="366">
        <v>4065113.2853004932</v>
      </c>
      <c r="AC258" s="349">
        <v>462.89151506496165</v>
      </c>
      <c r="AE258" s="374">
        <v>-458.44725300378434</v>
      </c>
      <c r="AF258" s="350">
        <v>-437.89151506496171</v>
      </c>
      <c r="AG258" s="350">
        <v>-412.89151506496171</v>
      </c>
      <c r="AH258" s="350">
        <v>-387.89151506496171</v>
      </c>
      <c r="AI258" s="350">
        <v>-362.89151506496171</v>
      </c>
      <c r="AJ258" s="408">
        <v>-2800</v>
      </c>
      <c r="AK258" s="387">
        <v>-61218</v>
      </c>
      <c r="AL258" s="287">
        <v>-262</v>
      </c>
      <c r="AM258" s="287">
        <v>-2538</v>
      </c>
      <c r="AN258" s="287">
        <v>-22299</v>
      </c>
      <c r="AO258" s="287">
        <v>-38919</v>
      </c>
      <c r="AP258" s="287">
        <v>27538</v>
      </c>
      <c r="AQ258" s="287">
        <v>16303</v>
      </c>
      <c r="AR258" s="287">
        <v>11235</v>
      </c>
      <c r="AS258" s="287">
        <v>2415</v>
      </c>
      <c r="AT258" s="287">
        <v>851</v>
      </c>
      <c r="AU258" s="287">
        <v>1564</v>
      </c>
      <c r="AV258" s="353">
        <f t="shared" si="51"/>
        <v>25798.235579391254</v>
      </c>
      <c r="AW258" s="353">
        <f t="shared" si="52"/>
        <v>21372.991923003403</v>
      </c>
      <c r="AX258" s="353">
        <f t="shared" si="53"/>
        <v>4425.2436563878509</v>
      </c>
      <c r="AY258" s="390">
        <v>4026084</v>
      </c>
      <c r="AZ258" s="390">
        <v>-4026084</v>
      </c>
      <c r="BA258" s="401">
        <f t="shared" si="54"/>
        <v>7154.0475554000004</v>
      </c>
      <c r="BB258" s="401">
        <v>-5867</v>
      </c>
      <c r="BC258" s="401">
        <v>350</v>
      </c>
      <c r="BD258" s="401">
        <v>10</v>
      </c>
      <c r="BE258" s="401">
        <v>-3112</v>
      </c>
      <c r="BG258" s="426">
        <f t="shared" si="55"/>
        <v>0.42800955384803524</v>
      </c>
      <c r="BH258" s="426">
        <f t="shared" si="56"/>
        <v>3.7528886544203936E-2</v>
      </c>
      <c r="BI258" s="426">
        <f t="shared" si="57"/>
        <v>0.11118983857266782</v>
      </c>
      <c r="BJ258" s="426">
        <f t="shared" si="58"/>
        <v>0.40659491033952838</v>
      </c>
      <c r="BK258" s="426">
        <f t="shared" si="59"/>
        <v>1.667681069556461E-2</v>
      </c>
      <c r="BL258" s="425">
        <f t="shared" si="60"/>
        <v>64340839.479899883</v>
      </c>
      <c r="BN258" s="423">
        <f t="shared" si="61"/>
        <v>0.44144193286867395</v>
      </c>
      <c r="BO258" s="423">
        <f t="shared" si="62"/>
        <v>6.1444852922756407E-2</v>
      </c>
      <c r="BP258" s="423">
        <f t="shared" si="63"/>
        <v>0.28108518175367825</v>
      </c>
      <c r="BQ258" s="423">
        <f t="shared" si="64"/>
        <v>0.33205578925255247</v>
      </c>
      <c r="BR258" s="423">
        <f t="shared" si="65"/>
        <v>4.2158567955568105E-2</v>
      </c>
      <c r="BS258" s="423">
        <f t="shared" si="66"/>
        <v>-0.15818632475322919</v>
      </c>
      <c r="BT258" s="425">
        <f t="shared" si="67"/>
        <v>25451528.64610723</v>
      </c>
    </row>
    <row r="259" spans="1:72" x14ac:dyDescent="0.2">
      <c r="A259" s="309">
        <v>759</v>
      </c>
      <c r="B259" s="278" t="s">
        <v>171</v>
      </c>
      <c r="C259" s="278">
        <v>14</v>
      </c>
      <c r="D259" s="279">
        <v>2224</v>
      </c>
      <c r="E259" s="364">
        <v>14290000</v>
      </c>
      <c r="F259" s="279">
        <v>4981126</v>
      </c>
      <c r="G259" s="278">
        <v>530340.71499999997</v>
      </c>
      <c r="H259" s="279">
        <v>523520.50100000005</v>
      </c>
      <c r="I259" s="279">
        <v>8878998.2897925079</v>
      </c>
      <c r="J259" s="279">
        <v>-554648</v>
      </c>
      <c r="K259" s="279">
        <v>-37000</v>
      </c>
      <c r="L259" s="280">
        <v>-4470.24</v>
      </c>
      <c r="M259" s="369">
        <v>36807.7457925079</v>
      </c>
      <c r="N259" s="370">
        <v>16.550245410300313</v>
      </c>
      <c r="P259" s="365">
        <v>5776522.0104658902</v>
      </c>
      <c r="Q259" s="283">
        <v>2387740</v>
      </c>
      <c r="R259" s="279">
        <v>523520.50100000005</v>
      </c>
      <c r="S259" s="279">
        <v>343480.39056526031</v>
      </c>
      <c r="T259" s="280">
        <v>2708858.8506142288</v>
      </c>
      <c r="U259" s="280">
        <v>387292.44243993395</v>
      </c>
      <c r="V259" s="279">
        <v>-554648</v>
      </c>
      <c r="W259" s="279">
        <v>-37000</v>
      </c>
      <c r="X259" s="279">
        <v>25916.283501227292</v>
      </c>
      <c r="Y259" s="354">
        <v>8638.4576547602192</v>
      </c>
      <c r="Z259" s="355">
        <v>3.88419858577348</v>
      </c>
      <c r="AB259" s="366">
        <v>-28169.288137747681</v>
      </c>
      <c r="AC259" s="349">
        <v>-12.666046824526834</v>
      </c>
      <c r="AE259" s="374">
        <v>17.110308885704168</v>
      </c>
      <c r="AF259" s="350">
        <v>0</v>
      </c>
      <c r="AG259" s="350">
        <v>0</v>
      </c>
      <c r="AH259" s="350">
        <v>0</v>
      </c>
      <c r="AI259" s="350">
        <v>0</v>
      </c>
      <c r="AJ259" s="408">
        <v>-416</v>
      </c>
      <c r="AK259" s="387">
        <v>-13874</v>
      </c>
      <c r="AL259" s="287">
        <v>0</v>
      </c>
      <c r="AM259" s="287">
        <v>-416</v>
      </c>
      <c r="AN259" s="287">
        <v>-5361</v>
      </c>
      <c r="AO259" s="287">
        <v>-8513</v>
      </c>
      <c r="AP259" s="287">
        <v>4981</v>
      </c>
      <c r="AQ259" s="287">
        <v>2593</v>
      </c>
      <c r="AR259" s="287">
        <v>2388</v>
      </c>
      <c r="AS259" s="287">
        <v>530</v>
      </c>
      <c r="AT259" s="287">
        <v>187</v>
      </c>
      <c r="AU259" s="287">
        <v>343</v>
      </c>
      <c r="AV259" s="353">
        <f t="shared" si="51"/>
        <v>8319.8800497925076</v>
      </c>
      <c r="AW259" s="353">
        <f t="shared" si="52"/>
        <v>5740.3234297765393</v>
      </c>
      <c r="AX259" s="353">
        <f t="shared" si="53"/>
        <v>2579.5566200159687</v>
      </c>
      <c r="AY259" s="390">
        <v>38053</v>
      </c>
      <c r="AZ259" s="390">
        <v>38053</v>
      </c>
      <c r="BA259" s="401">
        <f t="shared" si="54"/>
        <v>523.52050100000008</v>
      </c>
      <c r="BB259" s="401">
        <v>-1300</v>
      </c>
      <c r="BC259" s="401">
        <v>259</v>
      </c>
      <c r="BD259" s="401">
        <v>0</v>
      </c>
      <c r="BE259" s="401">
        <v>703</v>
      </c>
      <c r="BG259" s="426">
        <f t="shared" si="55"/>
        <v>0.34778722383727095</v>
      </c>
      <c r="BH259" s="426">
        <f t="shared" si="56"/>
        <v>3.7028921765424785E-2</v>
      </c>
      <c r="BI259" s="426">
        <f t="shared" si="57"/>
        <v>3.6552727568964778E-2</v>
      </c>
      <c r="BJ259" s="426">
        <f t="shared" si="58"/>
        <v>0.58121450401694685</v>
      </c>
      <c r="BK259" s="426">
        <f t="shared" si="59"/>
        <v>-2.5833771886073602E-3</v>
      </c>
      <c r="BL259" s="425">
        <f t="shared" si="60"/>
        <v>14322337.505792508</v>
      </c>
      <c r="BN259" s="423">
        <f t="shared" si="61"/>
        <v>0.41187122020735095</v>
      </c>
      <c r="BO259" s="423">
        <f t="shared" si="62"/>
        <v>5.9248363548548517E-2</v>
      </c>
      <c r="BP259" s="423">
        <f t="shared" si="63"/>
        <v>9.0304232265838696E-2</v>
      </c>
      <c r="BQ259" s="423">
        <f t="shared" si="64"/>
        <v>0.43839449122233515</v>
      </c>
      <c r="BR259" s="423">
        <f t="shared" si="65"/>
        <v>-6.38228414637774E-3</v>
      </c>
      <c r="BS259" s="423">
        <f t="shared" si="66"/>
        <v>6.5639769023044178E-3</v>
      </c>
      <c r="BT259" s="425">
        <f t="shared" si="67"/>
        <v>5797297.511581229</v>
      </c>
    </row>
    <row r="260" spans="1:72" x14ac:dyDescent="0.2">
      <c r="A260" s="309">
        <v>761</v>
      </c>
      <c r="B260" s="278" t="s">
        <v>172</v>
      </c>
      <c r="C260" s="278">
        <v>2</v>
      </c>
      <c r="D260" s="279">
        <v>9093</v>
      </c>
      <c r="E260" s="364">
        <v>54736000</v>
      </c>
      <c r="F260" s="279">
        <v>23774636</v>
      </c>
      <c r="G260" s="278">
        <v>1117287.74</v>
      </c>
      <c r="H260" s="279">
        <v>1827937.0767000001</v>
      </c>
      <c r="I260" s="279">
        <v>26266123.362791307</v>
      </c>
      <c r="J260" s="279">
        <v>-269167</v>
      </c>
      <c r="K260" s="279">
        <v>31000</v>
      </c>
      <c r="L260" s="280">
        <v>608346.61256311426</v>
      </c>
      <c r="M260" s="369">
        <v>-2596529.4330718103</v>
      </c>
      <c r="N260" s="370">
        <v>-285.55256054897285</v>
      </c>
      <c r="P260" s="365">
        <v>20035264.142857142</v>
      </c>
      <c r="Q260" s="283">
        <v>9478664</v>
      </c>
      <c r="R260" s="279">
        <v>1827937.0767000001</v>
      </c>
      <c r="S260" s="279">
        <v>723622.41565589979</v>
      </c>
      <c r="T260" s="280">
        <v>6355772.7287195828</v>
      </c>
      <c r="U260" s="280">
        <v>-432637.02561818541</v>
      </c>
      <c r="V260" s="279">
        <v>-269167</v>
      </c>
      <c r="W260" s="279">
        <v>31000</v>
      </c>
      <c r="X260" s="279">
        <v>109461.42330554566</v>
      </c>
      <c r="Y260" s="354">
        <v>-2210610.5240942985</v>
      </c>
      <c r="Z260" s="355">
        <v>-243.11124206469796</v>
      </c>
      <c r="AB260" s="366">
        <v>385918.9089775118</v>
      </c>
      <c r="AC260" s="349">
        <v>42.441318484274916</v>
      </c>
      <c r="AE260" s="374">
        <v>-37.99705642309678</v>
      </c>
      <c r="AF260" s="350">
        <v>-17.441318484274092</v>
      </c>
      <c r="AG260" s="350">
        <v>0</v>
      </c>
      <c r="AH260" s="350">
        <v>0</v>
      </c>
      <c r="AI260" s="350">
        <v>0</v>
      </c>
      <c r="AJ260" s="408">
        <v>-2900</v>
      </c>
      <c r="AK260" s="387">
        <v>-51836</v>
      </c>
      <c r="AL260" s="287">
        <v>-181</v>
      </c>
      <c r="AM260" s="287">
        <v>-2719</v>
      </c>
      <c r="AN260" s="287">
        <v>-17316</v>
      </c>
      <c r="AO260" s="287">
        <v>-34520</v>
      </c>
      <c r="AP260" s="287">
        <v>23775</v>
      </c>
      <c r="AQ260" s="287">
        <v>14296</v>
      </c>
      <c r="AR260" s="287">
        <v>9479</v>
      </c>
      <c r="AS260" s="287">
        <v>1117</v>
      </c>
      <c r="AT260" s="287">
        <v>393</v>
      </c>
      <c r="AU260" s="287">
        <v>724</v>
      </c>
      <c r="AV260" s="353">
        <f t="shared" si="51"/>
        <v>26605.302975354422</v>
      </c>
      <c r="AW260" s="353">
        <f t="shared" si="52"/>
        <v>21296.841506308243</v>
      </c>
      <c r="AX260" s="353">
        <f t="shared" si="53"/>
        <v>5308.4614690461785</v>
      </c>
      <c r="AY260" s="390">
        <v>345507</v>
      </c>
      <c r="AZ260" s="390">
        <v>-345507</v>
      </c>
      <c r="BA260" s="401">
        <f t="shared" si="54"/>
        <v>1827.9370767</v>
      </c>
      <c r="BB260" s="401">
        <v>-10603</v>
      </c>
      <c r="BC260" s="401">
        <v>45</v>
      </c>
      <c r="BD260" s="401">
        <v>250</v>
      </c>
      <c r="BE260" s="401">
        <v>-9648</v>
      </c>
      <c r="BG260" s="426">
        <f t="shared" si="55"/>
        <v>0.45072265112126259</v>
      </c>
      <c r="BH260" s="426">
        <f t="shared" si="56"/>
        <v>2.1181686745407331E-2</v>
      </c>
      <c r="BI260" s="426">
        <f t="shared" si="57"/>
        <v>3.4654269587684736E-2</v>
      </c>
      <c r="BJ260" s="426">
        <f t="shared" si="58"/>
        <v>0.49285369050113215</v>
      </c>
      <c r="BK260" s="426">
        <f t="shared" si="59"/>
        <v>5.8770204451328472E-4</v>
      </c>
      <c r="BL260" s="425">
        <f t="shared" si="60"/>
        <v>52747817.179491304</v>
      </c>
      <c r="BN260" s="423">
        <f t="shared" si="61"/>
        <v>0.54570154962873219</v>
      </c>
      <c r="BO260" s="423">
        <f t="shared" si="62"/>
        <v>4.166007715533656E-2</v>
      </c>
      <c r="BP260" s="423">
        <f t="shared" si="63"/>
        <v>0.10523720382735421</v>
      </c>
      <c r="BQ260" s="423">
        <f t="shared" si="64"/>
        <v>0.32550784402050603</v>
      </c>
      <c r="BR260" s="423">
        <f t="shared" si="65"/>
        <v>1.7847186099740108E-3</v>
      </c>
      <c r="BS260" s="423">
        <f t="shared" si="66"/>
        <v>-1.9891393241903088E-2</v>
      </c>
      <c r="BT260" s="425">
        <f t="shared" si="67"/>
        <v>17369684.961402081</v>
      </c>
    </row>
    <row r="261" spans="1:72" x14ac:dyDescent="0.2">
      <c r="A261" s="309">
        <v>762</v>
      </c>
      <c r="B261" s="278" t="s">
        <v>173</v>
      </c>
      <c r="C261" s="278">
        <v>11</v>
      </c>
      <c r="D261" s="279">
        <v>4278</v>
      </c>
      <c r="E261" s="364">
        <v>28088000</v>
      </c>
      <c r="F261" s="279">
        <v>10053786</v>
      </c>
      <c r="G261" s="278">
        <v>1756093.7350000001</v>
      </c>
      <c r="H261" s="279">
        <v>889467.33230000001</v>
      </c>
      <c r="I261" s="279">
        <v>15799256.977192998</v>
      </c>
      <c r="J261" s="279">
        <v>-103824</v>
      </c>
      <c r="K261" s="279">
        <v>265000</v>
      </c>
      <c r="L261" s="280">
        <v>-8598.7799999999988</v>
      </c>
      <c r="M261" s="369">
        <v>580378.82449299726</v>
      </c>
      <c r="N261" s="370">
        <v>135.66592437891475</v>
      </c>
      <c r="P261" s="365">
        <v>9556147.597277727</v>
      </c>
      <c r="Q261" s="283">
        <v>4400145</v>
      </c>
      <c r="R261" s="279">
        <v>889467.33230000001</v>
      </c>
      <c r="S261" s="279">
        <v>1137351.4137359923</v>
      </c>
      <c r="T261" s="280">
        <v>3516850.2899332242</v>
      </c>
      <c r="U261" s="280">
        <v>133660.78006573895</v>
      </c>
      <c r="V261" s="279">
        <v>-103824</v>
      </c>
      <c r="W261" s="279">
        <v>265000</v>
      </c>
      <c r="X261" s="279">
        <v>51714.043886775842</v>
      </c>
      <c r="Y261" s="354">
        <v>734217.26264400408</v>
      </c>
      <c r="Z261" s="355">
        <v>171.62628860308649</v>
      </c>
      <c r="AB261" s="366">
        <v>153838.43815100682</v>
      </c>
      <c r="AC261" s="349">
        <v>35.960364224171769</v>
      </c>
      <c r="AE261" s="374">
        <v>-31.5161021629944</v>
      </c>
      <c r="AF261" s="350">
        <v>-10.960364224171741</v>
      </c>
      <c r="AG261" s="350">
        <v>0</v>
      </c>
      <c r="AH261" s="350">
        <v>0</v>
      </c>
      <c r="AI261" s="350">
        <v>0</v>
      </c>
      <c r="AJ261" s="408">
        <v>-1210</v>
      </c>
      <c r="AK261" s="387">
        <v>-26878</v>
      </c>
      <c r="AL261" s="287">
        <v>0</v>
      </c>
      <c r="AM261" s="287">
        <v>-1210</v>
      </c>
      <c r="AN261" s="287">
        <v>-8346</v>
      </c>
      <c r="AO261" s="287">
        <v>-18532</v>
      </c>
      <c r="AP261" s="287">
        <v>10054</v>
      </c>
      <c r="AQ261" s="287">
        <v>5654</v>
      </c>
      <c r="AR261" s="287">
        <v>4400</v>
      </c>
      <c r="AS261" s="287">
        <v>1756</v>
      </c>
      <c r="AT261" s="287">
        <v>619</v>
      </c>
      <c r="AU261" s="287">
        <v>1137</v>
      </c>
      <c r="AV261" s="353">
        <f t="shared" si="51"/>
        <v>15686.834197192999</v>
      </c>
      <c r="AW261" s="353">
        <f t="shared" si="52"/>
        <v>12274.973012247325</v>
      </c>
      <c r="AX261" s="353">
        <f t="shared" si="53"/>
        <v>3411.8611849456734</v>
      </c>
      <c r="AY261" s="390">
        <v>134826</v>
      </c>
      <c r="AZ261" s="390">
        <v>-134826</v>
      </c>
      <c r="BA261" s="401">
        <f t="shared" si="54"/>
        <v>889.46733230000007</v>
      </c>
      <c r="BB261" s="401">
        <v>-2855</v>
      </c>
      <c r="BC261" s="401">
        <v>35</v>
      </c>
      <c r="BD261" s="401">
        <v>10</v>
      </c>
      <c r="BE261" s="401">
        <v>-1568</v>
      </c>
      <c r="BG261" s="426">
        <f t="shared" si="55"/>
        <v>0.350797737609708</v>
      </c>
      <c r="BH261" s="426">
        <f t="shared" si="56"/>
        <v>6.1273803646564803E-2</v>
      </c>
      <c r="BI261" s="426">
        <f t="shared" si="57"/>
        <v>3.1035385858479817E-2</v>
      </c>
      <c r="BJ261" s="426">
        <f t="shared" si="58"/>
        <v>0.54764666556500285</v>
      </c>
      <c r="BK261" s="426">
        <f t="shared" si="59"/>
        <v>9.2464073202445946E-3</v>
      </c>
      <c r="BL261" s="425">
        <f t="shared" si="60"/>
        <v>28659780.044492997</v>
      </c>
      <c r="BN261" s="423">
        <f t="shared" si="61"/>
        <v>0.435492996964714</v>
      </c>
      <c r="BO261" s="423">
        <f t="shared" si="62"/>
        <v>0.11256642128155814</v>
      </c>
      <c r="BP261" s="423">
        <f t="shared" si="63"/>
        <v>8.8032733977070329E-2</v>
      </c>
      <c r="BQ261" s="423">
        <f t="shared" si="64"/>
        <v>0.3510242006592621</v>
      </c>
      <c r="BR261" s="423">
        <f t="shared" si="65"/>
        <v>2.6227691177370109E-2</v>
      </c>
      <c r="BS261" s="423">
        <f t="shared" si="66"/>
        <v>-1.3344044059974688E-2</v>
      </c>
      <c r="BT261" s="425">
        <f t="shared" si="67"/>
        <v>10103824.930981666</v>
      </c>
    </row>
    <row r="262" spans="1:72" x14ac:dyDescent="0.2">
      <c r="A262" s="309">
        <v>765</v>
      </c>
      <c r="B262" s="278" t="s">
        <v>174</v>
      </c>
      <c r="C262" s="278">
        <v>18</v>
      </c>
      <c r="D262" s="279">
        <v>10523</v>
      </c>
      <c r="E262" s="364">
        <v>67787000</v>
      </c>
      <c r="F262" s="279">
        <v>31865197</v>
      </c>
      <c r="G262" s="278">
        <v>2030323.4549999998</v>
      </c>
      <c r="H262" s="279">
        <v>4184664.1869999999</v>
      </c>
      <c r="I262" s="279">
        <v>26431023.073262647</v>
      </c>
      <c r="J262" s="279">
        <v>588822</v>
      </c>
      <c r="K262" s="279">
        <v>1187000</v>
      </c>
      <c r="L262" s="280">
        <v>-21151.23</v>
      </c>
      <c r="M262" s="369">
        <v>-1478819.054737356</v>
      </c>
      <c r="N262" s="370">
        <v>-140.53207780455725</v>
      </c>
      <c r="P262" s="365">
        <v>28492910.625</v>
      </c>
      <c r="Q262" s="283">
        <v>14388633</v>
      </c>
      <c r="R262" s="279">
        <v>4184664.1869999999</v>
      </c>
      <c r="S262" s="279">
        <v>1314958.9944215557</v>
      </c>
      <c r="T262" s="280">
        <v>7952639.6650230652</v>
      </c>
      <c r="U262" s="280">
        <v>-1484099.3623593536</v>
      </c>
      <c r="V262" s="279">
        <v>588822</v>
      </c>
      <c r="W262" s="279">
        <v>1187000</v>
      </c>
      <c r="X262" s="279">
        <v>129886.32119742442</v>
      </c>
      <c r="Y262" s="354">
        <v>-230405.81971730664</v>
      </c>
      <c r="Z262" s="355">
        <v>-21.895449939875192</v>
      </c>
      <c r="AB262" s="366">
        <v>1248413.2350200494</v>
      </c>
      <c r="AC262" s="349">
        <v>118.63662786468207</v>
      </c>
      <c r="AE262" s="374">
        <v>-114.19236580350471</v>
      </c>
      <c r="AF262" s="350">
        <v>-93.636627864682055</v>
      </c>
      <c r="AG262" s="350">
        <v>-68.636627864682055</v>
      </c>
      <c r="AH262" s="350">
        <v>-43.636627864682055</v>
      </c>
      <c r="AI262" s="350">
        <v>-18.636627864682055</v>
      </c>
      <c r="AJ262" s="408">
        <v>-2665</v>
      </c>
      <c r="AK262" s="387">
        <v>-65122</v>
      </c>
      <c r="AL262" s="287">
        <v>0</v>
      </c>
      <c r="AM262" s="287">
        <v>-2665</v>
      </c>
      <c r="AN262" s="287">
        <v>-25828</v>
      </c>
      <c r="AO262" s="287">
        <v>-39294</v>
      </c>
      <c r="AP262" s="287">
        <v>31865</v>
      </c>
      <c r="AQ262" s="287">
        <v>17476</v>
      </c>
      <c r="AR262" s="287">
        <v>14389</v>
      </c>
      <c r="AS262" s="287">
        <v>2030</v>
      </c>
      <c r="AT262" s="287">
        <v>715</v>
      </c>
      <c r="AU262" s="287">
        <v>1315</v>
      </c>
      <c r="AV262" s="353">
        <f t="shared" si="51"/>
        <v>26998.693843262648</v>
      </c>
      <c r="AW262" s="353">
        <f t="shared" si="52"/>
        <v>21142.977805949216</v>
      </c>
      <c r="AX262" s="353">
        <f t="shared" si="53"/>
        <v>5855.716037313432</v>
      </c>
      <c r="AY262" s="390">
        <v>1201646</v>
      </c>
      <c r="AZ262" s="390">
        <v>-1201646</v>
      </c>
      <c r="BA262" s="401">
        <f t="shared" si="54"/>
        <v>4184.6641870000003</v>
      </c>
      <c r="BB262" s="401">
        <v>-4198</v>
      </c>
      <c r="BC262" s="401">
        <v>257</v>
      </c>
      <c r="BD262" s="401">
        <v>557</v>
      </c>
      <c r="BE262" s="401">
        <v>-3116</v>
      </c>
      <c r="BG262" s="426">
        <f t="shared" si="55"/>
        <v>0.48071541501976534</v>
      </c>
      <c r="BH262" s="426">
        <f t="shared" si="56"/>
        <v>3.0629271875980833E-2</v>
      </c>
      <c r="BI262" s="426">
        <f t="shared" si="57"/>
        <v>6.3129456923553748E-2</v>
      </c>
      <c r="BJ262" s="426">
        <f t="shared" si="58"/>
        <v>0.40761888395553353</v>
      </c>
      <c r="BK262" s="426">
        <f t="shared" si="59"/>
        <v>1.790697222516658E-2</v>
      </c>
      <c r="BL262" s="425">
        <f t="shared" si="60"/>
        <v>66287029.715262644</v>
      </c>
      <c r="BN262" s="423">
        <f t="shared" si="61"/>
        <v>0.53427826084905694</v>
      </c>
      <c r="BO262" s="423">
        <f t="shared" si="62"/>
        <v>4.8827015368824375E-2</v>
      </c>
      <c r="BP262" s="423">
        <f t="shared" si="63"/>
        <v>0.15538481689453701</v>
      </c>
      <c r="BQ262" s="423">
        <f t="shared" si="64"/>
        <v>0.26205375154463001</v>
      </c>
      <c r="BR262" s="423">
        <f t="shared" si="65"/>
        <v>4.4075646076165167E-2</v>
      </c>
      <c r="BS262" s="423">
        <f t="shared" si="66"/>
        <v>-4.4619490733213647E-2</v>
      </c>
      <c r="BT262" s="425">
        <f t="shared" si="67"/>
        <v>26930972.218734991</v>
      </c>
    </row>
    <row r="263" spans="1:72" x14ac:dyDescent="0.2">
      <c r="A263" s="309">
        <v>152</v>
      </c>
      <c r="B263" s="278" t="s">
        <v>247</v>
      </c>
      <c r="C263" s="278">
        <v>15</v>
      </c>
      <c r="D263" s="279">
        <v>4785</v>
      </c>
      <c r="E263" s="364">
        <v>28216000</v>
      </c>
      <c r="F263" s="279">
        <v>14168806</v>
      </c>
      <c r="G263" s="278">
        <v>529543.70499999996</v>
      </c>
      <c r="H263" s="279">
        <v>893740.03480000002</v>
      </c>
      <c r="I263" s="279">
        <v>13333708.191393172</v>
      </c>
      <c r="J263" s="279">
        <v>-168421</v>
      </c>
      <c r="K263" s="279">
        <v>-39000</v>
      </c>
      <c r="L263" s="280">
        <v>-9617.8499999999985</v>
      </c>
      <c r="M263" s="369">
        <v>511994.78119317291</v>
      </c>
      <c r="N263" s="370">
        <v>106.99995427234543</v>
      </c>
      <c r="P263" s="365">
        <v>11500749.782825761</v>
      </c>
      <c r="Q263" s="283">
        <v>6493126</v>
      </c>
      <c r="R263" s="279">
        <v>893740.03480000002</v>
      </c>
      <c r="S263" s="279">
        <v>342964.1991842452</v>
      </c>
      <c r="T263" s="280">
        <v>4102390.3283460564</v>
      </c>
      <c r="U263" s="280">
        <v>489003.47542320396</v>
      </c>
      <c r="V263" s="279">
        <v>-168421</v>
      </c>
      <c r="W263" s="279">
        <v>-39000</v>
      </c>
      <c r="X263" s="279">
        <v>58063.985181788652</v>
      </c>
      <c r="Y263" s="354">
        <v>671117.24010953307</v>
      </c>
      <c r="Z263" s="355">
        <v>140.2543866477603</v>
      </c>
      <c r="AB263" s="366">
        <v>159122.45891636016</v>
      </c>
      <c r="AC263" s="349">
        <v>33.254432375414872</v>
      </c>
      <c r="AE263" s="374">
        <v>-28.810170314237538</v>
      </c>
      <c r="AF263" s="350">
        <v>-8.254432375414865</v>
      </c>
      <c r="AG263" s="350">
        <v>0</v>
      </c>
      <c r="AH263" s="350">
        <v>0</v>
      </c>
      <c r="AI263" s="350">
        <v>0</v>
      </c>
      <c r="AJ263" s="408">
        <v>-1182</v>
      </c>
      <c r="AK263" s="387">
        <v>-27034</v>
      </c>
      <c r="AL263" s="287">
        <v>-4</v>
      </c>
      <c r="AM263" s="287">
        <v>-1178</v>
      </c>
      <c r="AN263" s="287">
        <v>-10323</v>
      </c>
      <c r="AO263" s="287">
        <v>-16711</v>
      </c>
      <c r="AP263" s="287">
        <v>14169</v>
      </c>
      <c r="AQ263" s="287">
        <v>7676</v>
      </c>
      <c r="AR263" s="287">
        <v>6493</v>
      </c>
      <c r="AS263" s="287">
        <v>530</v>
      </c>
      <c r="AT263" s="287">
        <v>187</v>
      </c>
      <c r="AU263" s="287">
        <v>343</v>
      </c>
      <c r="AV263" s="353">
        <f t="shared" si="51"/>
        <v>13155.669341393173</v>
      </c>
      <c r="AW263" s="353">
        <f t="shared" si="52"/>
        <v>8870.5532025775392</v>
      </c>
      <c r="AX263" s="353">
        <f t="shared" si="53"/>
        <v>4285.1161388156343</v>
      </c>
      <c r="AY263" s="390">
        <v>137857</v>
      </c>
      <c r="AZ263" s="390">
        <v>-137857</v>
      </c>
      <c r="BA263" s="401">
        <f t="shared" si="54"/>
        <v>893.74003479999999</v>
      </c>
      <c r="BB263" s="401">
        <v>-3545</v>
      </c>
      <c r="BC263" s="401">
        <v>0</v>
      </c>
      <c r="BD263" s="401">
        <v>50</v>
      </c>
      <c r="BE263" s="401">
        <v>1996</v>
      </c>
      <c r="BG263" s="426">
        <f t="shared" si="55"/>
        <v>0.49337070942230732</v>
      </c>
      <c r="BH263" s="426">
        <f t="shared" si="56"/>
        <v>1.8439193352352133E-2</v>
      </c>
      <c r="BI263" s="426">
        <f t="shared" si="57"/>
        <v>3.112084074045432E-2</v>
      </c>
      <c r="BJ263" s="426">
        <f t="shared" si="58"/>
        <v>0.45842727194980754</v>
      </c>
      <c r="BK263" s="426">
        <f t="shared" si="59"/>
        <v>-1.3580154649213197E-3</v>
      </c>
      <c r="BL263" s="425">
        <f t="shared" si="60"/>
        <v>28718376.931193173</v>
      </c>
      <c r="BN263" s="423">
        <f t="shared" si="61"/>
        <v>0.54218061753744806</v>
      </c>
      <c r="BO263" s="423">
        <f t="shared" si="62"/>
        <v>2.8637753419069708E-2</v>
      </c>
      <c r="BP263" s="423">
        <f t="shared" si="63"/>
        <v>7.4627925591741848E-2</v>
      </c>
      <c r="BQ263" s="423">
        <f t="shared" si="64"/>
        <v>0.36932136017365996</v>
      </c>
      <c r="BR263" s="423">
        <f t="shared" si="65"/>
        <v>-3.2565276084216563E-3</v>
      </c>
      <c r="BS263" s="423">
        <f t="shared" si="66"/>
        <v>-1.1511129113497932E-2</v>
      </c>
      <c r="BT263" s="425">
        <f t="shared" si="67"/>
        <v>11975946.372799879</v>
      </c>
    </row>
    <row r="264" spans="1:72" x14ac:dyDescent="0.2">
      <c r="A264" s="309">
        <v>151</v>
      </c>
      <c r="B264" s="278" t="s">
        <v>246</v>
      </c>
      <c r="C264" s="278">
        <v>14</v>
      </c>
      <c r="D264" s="279">
        <v>2123</v>
      </c>
      <c r="E264" s="364">
        <v>14700000</v>
      </c>
      <c r="F264" s="279">
        <v>5405459</v>
      </c>
      <c r="G264" s="278">
        <v>545176.38500000001</v>
      </c>
      <c r="H264" s="279">
        <v>448968.52069999999</v>
      </c>
      <c r="I264" s="279">
        <v>8772141.9562498946</v>
      </c>
      <c r="J264" s="279">
        <v>-453490</v>
      </c>
      <c r="K264" s="279">
        <v>-12000</v>
      </c>
      <c r="L264" s="280">
        <v>-4267.2299999999996</v>
      </c>
      <c r="M264" s="369">
        <v>10523.091949894577</v>
      </c>
      <c r="N264" s="370">
        <v>4.9567084078636725</v>
      </c>
      <c r="P264" s="365">
        <v>4640239.6578073092</v>
      </c>
      <c r="Q264" s="283">
        <v>2608791</v>
      </c>
      <c r="R264" s="279">
        <v>448968.52069999999</v>
      </c>
      <c r="S264" s="279">
        <v>353088.85844594601</v>
      </c>
      <c r="T264" s="280">
        <v>2024579.1526699667</v>
      </c>
      <c r="U264" s="280">
        <v>-37673.115263652602</v>
      </c>
      <c r="V264" s="279">
        <v>-453490</v>
      </c>
      <c r="W264" s="279">
        <v>-12000</v>
      </c>
      <c r="X264" s="279">
        <v>25579.434349794345</v>
      </c>
      <c r="Y264" s="354">
        <v>317604.19309474435</v>
      </c>
      <c r="Z264" s="355">
        <v>149.60159825470765</v>
      </c>
      <c r="AB264" s="366">
        <v>307081.10114484979</v>
      </c>
      <c r="AC264" s="349">
        <v>144.64488984684399</v>
      </c>
      <c r="AE264" s="374">
        <v>-140.20062778566665</v>
      </c>
      <c r="AF264" s="350">
        <v>-119.64488984684397</v>
      </c>
      <c r="AG264" s="350">
        <v>-94.644889846843967</v>
      </c>
      <c r="AH264" s="350">
        <v>-69.644889846843967</v>
      </c>
      <c r="AI264" s="350">
        <v>-44.644889846843967</v>
      </c>
      <c r="AJ264" s="408">
        <v>-465</v>
      </c>
      <c r="AK264" s="387">
        <v>-14235</v>
      </c>
      <c r="AL264" s="287">
        <v>0</v>
      </c>
      <c r="AM264" s="287">
        <v>-465</v>
      </c>
      <c r="AN264" s="287">
        <v>-4175</v>
      </c>
      <c r="AO264" s="287">
        <v>-10060</v>
      </c>
      <c r="AP264" s="287">
        <v>5405</v>
      </c>
      <c r="AQ264" s="287">
        <v>2796</v>
      </c>
      <c r="AR264" s="287">
        <v>2609</v>
      </c>
      <c r="AS264" s="287">
        <v>545</v>
      </c>
      <c r="AT264" s="287">
        <v>192</v>
      </c>
      <c r="AU264" s="287">
        <v>353</v>
      </c>
      <c r="AV264" s="353">
        <f t="shared" si="51"/>
        <v>8314.3847262498948</v>
      </c>
      <c r="AW264" s="353">
        <f t="shared" si="52"/>
        <v>7078.6146216325506</v>
      </c>
      <c r="AX264" s="353">
        <f t="shared" si="53"/>
        <v>1235.7701046173438</v>
      </c>
      <c r="AY264" s="390">
        <v>297646</v>
      </c>
      <c r="AZ264" s="390">
        <v>-297646</v>
      </c>
      <c r="BA264" s="401">
        <f t="shared" si="54"/>
        <v>448.9685207</v>
      </c>
      <c r="BB264" s="401">
        <v>-496</v>
      </c>
      <c r="BC264" s="401">
        <v>0</v>
      </c>
      <c r="BD264" s="401">
        <v>0</v>
      </c>
      <c r="BE264" s="401">
        <v>-328</v>
      </c>
      <c r="BG264" s="426">
        <f t="shared" si="55"/>
        <v>0.36756187643829646</v>
      </c>
      <c r="BH264" s="426">
        <f t="shared" si="56"/>
        <v>3.7071052626695924E-2</v>
      </c>
      <c r="BI264" s="426">
        <f t="shared" si="57"/>
        <v>3.0529084011222386E-2</v>
      </c>
      <c r="BJ264" s="426">
        <f t="shared" si="58"/>
        <v>0.56565396619904373</v>
      </c>
      <c r="BK264" s="426">
        <f t="shared" si="59"/>
        <v>-8.1597927525850391E-4</v>
      </c>
      <c r="BL264" s="425">
        <f t="shared" si="60"/>
        <v>14706255.861949895</v>
      </c>
      <c r="BN264" s="423">
        <f t="shared" si="61"/>
        <v>0.56289228749669884</v>
      </c>
      <c r="BO264" s="423">
        <f t="shared" si="62"/>
        <v>7.6185096935797711E-2</v>
      </c>
      <c r="BP264" s="423">
        <f t="shared" si="63"/>
        <v>9.6872811057241451E-2</v>
      </c>
      <c r="BQ264" s="423">
        <f t="shared" si="64"/>
        <v>0.33086133039395016</v>
      </c>
      <c r="BR264" s="423">
        <f t="shared" si="65"/>
        <v>-2.5892098868634497E-3</v>
      </c>
      <c r="BS264" s="423">
        <f t="shared" si="66"/>
        <v>-6.4222315996824639E-2</v>
      </c>
      <c r="BT264" s="425">
        <f t="shared" si="67"/>
        <v>4634618.4837632896</v>
      </c>
    </row>
    <row r="265" spans="1:72" x14ac:dyDescent="0.2">
      <c r="A265" s="309">
        <v>768</v>
      </c>
      <c r="B265" s="278" t="s">
        <v>175</v>
      </c>
      <c r="C265" s="278">
        <v>10</v>
      </c>
      <c r="D265" s="279">
        <v>2724</v>
      </c>
      <c r="E265" s="364">
        <v>18824000</v>
      </c>
      <c r="F265" s="279">
        <v>6716901</v>
      </c>
      <c r="G265" s="278">
        <v>989590.21499999997</v>
      </c>
      <c r="H265" s="279">
        <v>956068.50360000017</v>
      </c>
      <c r="I265" s="279">
        <v>11167350.028234784</v>
      </c>
      <c r="J265" s="279">
        <v>182743</v>
      </c>
      <c r="K265" s="279">
        <v>56000</v>
      </c>
      <c r="L265" s="280">
        <v>-5475.24</v>
      </c>
      <c r="M265" s="369">
        <v>1250127.9868347847</v>
      </c>
      <c r="N265" s="370">
        <v>458.93097901423818</v>
      </c>
      <c r="P265" s="365">
        <v>6704070.8196721319</v>
      </c>
      <c r="Q265" s="283">
        <v>3147072</v>
      </c>
      <c r="R265" s="279">
        <v>956068.50360000017</v>
      </c>
      <c r="S265" s="279">
        <v>640917.85513348714</v>
      </c>
      <c r="T265" s="280">
        <v>2149958.6052442007</v>
      </c>
      <c r="U265" s="280">
        <v>326247.95341468218</v>
      </c>
      <c r="V265" s="279">
        <v>182743</v>
      </c>
      <c r="W265" s="279">
        <v>56000</v>
      </c>
      <c r="X265" s="279">
        <v>32750.71447950674</v>
      </c>
      <c r="Y265" s="354">
        <v>787687.81219974533</v>
      </c>
      <c r="Z265" s="355">
        <v>289.1658635094513</v>
      </c>
      <c r="AB265" s="366">
        <v>-462440.17463503941</v>
      </c>
      <c r="AC265" s="349">
        <v>-169.76511550478685</v>
      </c>
      <c r="AE265" s="374">
        <v>174.20937756596419</v>
      </c>
      <c r="AF265" s="350">
        <v>144.76511550478688</v>
      </c>
      <c r="AG265" s="350">
        <v>119.76511550478688</v>
      </c>
      <c r="AH265" s="350">
        <v>94.765115504786877</v>
      </c>
      <c r="AI265" s="350">
        <v>69.765115504786877</v>
      </c>
      <c r="AJ265" s="408">
        <v>-494</v>
      </c>
      <c r="AK265" s="387">
        <v>-18330</v>
      </c>
      <c r="AL265" s="287">
        <v>-139</v>
      </c>
      <c r="AM265" s="287">
        <v>-355</v>
      </c>
      <c r="AN265" s="287">
        <v>-6349</v>
      </c>
      <c r="AO265" s="287">
        <v>-11981</v>
      </c>
      <c r="AP265" s="287">
        <v>6717</v>
      </c>
      <c r="AQ265" s="287">
        <v>3570</v>
      </c>
      <c r="AR265" s="287">
        <v>3147</v>
      </c>
      <c r="AS265" s="287">
        <v>990</v>
      </c>
      <c r="AT265" s="287">
        <v>349</v>
      </c>
      <c r="AU265" s="287">
        <v>641</v>
      </c>
      <c r="AV265" s="353">
        <f t="shared" si="51"/>
        <v>11344.617788234784</v>
      </c>
      <c r="AW265" s="353">
        <f t="shared" si="52"/>
        <v>8211.1218850862151</v>
      </c>
      <c r="AX265" s="353">
        <f t="shared" si="53"/>
        <v>3133.4959031485691</v>
      </c>
      <c r="AY265" s="390">
        <v>474546</v>
      </c>
      <c r="AZ265" s="390">
        <v>474546</v>
      </c>
      <c r="BA265" s="401">
        <f t="shared" si="54"/>
        <v>956.06850360000021</v>
      </c>
      <c r="BB265" s="401">
        <v>-709</v>
      </c>
      <c r="BC265" s="401">
        <v>0</v>
      </c>
      <c r="BD265" s="401">
        <v>200</v>
      </c>
      <c r="BE265" s="401">
        <v>771</v>
      </c>
      <c r="BG265" s="426">
        <f t="shared" si="55"/>
        <v>0.33469615946488412</v>
      </c>
      <c r="BH265" s="426">
        <f t="shared" si="56"/>
        <v>4.9310246556340337E-2</v>
      </c>
      <c r="BI265" s="426">
        <f t="shared" si="57"/>
        <v>4.7639894698501405E-2</v>
      </c>
      <c r="BJ265" s="426">
        <f t="shared" si="58"/>
        <v>0.56556327778529691</v>
      </c>
      <c r="BK265" s="426">
        <f t="shared" si="59"/>
        <v>2.7904214949771495E-3</v>
      </c>
      <c r="BL265" s="425">
        <f t="shared" si="60"/>
        <v>20068652.746834785</v>
      </c>
      <c r="BN265" s="423">
        <f t="shared" si="61"/>
        <v>0.39667870113658593</v>
      </c>
      <c r="BO265" s="423">
        <f t="shared" si="62"/>
        <v>8.0785715201176916E-2</v>
      </c>
      <c r="BP265" s="423">
        <f t="shared" si="63"/>
        <v>0.12050948062378217</v>
      </c>
      <c r="BQ265" s="423">
        <f t="shared" si="64"/>
        <v>0.33515237570557782</v>
      </c>
      <c r="BR265" s="423">
        <f t="shared" si="65"/>
        <v>7.0586269598054358E-3</v>
      </c>
      <c r="BS265" s="423">
        <f t="shared" si="66"/>
        <v>5.9815100373071757E-2</v>
      </c>
      <c r="BT265" s="425">
        <f t="shared" si="67"/>
        <v>7933554.2618820565</v>
      </c>
    </row>
    <row r="266" spans="1:72" x14ac:dyDescent="0.2">
      <c r="A266" s="309">
        <v>777</v>
      </c>
      <c r="B266" s="278" t="s">
        <v>176</v>
      </c>
      <c r="C266" s="278">
        <v>18</v>
      </c>
      <c r="D266" s="279">
        <v>8336</v>
      </c>
      <c r="E266" s="364">
        <v>60121000</v>
      </c>
      <c r="F266" s="279">
        <v>21650423</v>
      </c>
      <c r="G266" s="278">
        <v>2307930.7799999998</v>
      </c>
      <c r="H266" s="279">
        <v>2590750.4449999998</v>
      </c>
      <c r="I266" s="279">
        <v>32525246.760802105</v>
      </c>
      <c r="J266" s="279">
        <v>-348020</v>
      </c>
      <c r="K266" s="279">
        <v>1067000</v>
      </c>
      <c r="L266" s="280">
        <v>296288.06835847278</v>
      </c>
      <c r="M266" s="369">
        <v>-623957.08255636622</v>
      </c>
      <c r="N266" s="370">
        <v>-74.850897619525696</v>
      </c>
      <c r="P266" s="365">
        <v>22137234.51242236</v>
      </c>
      <c r="Q266" s="283">
        <v>9427253</v>
      </c>
      <c r="R266" s="279">
        <v>2590750.4449999998</v>
      </c>
      <c r="S266" s="279">
        <v>1494754.1142715886</v>
      </c>
      <c r="T266" s="280">
        <v>8477174.7761713788</v>
      </c>
      <c r="U266" s="280">
        <v>-215838.77100104294</v>
      </c>
      <c r="V266" s="279">
        <v>-348020</v>
      </c>
      <c r="W266" s="279">
        <v>1067000</v>
      </c>
      <c r="X266" s="279">
        <v>101990.6824295041</v>
      </c>
      <c r="Y266" s="354">
        <v>457829.73444906622</v>
      </c>
      <c r="Z266" s="355">
        <v>54.921993096097196</v>
      </c>
      <c r="AB266" s="366">
        <v>1081786.8170054324</v>
      </c>
      <c r="AC266" s="349">
        <v>129.77289071562291</v>
      </c>
      <c r="AE266" s="374">
        <v>-125.32862865444557</v>
      </c>
      <c r="AF266" s="350">
        <v>-104.77289071562291</v>
      </c>
      <c r="AG266" s="350">
        <v>-79.772890715622907</v>
      </c>
      <c r="AH266" s="350">
        <v>-54.772890715622907</v>
      </c>
      <c r="AI266" s="350">
        <v>-29.772890715622907</v>
      </c>
      <c r="AJ266" s="408">
        <v>-3890</v>
      </c>
      <c r="AK266" s="387">
        <v>-56231</v>
      </c>
      <c r="AL266" s="287">
        <v>0</v>
      </c>
      <c r="AM266" s="287">
        <v>-3890</v>
      </c>
      <c r="AN266" s="287">
        <v>-18247</v>
      </c>
      <c r="AO266" s="287">
        <v>-37984</v>
      </c>
      <c r="AP266" s="287">
        <v>21650</v>
      </c>
      <c r="AQ266" s="287">
        <v>12223</v>
      </c>
      <c r="AR266" s="287">
        <v>9427</v>
      </c>
      <c r="AS266" s="287">
        <v>2308</v>
      </c>
      <c r="AT266" s="287">
        <v>813</v>
      </c>
      <c r="AU266" s="287">
        <v>1495</v>
      </c>
      <c r="AV266" s="353">
        <f t="shared" si="51"/>
        <v>32473.51482916058</v>
      </c>
      <c r="AW266" s="353">
        <f t="shared" si="52"/>
        <v>25604.938272453703</v>
      </c>
      <c r="AX266" s="353">
        <f t="shared" si="53"/>
        <v>6868.5765567068775</v>
      </c>
      <c r="AY266" s="390">
        <v>1044739</v>
      </c>
      <c r="AZ266" s="390">
        <v>-1044739</v>
      </c>
      <c r="BA266" s="401">
        <f t="shared" si="54"/>
        <v>2590.7504449999997</v>
      </c>
      <c r="BB266" s="401">
        <v>-5401</v>
      </c>
      <c r="BC266" s="401">
        <v>0</v>
      </c>
      <c r="BD266" s="401">
        <v>0</v>
      </c>
      <c r="BE266" s="401">
        <v>-3823</v>
      </c>
      <c r="BG266" s="426">
        <f t="shared" si="55"/>
        <v>0.36208758808136782</v>
      </c>
      <c r="BH266" s="426">
        <f t="shared" si="56"/>
        <v>3.8598464777752833E-2</v>
      </c>
      <c r="BI266" s="426">
        <f t="shared" si="57"/>
        <v>4.3328418107617589E-2</v>
      </c>
      <c r="BJ266" s="426">
        <f t="shared" si="58"/>
        <v>0.53814072958140713</v>
      </c>
      <c r="BK266" s="426">
        <f t="shared" si="59"/>
        <v>1.7844799451854566E-2</v>
      </c>
      <c r="BL266" s="425">
        <f t="shared" si="60"/>
        <v>59793330.985802107</v>
      </c>
      <c r="BN266" s="423">
        <f t="shared" si="61"/>
        <v>0.4395331100785555</v>
      </c>
      <c r="BO266" s="423">
        <f t="shared" si="62"/>
        <v>6.9690918939855323E-2</v>
      </c>
      <c r="BP266" s="423">
        <f t="shared" si="63"/>
        <v>0.12079028753426387</v>
      </c>
      <c r="BQ266" s="423">
        <f t="shared" si="64"/>
        <v>0.36894781489230516</v>
      </c>
      <c r="BR266" s="423">
        <f t="shared" si="65"/>
        <v>4.9747453309444301E-2</v>
      </c>
      <c r="BS266" s="423">
        <f t="shared" si="66"/>
        <v>-4.8709584754424065E-2</v>
      </c>
      <c r="BT266" s="425">
        <f t="shared" si="67"/>
        <v>21448334.115978464</v>
      </c>
    </row>
    <row r="267" spans="1:72" x14ac:dyDescent="0.2">
      <c r="A267" s="309">
        <v>778</v>
      </c>
      <c r="B267" s="278" t="s">
        <v>177</v>
      </c>
      <c r="C267" s="278">
        <v>11</v>
      </c>
      <c r="D267" s="279">
        <v>7390</v>
      </c>
      <c r="E267" s="364">
        <v>47649000</v>
      </c>
      <c r="F267" s="279">
        <v>21030742</v>
      </c>
      <c r="G267" s="278">
        <v>1501310.78</v>
      </c>
      <c r="H267" s="279">
        <v>1819615.7079999999</v>
      </c>
      <c r="I267" s="279">
        <v>24747250.280990053</v>
      </c>
      <c r="J267" s="279">
        <v>-89331</v>
      </c>
      <c r="K267" s="279">
        <v>163000</v>
      </c>
      <c r="L267" s="280">
        <v>-14853.899999999998</v>
      </c>
      <c r="M267" s="369">
        <v>1538441.6689900546</v>
      </c>
      <c r="N267" s="370">
        <v>208.1788456008193</v>
      </c>
      <c r="P267" s="365">
        <v>16333041.917509254</v>
      </c>
      <c r="Q267" s="283">
        <v>9869244</v>
      </c>
      <c r="R267" s="279">
        <v>1819615.7079999999</v>
      </c>
      <c r="S267" s="279">
        <v>972338.72205009894</v>
      </c>
      <c r="T267" s="280">
        <v>4624092.1190768667</v>
      </c>
      <c r="U267" s="280">
        <v>375087.23794762639</v>
      </c>
      <c r="V267" s="279">
        <v>-89331</v>
      </c>
      <c r="W267" s="279">
        <v>163000</v>
      </c>
      <c r="X267" s="279">
        <v>88861.264665437702</v>
      </c>
      <c r="Y267" s="354">
        <v>1489866.1342307776</v>
      </c>
      <c r="Z267" s="355">
        <v>201.60570151972632</v>
      </c>
      <c r="AB267" s="366">
        <v>-48575.534759277012</v>
      </c>
      <c r="AC267" s="349">
        <v>-6.5731440810929653</v>
      </c>
      <c r="AE267" s="374">
        <v>11.017406142269323</v>
      </c>
      <c r="AF267" s="350">
        <v>0</v>
      </c>
      <c r="AG267" s="350">
        <v>0</v>
      </c>
      <c r="AH267" s="350">
        <v>0</v>
      </c>
      <c r="AI267" s="350">
        <v>0</v>
      </c>
      <c r="AJ267" s="408">
        <v>-2600</v>
      </c>
      <c r="AK267" s="387">
        <v>-45049</v>
      </c>
      <c r="AL267" s="287">
        <v>-158</v>
      </c>
      <c r="AM267" s="287">
        <v>-2442</v>
      </c>
      <c r="AN267" s="287">
        <v>-13891</v>
      </c>
      <c r="AO267" s="287">
        <v>-31158</v>
      </c>
      <c r="AP267" s="287">
        <v>21031</v>
      </c>
      <c r="AQ267" s="287">
        <v>11162</v>
      </c>
      <c r="AR267" s="287">
        <v>9869</v>
      </c>
      <c r="AS267" s="287">
        <v>1501</v>
      </c>
      <c r="AT267" s="287">
        <v>529</v>
      </c>
      <c r="AU267" s="287">
        <v>972</v>
      </c>
      <c r="AV267" s="353">
        <f t="shared" si="51"/>
        <v>24643.065380990054</v>
      </c>
      <c r="AW267" s="353">
        <f t="shared" si="52"/>
        <v>19651.79839257419</v>
      </c>
      <c r="AX267" s="353">
        <f t="shared" si="53"/>
        <v>4991.2669884158631</v>
      </c>
      <c r="AY267" s="390">
        <v>81419</v>
      </c>
      <c r="AZ267" s="390">
        <v>81419</v>
      </c>
      <c r="BA267" s="401">
        <f t="shared" si="54"/>
        <v>1819.6157079999998</v>
      </c>
      <c r="BB267" s="401">
        <v>-3750</v>
      </c>
      <c r="BC267" s="401">
        <v>209</v>
      </c>
      <c r="BD267" s="401">
        <v>50</v>
      </c>
      <c r="BE267" s="401">
        <v>3491</v>
      </c>
      <c r="BG267" s="426">
        <f t="shared" si="55"/>
        <v>0.42769239843144308</v>
      </c>
      <c r="BH267" s="426">
        <f t="shared" si="56"/>
        <v>3.0531457629463601E-2</v>
      </c>
      <c r="BI267" s="426">
        <f t="shared" si="57"/>
        <v>3.7004676600476023E-2</v>
      </c>
      <c r="BJ267" s="426">
        <f t="shared" si="58"/>
        <v>0.50145661230666805</v>
      </c>
      <c r="BK267" s="426">
        <f t="shared" si="59"/>
        <v>3.3148550319491927E-3</v>
      </c>
      <c r="BL267" s="425">
        <f t="shared" si="60"/>
        <v>49172587.768990055</v>
      </c>
      <c r="BN267" s="423">
        <f t="shared" si="61"/>
        <v>0.55397059623098022</v>
      </c>
      <c r="BO267" s="423">
        <f t="shared" si="62"/>
        <v>5.457835084354614E-2</v>
      </c>
      <c r="BP267" s="423">
        <f t="shared" si="63"/>
        <v>0.10213686060168511</v>
      </c>
      <c r="BQ267" s="423">
        <f t="shared" si="64"/>
        <v>0.27559472860784034</v>
      </c>
      <c r="BR267" s="423">
        <f t="shared" si="65"/>
        <v>9.1493540118827519E-3</v>
      </c>
      <c r="BS267" s="423">
        <f t="shared" si="66"/>
        <v>4.5701097040652559E-3</v>
      </c>
      <c r="BT267" s="425">
        <f t="shared" si="67"/>
        <v>17815465.418465964</v>
      </c>
    </row>
    <row r="268" spans="1:72" x14ac:dyDescent="0.2">
      <c r="A268" s="309">
        <v>781</v>
      </c>
      <c r="B268" s="278" t="s">
        <v>178</v>
      </c>
      <c r="C268" s="278">
        <v>7</v>
      </c>
      <c r="D268" s="279">
        <v>4040</v>
      </c>
      <c r="E268" s="364">
        <v>25731000</v>
      </c>
      <c r="F268" s="279">
        <v>9032699</v>
      </c>
      <c r="G268" s="278">
        <v>1226418.125</v>
      </c>
      <c r="H268" s="279">
        <v>2036125.3174999999</v>
      </c>
      <c r="I268" s="279">
        <v>14568230.754524553</v>
      </c>
      <c r="J268" s="279">
        <v>-287655</v>
      </c>
      <c r="K268" s="279">
        <v>89000</v>
      </c>
      <c r="L268" s="280">
        <v>-8120.3999999999987</v>
      </c>
      <c r="M268" s="369">
        <v>941938.59702455404</v>
      </c>
      <c r="N268" s="370">
        <v>233.15311807538467</v>
      </c>
      <c r="P268" s="365">
        <v>9470705.2168178074</v>
      </c>
      <c r="Q268" s="283">
        <v>3488982</v>
      </c>
      <c r="R268" s="279">
        <v>2036125.3174999999</v>
      </c>
      <c r="S268" s="279">
        <v>794301.78497857612</v>
      </c>
      <c r="T268" s="280">
        <v>1513350.5155151046</v>
      </c>
      <c r="U268" s="280">
        <v>1408649.5621176823</v>
      </c>
      <c r="V268" s="279">
        <v>-287655</v>
      </c>
      <c r="W268" s="279">
        <v>89000</v>
      </c>
      <c r="X268" s="279">
        <v>48188.377589366806</v>
      </c>
      <c r="Y268" s="354">
        <v>-379762.65911707655</v>
      </c>
      <c r="Z268" s="355">
        <v>-94.000658197296175</v>
      </c>
      <c r="AB268" s="366">
        <v>-1321701.2561416305</v>
      </c>
      <c r="AC268" s="349">
        <v>-327.15377627268083</v>
      </c>
      <c r="AE268" s="374">
        <v>331.59803833385723</v>
      </c>
      <c r="AF268" s="350">
        <v>302.15377627267992</v>
      </c>
      <c r="AG268" s="350">
        <v>277.15377627267992</v>
      </c>
      <c r="AH268" s="350">
        <v>252.15377627267992</v>
      </c>
      <c r="AI268" s="350">
        <v>227.15377627267992</v>
      </c>
      <c r="AJ268" s="408">
        <v>-909</v>
      </c>
      <c r="AK268" s="387">
        <v>-24822</v>
      </c>
      <c r="AL268" s="287">
        <v>-69</v>
      </c>
      <c r="AM268" s="287">
        <v>-840</v>
      </c>
      <c r="AN268" s="287">
        <v>-8631</v>
      </c>
      <c r="AO268" s="287">
        <v>-16191</v>
      </c>
      <c r="AP268" s="287">
        <v>9033</v>
      </c>
      <c r="AQ268" s="287">
        <v>5544</v>
      </c>
      <c r="AR268" s="287">
        <v>3489</v>
      </c>
      <c r="AS268" s="287">
        <v>1226</v>
      </c>
      <c r="AT268" s="287">
        <v>432</v>
      </c>
      <c r="AU268" s="287">
        <v>794</v>
      </c>
      <c r="AV268" s="353">
        <f t="shared" si="51"/>
        <v>14272.455354524553</v>
      </c>
      <c r="AW268" s="353">
        <f t="shared" si="52"/>
        <v>10298.454202022982</v>
      </c>
      <c r="AX268" s="353">
        <f t="shared" si="53"/>
        <v>3974.0011525015702</v>
      </c>
      <c r="AY268" s="390">
        <v>1339656</v>
      </c>
      <c r="AZ268" s="390">
        <v>1339656</v>
      </c>
      <c r="BA268" s="401">
        <f t="shared" si="54"/>
        <v>2036.1253174999999</v>
      </c>
      <c r="BB268" s="401">
        <v>-3405</v>
      </c>
      <c r="BC268" s="401">
        <v>48</v>
      </c>
      <c r="BD268" s="401">
        <v>0</v>
      </c>
      <c r="BE268" s="401">
        <v>-1760</v>
      </c>
      <c r="BG268" s="426">
        <f t="shared" si="55"/>
        <v>0.33874969381969877</v>
      </c>
      <c r="BH268" s="426">
        <f t="shared" si="56"/>
        <v>4.599386787256822E-2</v>
      </c>
      <c r="BI268" s="426">
        <f t="shared" si="57"/>
        <v>7.6359992498550203E-2</v>
      </c>
      <c r="BJ268" s="426">
        <f t="shared" si="58"/>
        <v>0.53555871444561653</v>
      </c>
      <c r="BK268" s="426">
        <f t="shared" si="59"/>
        <v>3.3377313635662154E-3</v>
      </c>
      <c r="BL268" s="425">
        <f t="shared" si="60"/>
        <v>26664818.197024554</v>
      </c>
      <c r="BN268" s="423">
        <f t="shared" si="61"/>
        <v>0.33604740270463063</v>
      </c>
      <c r="BO268" s="423">
        <f t="shared" si="62"/>
        <v>7.6504565459409785E-2</v>
      </c>
      <c r="BP268" s="423">
        <f t="shared" si="63"/>
        <v>0.19611297063929145</v>
      </c>
      <c r="BQ268" s="423">
        <f t="shared" si="64"/>
        <v>0.25373155297626254</v>
      </c>
      <c r="BR268" s="423">
        <f t="shared" si="65"/>
        <v>8.5721906391927859E-3</v>
      </c>
      <c r="BS268" s="423">
        <f t="shared" si="66"/>
        <v>0.12903131758121272</v>
      </c>
      <c r="BT268" s="425">
        <f t="shared" si="67"/>
        <v>10382410.254980147</v>
      </c>
    </row>
    <row r="269" spans="1:72" x14ac:dyDescent="0.2">
      <c r="A269" s="300">
        <v>783</v>
      </c>
      <c r="B269" s="292" t="s">
        <v>179</v>
      </c>
      <c r="C269" s="292">
        <v>4</v>
      </c>
      <c r="D269" s="332">
        <v>7070</v>
      </c>
      <c r="E269" s="364">
        <v>38861000</v>
      </c>
      <c r="F269" s="279">
        <v>25185098</v>
      </c>
      <c r="G269" s="278">
        <v>1435845.5999999999</v>
      </c>
      <c r="H269" s="279">
        <v>1910937.7768000001</v>
      </c>
      <c r="I269" s="279">
        <v>12312375.93983791</v>
      </c>
      <c r="J269" s="279">
        <v>-608449</v>
      </c>
      <c r="K269" s="279">
        <v>81000</v>
      </c>
      <c r="L269" s="280">
        <v>178966.68042121566</v>
      </c>
      <c r="M269" s="369">
        <v>1276841.6362166952</v>
      </c>
      <c r="N269" s="370">
        <v>180.59994854550143</v>
      </c>
      <c r="O269" s="332"/>
      <c r="P269" s="365">
        <v>13219049.204819277</v>
      </c>
      <c r="Q269" s="283">
        <v>11429165</v>
      </c>
      <c r="R269" s="279">
        <v>1910937.7768000001</v>
      </c>
      <c r="S269" s="279">
        <v>929939.55306526029</v>
      </c>
      <c r="T269" s="280">
        <v>2254962.7695331187</v>
      </c>
      <c r="U269" s="280">
        <v>-822589.21970970987</v>
      </c>
      <c r="V269" s="279">
        <v>-608449</v>
      </c>
      <c r="W269" s="279">
        <v>81000</v>
      </c>
      <c r="X269" s="279">
        <v>91266.422503993439</v>
      </c>
      <c r="Y269" s="354">
        <v>2047184.097373385</v>
      </c>
      <c r="Z269" s="355">
        <v>289.55927827063437</v>
      </c>
      <c r="AB269" s="366">
        <v>770342.46115668979</v>
      </c>
      <c r="AC269" s="349">
        <v>108.95932972513293</v>
      </c>
      <c r="AE269" s="374">
        <v>-104.51506766395559</v>
      </c>
      <c r="AF269" s="350">
        <v>-83.959329725132932</v>
      </c>
      <c r="AG269" s="350">
        <v>-58.959329725132932</v>
      </c>
      <c r="AH269" s="350">
        <v>-33.959329725132932</v>
      </c>
      <c r="AI269" s="350">
        <v>-8.9593297251329318</v>
      </c>
      <c r="AJ269" s="408">
        <v>-2182</v>
      </c>
      <c r="AK269" s="387">
        <v>-36679</v>
      </c>
      <c r="AL269" s="287">
        <v>-68</v>
      </c>
      <c r="AM269" s="287">
        <v>-2114</v>
      </c>
      <c r="AN269" s="287">
        <v>-11105</v>
      </c>
      <c r="AO269" s="287">
        <v>-25574</v>
      </c>
      <c r="AP269" s="287">
        <v>25185</v>
      </c>
      <c r="AQ269" s="287">
        <v>13756</v>
      </c>
      <c r="AR269" s="287">
        <v>11429</v>
      </c>
      <c r="AS269" s="287">
        <v>1436</v>
      </c>
      <c r="AT269" s="287">
        <v>506</v>
      </c>
      <c r="AU269" s="287">
        <v>930</v>
      </c>
      <c r="AV269" s="353">
        <f t="shared" si="51"/>
        <v>11882.893620259127</v>
      </c>
      <c r="AW269" s="353">
        <f t="shared" si="52"/>
        <v>11797.890598819884</v>
      </c>
      <c r="AX269" s="353">
        <f t="shared" si="53"/>
        <v>85.003021439242872</v>
      </c>
      <c r="AY269" s="390">
        <v>738922</v>
      </c>
      <c r="AZ269" s="390">
        <v>-738922</v>
      </c>
      <c r="BA269" s="401">
        <f t="shared" si="54"/>
        <v>1910.9377768000002</v>
      </c>
      <c r="BB269" s="401">
        <v>-3129</v>
      </c>
      <c r="BC269" s="401">
        <v>610</v>
      </c>
      <c r="BD269" s="401">
        <v>240</v>
      </c>
      <c r="BE269" s="401">
        <v>445</v>
      </c>
      <c r="BG269" s="426">
        <f t="shared" si="55"/>
        <v>0.6246798556622507</v>
      </c>
      <c r="BH269" s="426">
        <f t="shared" si="56"/>
        <v>3.5614069167460766E-2</v>
      </c>
      <c r="BI269" s="426">
        <f t="shared" si="57"/>
        <v>4.7398042071981075E-2</v>
      </c>
      <c r="BJ269" s="426">
        <f t="shared" si="58"/>
        <v>0.29029894548988744</v>
      </c>
      <c r="BK269" s="426">
        <f t="shared" si="59"/>
        <v>2.0090876084199595E-3</v>
      </c>
      <c r="BL269" s="425">
        <f t="shared" si="60"/>
        <v>40316808.316637911</v>
      </c>
      <c r="BN269" s="423">
        <f t="shared" si="61"/>
        <v>0.79171024486752606</v>
      </c>
      <c r="BO269" s="423">
        <f t="shared" si="62"/>
        <v>6.4417888032003656E-2</v>
      </c>
      <c r="BP269" s="423">
        <f t="shared" si="63"/>
        <v>0.13237266372450954</v>
      </c>
      <c r="BQ269" s="423">
        <f t="shared" si="64"/>
        <v>5.7074117583660509E-2</v>
      </c>
      <c r="BR269" s="423">
        <f t="shared" si="65"/>
        <v>5.6109549415263157E-3</v>
      </c>
      <c r="BS269" s="423">
        <f t="shared" si="66"/>
        <v>-5.1185869149226106E-2</v>
      </c>
      <c r="BT269" s="425">
        <f t="shared" si="67"/>
        <v>14436045.351304503</v>
      </c>
    </row>
    <row r="270" spans="1:72" x14ac:dyDescent="0.2">
      <c r="A270" s="309">
        <v>831</v>
      </c>
      <c r="B270" s="278" t="s">
        <v>183</v>
      </c>
      <c r="C270" s="278">
        <v>9</v>
      </c>
      <c r="D270" s="279">
        <v>4815</v>
      </c>
      <c r="E270" s="364">
        <v>25676000</v>
      </c>
      <c r="F270" s="279">
        <v>16645588</v>
      </c>
      <c r="G270" s="278">
        <v>707964.98</v>
      </c>
      <c r="H270" s="279">
        <v>1736387.304</v>
      </c>
      <c r="I270" s="279">
        <v>6981241.4467084212</v>
      </c>
      <c r="J270" s="279">
        <v>-831822</v>
      </c>
      <c r="K270" s="279">
        <v>-96000</v>
      </c>
      <c r="L270" s="280">
        <v>-9678.15</v>
      </c>
      <c r="M270" s="369">
        <v>-522962.11929157597</v>
      </c>
      <c r="N270" s="370">
        <v>-108.61103204394101</v>
      </c>
      <c r="P270" s="365">
        <v>12231302.094972067</v>
      </c>
      <c r="Q270" s="283">
        <v>6967828</v>
      </c>
      <c r="R270" s="279">
        <v>1736387.304</v>
      </c>
      <c r="S270" s="279">
        <v>458520.49627554382</v>
      </c>
      <c r="T270" s="280">
        <v>3215888.1657007961</v>
      </c>
      <c r="U270" s="280">
        <v>116295.32018888908</v>
      </c>
      <c r="V270" s="279">
        <v>-831822</v>
      </c>
      <c r="W270" s="279">
        <v>-96000</v>
      </c>
      <c r="X270" s="279">
        <v>60778.138017919438</v>
      </c>
      <c r="Y270" s="354">
        <v>-603426.67078891955</v>
      </c>
      <c r="Z270" s="355">
        <v>-125.32225769240281</v>
      </c>
      <c r="AB270" s="366">
        <v>-80464.551497343578</v>
      </c>
      <c r="AC270" s="349">
        <v>-16.711225648461802</v>
      </c>
      <c r="AE270" s="374">
        <v>21.155487709639132</v>
      </c>
      <c r="AF270" s="350">
        <v>0</v>
      </c>
      <c r="AG270" s="350">
        <v>0</v>
      </c>
      <c r="AH270" s="350">
        <v>0</v>
      </c>
      <c r="AI270" s="350">
        <v>0</v>
      </c>
      <c r="AJ270" s="408">
        <v>-1900</v>
      </c>
      <c r="AK270" s="387">
        <v>-23776</v>
      </c>
      <c r="AL270" s="287">
        <v>0</v>
      </c>
      <c r="AM270" s="287">
        <v>-1900</v>
      </c>
      <c r="AN270" s="287">
        <v>-10331</v>
      </c>
      <c r="AO270" s="287">
        <v>-13445</v>
      </c>
      <c r="AP270" s="287">
        <v>16646</v>
      </c>
      <c r="AQ270" s="287">
        <v>9678</v>
      </c>
      <c r="AR270" s="287">
        <v>6968</v>
      </c>
      <c r="AS270" s="287">
        <v>708</v>
      </c>
      <c r="AT270" s="287">
        <v>249</v>
      </c>
      <c r="AU270" s="287">
        <v>459</v>
      </c>
      <c r="AV270" s="353">
        <f t="shared" si="51"/>
        <v>6139.741296708421</v>
      </c>
      <c r="AW270" s="353">
        <f t="shared" si="52"/>
        <v>3537.5161374968229</v>
      </c>
      <c r="AX270" s="353">
        <f t="shared" si="53"/>
        <v>2602.2251592115981</v>
      </c>
      <c r="AY270" s="390">
        <v>101864</v>
      </c>
      <c r="AZ270" s="390">
        <v>101864</v>
      </c>
      <c r="BA270" s="401">
        <f t="shared" si="54"/>
        <v>1736.3873040000001</v>
      </c>
      <c r="BB270" s="401">
        <v>-1465</v>
      </c>
      <c r="BC270" s="401">
        <v>25</v>
      </c>
      <c r="BD270" s="401">
        <v>100</v>
      </c>
      <c r="BE270" s="401">
        <v>-334</v>
      </c>
      <c r="BG270" s="426">
        <f t="shared" si="55"/>
        <v>0.66202719836483059</v>
      </c>
      <c r="BH270" s="426">
        <f t="shared" si="56"/>
        <v>2.8157135227053157E-2</v>
      </c>
      <c r="BI270" s="426">
        <f t="shared" si="57"/>
        <v>6.9059478231912358E-2</v>
      </c>
      <c r="BJ270" s="426">
        <f t="shared" si="58"/>
        <v>0.2445742936731693</v>
      </c>
      <c r="BK270" s="426">
        <f t="shared" si="59"/>
        <v>-3.8181054969655464E-3</v>
      </c>
      <c r="BL270" s="425">
        <f t="shared" si="60"/>
        <v>25143359.730708424</v>
      </c>
      <c r="BN270" s="423">
        <f t="shared" si="61"/>
        <v>0.59712497318238023</v>
      </c>
      <c r="BO270" s="423">
        <f t="shared" si="62"/>
        <v>3.9294029508493283E-2</v>
      </c>
      <c r="BP270" s="423">
        <f t="shared" si="63"/>
        <v>0.14880393464580718</v>
      </c>
      <c r="BQ270" s="423">
        <f t="shared" si="64"/>
        <v>0.21427456091168362</v>
      </c>
      <c r="BR270" s="423">
        <f t="shared" si="65"/>
        <v>-8.2269535679566855E-3</v>
      </c>
      <c r="BS270" s="423">
        <f t="shared" si="66"/>
        <v>8.7294553195925179E-3</v>
      </c>
      <c r="BT270" s="425">
        <f t="shared" si="67"/>
        <v>11668960.95948714</v>
      </c>
    </row>
    <row r="271" spans="1:72" x14ac:dyDescent="0.2">
      <c r="A271" s="309">
        <v>832</v>
      </c>
      <c r="B271" s="278" t="s">
        <v>184</v>
      </c>
      <c r="C271" s="278">
        <v>17</v>
      </c>
      <c r="D271" s="279">
        <v>4199</v>
      </c>
      <c r="E271" s="364">
        <v>29658000</v>
      </c>
      <c r="F271" s="279">
        <v>10103411</v>
      </c>
      <c r="G271" s="278">
        <v>1063644.2550000001</v>
      </c>
      <c r="H271" s="279">
        <v>857615.45010000002</v>
      </c>
      <c r="I271" s="279">
        <v>18415137.872874349</v>
      </c>
      <c r="J271" s="279">
        <v>14720</v>
      </c>
      <c r="K271" s="279">
        <v>97000</v>
      </c>
      <c r="L271" s="280">
        <v>-8439.99</v>
      </c>
      <c r="M271" s="369">
        <v>901968.56797434925</v>
      </c>
      <c r="N271" s="370">
        <v>214.80556512844706</v>
      </c>
      <c r="P271" s="365">
        <v>14124136.274515236</v>
      </c>
      <c r="Q271" s="283">
        <v>4404821</v>
      </c>
      <c r="R271" s="279">
        <v>857615.45010000002</v>
      </c>
      <c r="S271" s="279">
        <v>688879.68394034286</v>
      </c>
      <c r="T271" s="280">
        <v>6545398.2984230323</v>
      </c>
      <c r="U271" s="280">
        <v>1865720.0403742122</v>
      </c>
      <c r="V271" s="279">
        <v>14720</v>
      </c>
      <c r="W271" s="279">
        <v>97000</v>
      </c>
      <c r="X271" s="279">
        <v>49201.981826507836</v>
      </c>
      <c r="Y271" s="354">
        <v>399220.18014885858</v>
      </c>
      <c r="Z271" s="355">
        <v>95.075060764195896</v>
      </c>
      <c r="AB271" s="366">
        <v>-502748.38782549067</v>
      </c>
      <c r="AC271" s="349">
        <v>-119.73050436425117</v>
      </c>
      <c r="AE271" s="374">
        <v>124.17476642542941</v>
      </c>
      <c r="AF271" s="350">
        <v>94.73050436425207</v>
      </c>
      <c r="AG271" s="350">
        <v>69.73050436425207</v>
      </c>
      <c r="AH271" s="350">
        <v>44.73050436425207</v>
      </c>
      <c r="AI271" s="350">
        <v>19.73050436425207</v>
      </c>
      <c r="AJ271" s="408">
        <v>-1880</v>
      </c>
      <c r="AK271" s="387">
        <v>-27778</v>
      </c>
      <c r="AL271" s="287">
        <v>-145</v>
      </c>
      <c r="AM271" s="287">
        <v>-1735</v>
      </c>
      <c r="AN271" s="287">
        <v>-12389</v>
      </c>
      <c r="AO271" s="287">
        <v>-15389</v>
      </c>
      <c r="AP271" s="287">
        <v>10103</v>
      </c>
      <c r="AQ271" s="287">
        <v>5698</v>
      </c>
      <c r="AR271" s="287">
        <v>4405</v>
      </c>
      <c r="AS271" s="287">
        <v>1064</v>
      </c>
      <c r="AT271" s="287">
        <v>375</v>
      </c>
      <c r="AU271" s="287">
        <v>689</v>
      </c>
      <c r="AV271" s="353">
        <f t="shared" si="51"/>
        <v>18421.41788287435</v>
      </c>
      <c r="AW271" s="353">
        <f t="shared" si="52"/>
        <v>9474.1696998567277</v>
      </c>
      <c r="AX271" s="353">
        <f t="shared" si="53"/>
        <v>8947.2481830176221</v>
      </c>
      <c r="AY271" s="390">
        <v>521410</v>
      </c>
      <c r="AZ271" s="390">
        <v>521410</v>
      </c>
      <c r="BA271" s="401">
        <f t="shared" si="54"/>
        <v>857.61545010000009</v>
      </c>
      <c r="BB271" s="401">
        <v>-3407</v>
      </c>
      <c r="BC271" s="401">
        <v>407</v>
      </c>
      <c r="BD271" s="401">
        <v>0</v>
      </c>
      <c r="BE271" s="401">
        <v>-1304</v>
      </c>
      <c r="BG271" s="426">
        <f t="shared" si="55"/>
        <v>0.3307006709734287</v>
      </c>
      <c r="BH271" s="426">
        <f t="shared" si="56"/>
        <v>3.48147639253251E-2</v>
      </c>
      <c r="BI271" s="426">
        <f t="shared" si="57"/>
        <v>2.8071114278657879E-2</v>
      </c>
      <c r="BJ271" s="426">
        <f t="shared" si="58"/>
        <v>0.60323848693322235</v>
      </c>
      <c r="BK271" s="426">
        <f t="shared" si="59"/>
        <v>3.1749638893659366E-3</v>
      </c>
      <c r="BL271" s="425">
        <f t="shared" si="60"/>
        <v>30551528.577974349</v>
      </c>
      <c r="BN271" s="423">
        <f t="shared" si="61"/>
        <v>0.29374159630587338</v>
      </c>
      <c r="BO271" s="423">
        <f t="shared" si="62"/>
        <v>4.5938896954796082E-2</v>
      </c>
      <c r="BP271" s="423">
        <f t="shared" si="63"/>
        <v>5.7191275497677226E-2</v>
      </c>
      <c r="BQ271" s="423">
        <f t="shared" si="64"/>
        <v>0.56188871326519985</v>
      </c>
      <c r="BR271" s="423">
        <f t="shared" si="65"/>
        <v>6.4685795045178263E-3</v>
      </c>
      <c r="BS271" s="423">
        <f t="shared" si="66"/>
        <v>3.4770938471935776E-2</v>
      </c>
      <c r="BT271" s="425">
        <f t="shared" si="67"/>
        <v>14995564.317057963</v>
      </c>
    </row>
    <row r="272" spans="1:72" x14ac:dyDescent="0.2">
      <c r="A272" s="309">
        <v>834</v>
      </c>
      <c r="B272" s="278" t="s">
        <v>185</v>
      </c>
      <c r="C272" s="278">
        <v>5</v>
      </c>
      <c r="D272" s="279">
        <v>6280</v>
      </c>
      <c r="E272" s="364">
        <v>34561000</v>
      </c>
      <c r="F272" s="279">
        <v>18744736</v>
      </c>
      <c r="G272" s="278">
        <v>1082692.2050000001</v>
      </c>
      <c r="H272" s="279">
        <v>1569829.1823</v>
      </c>
      <c r="I272" s="279">
        <v>13747504.206645016</v>
      </c>
      <c r="J272" s="279">
        <v>-1416906</v>
      </c>
      <c r="K272" s="279">
        <v>-21000</v>
      </c>
      <c r="L272" s="280">
        <v>-12622.8</v>
      </c>
      <c r="M272" s="369">
        <v>-841521.60605498846</v>
      </c>
      <c r="N272" s="370">
        <v>-134.00025574124021</v>
      </c>
      <c r="P272" s="365">
        <v>15047000.610389609</v>
      </c>
      <c r="Q272" s="283">
        <v>7843804</v>
      </c>
      <c r="R272" s="279">
        <v>1569829.1823</v>
      </c>
      <c r="S272" s="279">
        <v>701216.2764749506</v>
      </c>
      <c r="T272" s="280">
        <v>4203025.2182822404</v>
      </c>
      <c r="U272" s="280">
        <v>921574.12400088413</v>
      </c>
      <c r="V272" s="279">
        <v>-1416906</v>
      </c>
      <c r="W272" s="279">
        <v>-21000</v>
      </c>
      <c r="X272" s="279">
        <v>78313.939440665039</v>
      </c>
      <c r="Y272" s="354">
        <v>-1167143.8698908668</v>
      </c>
      <c r="Z272" s="355">
        <v>-185.85093469599789</v>
      </c>
      <c r="AB272" s="366">
        <v>-325622.26383587834</v>
      </c>
      <c r="AC272" s="349">
        <v>-51.850678954757697</v>
      </c>
      <c r="AE272" s="374">
        <v>56.294941015935024</v>
      </c>
      <c r="AF272" s="350">
        <v>26.850678954757683</v>
      </c>
      <c r="AG272" s="350">
        <v>1.850678954757683</v>
      </c>
      <c r="AH272" s="350">
        <v>0</v>
      </c>
      <c r="AI272" s="350">
        <v>0</v>
      </c>
      <c r="AJ272" s="408">
        <v>-2275</v>
      </c>
      <c r="AK272" s="387">
        <v>-32286</v>
      </c>
      <c r="AL272" s="287">
        <v>-5</v>
      </c>
      <c r="AM272" s="287">
        <v>-2270</v>
      </c>
      <c r="AN272" s="287">
        <v>-12777</v>
      </c>
      <c r="AO272" s="287">
        <v>-19509</v>
      </c>
      <c r="AP272" s="287">
        <v>18745</v>
      </c>
      <c r="AQ272" s="287">
        <v>10901</v>
      </c>
      <c r="AR272" s="287">
        <v>7844</v>
      </c>
      <c r="AS272" s="287">
        <v>1083</v>
      </c>
      <c r="AT272" s="287">
        <v>382</v>
      </c>
      <c r="AU272" s="287">
        <v>701</v>
      </c>
      <c r="AV272" s="353">
        <f t="shared" si="51"/>
        <v>12317.975406645015</v>
      </c>
      <c r="AW272" s="353">
        <f t="shared" si="52"/>
        <v>8256.7498347818182</v>
      </c>
      <c r="AX272" s="353">
        <f t="shared" si="53"/>
        <v>4061.2255718631959</v>
      </c>
      <c r="AY272" s="390">
        <v>353532</v>
      </c>
      <c r="AZ272" s="390">
        <v>353532</v>
      </c>
      <c r="BA272" s="401">
        <f t="shared" si="54"/>
        <v>1569.8291823</v>
      </c>
      <c r="BB272" s="401">
        <v>-3539</v>
      </c>
      <c r="BC272" s="401">
        <v>115</v>
      </c>
      <c r="BD272" s="401">
        <v>10</v>
      </c>
      <c r="BE272" s="401">
        <v>-1605</v>
      </c>
      <c r="BG272" s="426">
        <f t="shared" si="55"/>
        <v>0.55611049057234641</v>
      </c>
      <c r="BH272" s="426">
        <f t="shared" si="56"/>
        <v>3.2120830790116517E-2</v>
      </c>
      <c r="BI272" s="426">
        <f t="shared" si="57"/>
        <v>4.6572993969274279E-2</v>
      </c>
      <c r="BJ272" s="426">
        <f t="shared" si="58"/>
        <v>0.36581870332811595</v>
      </c>
      <c r="BK272" s="426">
        <f t="shared" si="59"/>
        <v>-6.2301865985305287E-4</v>
      </c>
      <c r="BL272" s="425">
        <f t="shared" si="60"/>
        <v>33706855.593945011</v>
      </c>
      <c r="BN272" s="423">
        <f t="shared" si="61"/>
        <v>0.55413369289971048</v>
      </c>
      <c r="BO272" s="423">
        <f t="shared" si="62"/>
        <v>4.9538153274157379E-2</v>
      </c>
      <c r="BP272" s="423">
        <f t="shared" si="63"/>
        <v>0.1109022155588834</v>
      </c>
      <c r="BQ272" s="423">
        <f t="shared" si="64"/>
        <v>0.26193385300028121</v>
      </c>
      <c r="BR272" s="423">
        <f t="shared" si="65"/>
        <v>-1.4835668447215049E-3</v>
      </c>
      <c r="BS272" s="423">
        <f t="shared" si="66"/>
        <v>2.4975652111688861E-2</v>
      </c>
      <c r="BT272" s="425">
        <f t="shared" si="67"/>
        <v>14155075.030638149</v>
      </c>
    </row>
    <row r="273" spans="1:72" x14ac:dyDescent="0.2">
      <c r="A273" s="309">
        <v>837</v>
      </c>
      <c r="B273" s="278" t="s">
        <v>307</v>
      </c>
      <c r="C273" s="278">
        <v>6</v>
      </c>
      <c r="D273" s="279">
        <v>225118</v>
      </c>
      <c r="E273" s="364">
        <v>1203079000</v>
      </c>
      <c r="F273" s="279">
        <v>758392980</v>
      </c>
      <c r="G273" s="278">
        <v>55998679.929999992</v>
      </c>
      <c r="H273" s="279">
        <v>72384372.080000013</v>
      </c>
      <c r="I273" s="279">
        <v>221501627.49884456</v>
      </c>
      <c r="J273" s="279">
        <v>63739343</v>
      </c>
      <c r="K273" s="279">
        <v>1476000</v>
      </c>
      <c r="L273" s="280">
        <v>-452487.17999999993</v>
      </c>
      <c r="M273" s="369">
        <v>-29133510.311155386</v>
      </c>
      <c r="N273" s="370">
        <v>-129.41439738783831</v>
      </c>
      <c r="P273" s="365">
        <v>517383876.68352485</v>
      </c>
      <c r="Q273" s="283">
        <v>299075509</v>
      </c>
      <c r="R273" s="279">
        <v>72384372.080000013</v>
      </c>
      <c r="S273" s="279">
        <v>36268096.922363207</v>
      </c>
      <c r="T273" s="280">
        <v>26413295.274757899</v>
      </c>
      <c r="U273" s="280">
        <v>-21710740.458186418</v>
      </c>
      <c r="V273" s="279">
        <v>63739343</v>
      </c>
      <c r="W273" s="279">
        <v>1476000</v>
      </c>
      <c r="X273" s="279">
        <v>2875891.0632826821</v>
      </c>
      <c r="Y273" s="354">
        <v>-36862109.80130738</v>
      </c>
      <c r="Z273" s="355">
        <v>-163.74572358188763</v>
      </c>
      <c r="AB273" s="366">
        <v>-7728599.4901519939</v>
      </c>
      <c r="AC273" s="349">
        <v>-34.331326194049318</v>
      </c>
      <c r="AE273" s="374">
        <v>38.775588255225571</v>
      </c>
      <c r="AF273" s="350">
        <v>9.3313261940482448</v>
      </c>
      <c r="AG273" s="350">
        <v>0</v>
      </c>
      <c r="AH273" s="350">
        <v>0</v>
      </c>
      <c r="AI273" s="350">
        <v>0</v>
      </c>
      <c r="AJ273" s="408">
        <v>-106833</v>
      </c>
      <c r="AK273" s="387">
        <v>-1096246</v>
      </c>
      <c r="AL273" s="287">
        <v>-4643</v>
      </c>
      <c r="AM273" s="287">
        <v>-102190</v>
      </c>
      <c r="AN273" s="287">
        <v>-415194</v>
      </c>
      <c r="AO273" s="287">
        <v>-681052</v>
      </c>
      <c r="AP273" s="287">
        <v>758393</v>
      </c>
      <c r="AQ273" s="287">
        <v>459317</v>
      </c>
      <c r="AR273" s="287">
        <v>299076</v>
      </c>
      <c r="AS273" s="287">
        <v>55999</v>
      </c>
      <c r="AT273" s="287">
        <v>19731</v>
      </c>
      <c r="AU273" s="287">
        <v>36268</v>
      </c>
      <c r="AV273" s="353">
        <f t="shared" si="51"/>
        <v>284788.48331884458</v>
      </c>
      <c r="AW273" s="353">
        <f t="shared" si="52"/>
        <v>207617.5026254332</v>
      </c>
      <c r="AX273" s="353">
        <f t="shared" si="53"/>
        <v>77170.980693411359</v>
      </c>
      <c r="AY273" s="390">
        <v>8729083</v>
      </c>
      <c r="AZ273" s="390">
        <v>8729083</v>
      </c>
      <c r="BA273" s="401">
        <f t="shared" si="54"/>
        <v>72384.372080000016</v>
      </c>
      <c r="BB273" s="401">
        <v>-221466</v>
      </c>
      <c r="BC273" s="401">
        <v>16577</v>
      </c>
      <c r="BD273" s="401">
        <v>21930</v>
      </c>
      <c r="BE273" s="401">
        <v>-112717</v>
      </c>
      <c r="BG273" s="426">
        <f t="shared" si="55"/>
        <v>0.64626970793912675</v>
      </c>
      <c r="BH273" s="426">
        <f t="shared" si="56"/>
        <v>4.7719653896767002E-2</v>
      </c>
      <c r="BI273" s="426">
        <f t="shared" si="57"/>
        <v>6.168283230087216E-2</v>
      </c>
      <c r="BJ273" s="426">
        <f t="shared" si="58"/>
        <v>0.24307002247906007</v>
      </c>
      <c r="BK273" s="426">
        <f t="shared" si="59"/>
        <v>1.2577833841739294E-3</v>
      </c>
      <c r="BL273" s="425">
        <f t="shared" si="60"/>
        <v>1173493002.5088446</v>
      </c>
      <c r="BN273" s="423">
        <f t="shared" si="61"/>
        <v>0.61490729251764453</v>
      </c>
      <c r="BO273" s="423">
        <f t="shared" si="62"/>
        <v>7.4568182991198648E-2</v>
      </c>
      <c r="BP273" s="423">
        <f t="shared" si="63"/>
        <v>0.14882421634966636</v>
      </c>
      <c r="BQ273" s="423">
        <f t="shared" si="64"/>
        <v>0.14071838319986693</v>
      </c>
      <c r="BR273" s="423">
        <f t="shared" si="65"/>
        <v>3.0346957087550868E-3</v>
      </c>
      <c r="BS273" s="423">
        <f t="shared" si="66"/>
        <v>1.7947229232868199E-2</v>
      </c>
      <c r="BT273" s="425">
        <f t="shared" si="67"/>
        <v>486374958.69577467</v>
      </c>
    </row>
    <row r="274" spans="1:72" x14ac:dyDescent="0.2">
      <c r="A274" s="309">
        <v>109</v>
      </c>
      <c r="B274" s="278" t="s">
        <v>237</v>
      </c>
      <c r="C274" s="278">
        <v>5</v>
      </c>
      <c r="D274" s="279">
        <v>68011</v>
      </c>
      <c r="E274" s="364">
        <v>368115000</v>
      </c>
      <c r="F274" s="279">
        <v>240041161</v>
      </c>
      <c r="G274" s="278">
        <v>13329039.154999999</v>
      </c>
      <c r="H274" s="279">
        <v>27325082.487000003</v>
      </c>
      <c r="I274" s="279">
        <v>102995474.0195553</v>
      </c>
      <c r="J274" s="279">
        <v>-12184440</v>
      </c>
      <c r="K274" s="279">
        <v>4280000</v>
      </c>
      <c r="L274" s="280">
        <v>-136702.10999999999</v>
      </c>
      <c r="M274" s="369">
        <v>7808018.7715552906</v>
      </c>
      <c r="N274" s="370">
        <v>114.80523402913191</v>
      </c>
      <c r="P274" s="365">
        <v>151110571.72594303</v>
      </c>
      <c r="Q274" s="283">
        <v>102672129</v>
      </c>
      <c r="R274" s="279">
        <v>27325082.487000003</v>
      </c>
      <c r="S274" s="279">
        <v>8632683.5661090966</v>
      </c>
      <c r="T274" s="280">
        <v>20169526.819650039</v>
      </c>
      <c r="U274" s="280">
        <v>2733320.5754412333</v>
      </c>
      <c r="V274" s="279">
        <v>-12184440</v>
      </c>
      <c r="W274" s="279">
        <v>4280000</v>
      </c>
      <c r="X274" s="279">
        <v>869879.39734069561</v>
      </c>
      <c r="Y274" s="354">
        <v>3387610.1195980608</v>
      </c>
      <c r="Z274" s="355">
        <v>49.809738418756687</v>
      </c>
      <c r="AB274" s="366">
        <v>-4420408.6519572297</v>
      </c>
      <c r="AC274" s="349">
        <v>-64.995495610375229</v>
      </c>
      <c r="AE274" s="374">
        <v>69.439757671552542</v>
      </c>
      <c r="AF274" s="350">
        <v>39.995495610375229</v>
      </c>
      <c r="AG274" s="350">
        <v>14.995495610375229</v>
      </c>
      <c r="AH274" s="350">
        <v>0</v>
      </c>
      <c r="AI274" s="350">
        <v>0</v>
      </c>
      <c r="AJ274" s="408">
        <v>-19073</v>
      </c>
      <c r="AK274" s="387">
        <v>-349042</v>
      </c>
      <c r="AL274" s="287">
        <v>-1173</v>
      </c>
      <c r="AM274" s="287">
        <v>-17900</v>
      </c>
      <c r="AN274" s="287">
        <v>-133211</v>
      </c>
      <c r="AO274" s="287">
        <v>-215831</v>
      </c>
      <c r="AP274" s="287">
        <v>240041</v>
      </c>
      <c r="AQ274" s="287">
        <v>137369</v>
      </c>
      <c r="AR274" s="287">
        <v>102672</v>
      </c>
      <c r="AS274" s="287">
        <v>13329</v>
      </c>
      <c r="AT274" s="287">
        <v>4696</v>
      </c>
      <c r="AU274" s="287">
        <v>8633</v>
      </c>
      <c r="AV274" s="353">
        <f t="shared" si="51"/>
        <v>90674.331909555302</v>
      </c>
      <c r="AW274" s="353">
        <f t="shared" si="52"/>
        <v>75233.257155464074</v>
      </c>
      <c r="AX274" s="353">
        <f t="shared" si="53"/>
        <v>15441.074754091233</v>
      </c>
      <c r="AY274" s="390">
        <v>4722667</v>
      </c>
      <c r="AZ274" s="390">
        <v>4722667</v>
      </c>
      <c r="BA274" s="401">
        <f t="shared" si="54"/>
        <v>27325.082487000003</v>
      </c>
      <c r="BB274" s="401">
        <v>-32185</v>
      </c>
      <c r="BC274" s="401">
        <v>0</v>
      </c>
      <c r="BD274" s="401">
        <v>6440</v>
      </c>
      <c r="BE274" s="401">
        <v>-16852</v>
      </c>
      <c r="BG274" s="426">
        <f t="shared" si="55"/>
        <v>0.63877036059348713</v>
      </c>
      <c r="BH274" s="426">
        <f t="shared" si="56"/>
        <v>3.5469729907713861E-2</v>
      </c>
      <c r="BI274" s="426">
        <f t="shared" si="57"/>
        <v>7.2714415814160188E-2</v>
      </c>
      <c r="BJ274" s="426">
        <f t="shared" si="58"/>
        <v>0.24165604225909723</v>
      </c>
      <c r="BK274" s="426">
        <f t="shared" si="59"/>
        <v>1.1389451425541659E-2</v>
      </c>
      <c r="BL274" s="425">
        <f t="shared" si="60"/>
        <v>375786316.66155529</v>
      </c>
      <c r="BN274" s="423">
        <f t="shared" si="61"/>
        <v>0.64838332929067666</v>
      </c>
      <c r="BO274" s="423">
        <f t="shared" si="62"/>
        <v>5.4516139538771304E-2</v>
      </c>
      <c r="BP274" s="423">
        <f t="shared" si="63"/>
        <v>0.17256024715396157</v>
      </c>
      <c r="BQ274" s="423">
        <f t="shared" si="64"/>
        <v>6.7687664989620394E-2</v>
      </c>
      <c r="BR274" s="423">
        <f t="shared" si="65"/>
        <v>2.7028568282285215E-2</v>
      </c>
      <c r="BS274" s="423">
        <f t="shared" si="66"/>
        <v>2.9824050744684583E-2</v>
      </c>
      <c r="BT274" s="425">
        <f t="shared" si="67"/>
        <v>158350969.80720037</v>
      </c>
    </row>
    <row r="275" spans="1:72" x14ac:dyDescent="0.2">
      <c r="A275" s="309">
        <v>108</v>
      </c>
      <c r="B275" s="278" t="s">
        <v>236</v>
      </c>
      <c r="C275" s="278">
        <v>6</v>
      </c>
      <c r="D275" s="279">
        <v>10667</v>
      </c>
      <c r="E275" s="364">
        <v>61706000</v>
      </c>
      <c r="F275" s="279">
        <v>34012409</v>
      </c>
      <c r="G275" s="278">
        <v>1386046.7350000001</v>
      </c>
      <c r="H275" s="279">
        <v>2151464.0158000002</v>
      </c>
      <c r="I275" s="279">
        <v>22858300.295561459</v>
      </c>
      <c r="J275" s="279">
        <v>-1127620</v>
      </c>
      <c r="K275" s="279">
        <v>23000</v>
      </c>
      <c r="L275" s="280">
        <v>-21440.67</v>
      </c>
      <c r="M275" s="369">
        <v>-2380959.2836385388</v>
      </c>
      <c r="N275" s="370">
        <v>-223.20795759243825</v>
      </c>
      <c r="P275" s="365">
        <v>27476983.442547247</v>
      </c>
      <c r="Q275" s="283">
        <v>16019319</v>
      </c>
      <c r="R275" s="279">
        <v>2151464.0158000002</v>
      </c>
      <c r="S275" s="279">
        <v>897686.82738134486</v>
      </c>
      <c r="T275" s="280">
        <v>8572225.7243296821</v>
      </c>
      <c r="U275" s="280">
        <v>-743932.34208884381</v>
      </c>
      <c r="V275" s="279">
        <v>-1127620</v>
      </c>
      <c r="W275" s="279">
        <v>23000</v>
      </c>
      <c r="X275" s="279">
        <v>129126.4039431338</v>
      </c>
      <c r="Y275" s="354">
        <v>-1555713.8131819293</v>
      </c>
      <c r="Z275" s="355">
        <v>-145.84361237291921</v>
      </c>
      <c r="AB275" s="366">
        <v>825245.4704566095</v>
      </c>
      <c r="AC275" s="349">
        <v>77.364345219519038</v>
      </c>
      <c r="AE275" s="374">
        <v>-72.920083158341697</v>
      </c>
      <c r="AF275" s="350">
        <v>-52.364345219519038</v>
      </c>
      <c r="AG275" s="350">
        <v>-27.364345219519038</v>
      </c>
      <c r="AH275" s="350">
        <v>-2.3643452195190378</v>
      </c>
      <c r="AI275" s="350">
        <v>0</v>
      </c>
      <c r="AJ275" s="408">
        <v>-5500</v>
      </c>
      <c r="AK275" s="387">
        <v>-56206</v>
      </c>
      <c r="AL275" s="287">
        <v>-175</v>
      </c>
      <c r="AM275" s="287">
        <v>-5325</v>
      </c>
      <c r="AN275" s="287">
        <v>-22152</v>
      </c>
      <c r="AO275" s="287">
        <v>-34054</v>
      </c>
      <c r="AP275" s="287">
        <v>34012</v>
      </c>
      <c r="AQ275" s="287">
        <v>17993</v>
      </c>
      <c r="AR275" s="287">
        <v>16019</v>
      </c>
      <c r="AS275" s="287">
        <v>1386</v>
      </c>
      <c r="AT275" s="287">
        <v>488</v>
      </c>
      <c r="AU275" s="287">
        <v>898</v>
      </c>
      <c r="AV275" s="353">
        <f t="shared" si="51"/>
        <v>21709.239625561459</v>
      </c>
      <c r="AW275" s="353">
        <f t="shared" si="52"/>
        <v>15786.404770370649</v>
      </c>
      <c r="AX275" s="353">
        <f t="shared" si="53"/>
        <v>5922.8348551908084</v>
      </c>
      <c r="AY275" s="390">
        <v>777839</v>
      </c>
      <c r="AZ275" s="390">
        <v>-777839</v>
      </c>
      <c r="BA275" s="401">
        <f t="shared" si="54"/>
        <v>2151.4640158000002</v>
      </c>
      <c r="BB275" s="401">
        <v>-14300</v>
      </c>
      <c r="BC275" s="401">
        <v>1735</v>
      </c>
      <c r="BD275" s="401">
        <v>0</v>
      </c>
      <c r="BE275" s="401">
        <v>-9311</v>
      </c>
      <c r="BG275" s="426">
        <f t="shared" si="55"/>
        <v>0.5735302574111909</v>
      </c>
      <c r="BH275" s="426">
        <f t="shared" si="56"/>
        <v>2.3372050498054717E-2</v>
      </c>
      <c r="BI275" s="426">
        <f t="shared" si="57"/>
        <v>3.6278809618944911E-2</v>
      </c>
      <c r="BJ275" s="426">
        <f t="shared" si="58"/>
        <v>0.36643104766950368</v>
      </c>
      <c r="BK275" s="426">
        <f t="shared" si="59"/>
        <v>3.8783480230575231E-4</v>
      </c>
      <c r="BL275" s="425">
        <f t="shared" si="60"/>
        <v>59303600.046361461</v>
      </c>
      <c r="BN275" s="423">
        <f t="shared" si="61"/>
        <v>0.64040632722613644</v>
      </c>
      <c r="BO275" s="423">
        <f t="shared" si="62"/>
        <v>3.5886939021725565E-2</v>
      </c>
      <c r="BP275" s="423">
        <f t="shared" si="63"/>
        <v>8.600934712128977E-2</v>
      </c>
      <c r="BQ275" s="423">
        <f t="shared" si="64"/>
        <v>0.26787366121261386</v>
      </c>
      <c r="BR275" s="423">
        <f t="shared" si="65"/>
        <v>9.1947388813476633E-4</v>
      </c>
      <c r="BS275" s="423">
        <f t="shared" si="66"/>
        <v>-3.1095748469900503E-2</v>
      </c>
      <c r="BT275" s="425">
        <f t="shared" si="67"/>
        <v>25014304.698372155</v>
      </c>
    </row>
    <row r="276" spans="1:72" x14ac:dyDescent="0.2">
      <c r="A276" s="309">
        <v>844</v>
      </c>
      <c r="B276" s="278" t="s">
        <v>186</v>
      </c>
      <c r="C276" s="278">
        <v>11</v>
      </c>
      <c r="D276" s="279">
        <v>1608</v>
      </c>
      <c r="E276" s="364">
        <v>11213000</v>
      </c>
      <c r="F276" s="279">
        <v>3694784</v>
      </c>
      <c r="G276" s="278">
        <v>353209.19500000001</v>
      </c>
      <c r="H276" s="279">
        <v>427135.63500000001</v>
      </c>
      <c r="I276" s="279">
        <v>6690809.3637429914</v>
      </c>
      <c r="J276" s="279">
        <v>-334731</v>
      </c>
      <c r="K276" s="279">
        <v>184000</v>
      </c>
      <c r="L276" s="280">
        <v>191836.79083248979</v>
      </c>
      <c r="M276" s="369">
        <v>-389629.59708949929</v>
      </c>
      <c r="N276" s="370">
        <v>-242.30696336411648</v>
      </c>
      <c r="P276" s="365">
        <v>3393197.3352670548</v>
      </c>
      <c r="Q276" s="283">
        <v>1666000</v>
      </c>
      <c r="R276" s="279">
        <v>427135.63500000001</v>
      </c>
      <c r="S276" s="279">
        <v>228759.41601021757</v>
      </c>
      <c r="T276" s="280">
        <v>807223.21378397488</v>
      </c>
      <c r="U276" s="280">
        <v>-31159.075073699623</v>
      </c>
      <c r="V276" s="279">
        <v>-334731</v>
      </c>
      <c r="W276" s="279">
        <v>184000</v>
      </c>
      <c r="X276" s="279">
        <v>18793.173694330777</v>
      </c>
      <c r="Y276" s="354">
        <v>-427175.97185223131</v>
      </c>
      <c r="Z276" s="355">
        <v>-265.6566989130792</v>
      </c>
      <c r="AB276" s="366">
        <v>-37546.374762732012</v>
      </c>
      <c r="AC276" s="349">
        <v>-23.349735548962695</v>
      </c>
      <c r="AE276" s="374">
        <v>27.793997610140053</v>
      </c>
      <c r="AF276" s="350">
        <v>0</v>
      </c>
      <c r="AG276" s="350">
        <v>0</v>
      </c>
      <c r="AH276" s="350">
        <v>0</v>
      </c>
      <c r="AI276" s="350">
        <v>0</v>
      </c>
      <c r="AJ276" s="408">
        <v>-387</v>
      </c>
      <c r="AK276" s="387">
        <v>-10826</v>
      </c>
      <c r="AL276" s="287">
        <v>-29</v>
      </c>
      <c r="AM276" s="287">
        <v>-358</v>
      </c>
      <c r="AN276" s="287">
        <v>-3035</v>
      </c>
      <c r="AO276" s="287">
        <v>-7791</v>
      </c>
      <c r="AP276" s="287">
        <v>3695</v>
      </c>
      <c r="AQ276" s="287">
        <v>2029</v>
      </c>
      <c r="AR276" s="287">
        <v>1666</v>
      </c>
      <c r="AS276" s="287">
        <v>353</v>
      </c>
      <c r="AT276" s="287">
        <v>124</v>
      </c>
      <c r="AU276" s="287">
        <v>229</v>
      </c>
      <c r="AV276" s="353">
        <f t="shared" si="51"/>
        <v>6547.9151545754812</v>
      </c>
      <c r="AW276" s="353">
        <f t="shared" si="52"/>
        <v>6061.8892677081003</v>
      </c>
      <c r="AX276" s="353">
        <f t="shared" si="53"/>
        <v>486.02588686738045</v>
      </c>
      <c r="AY276" s="390">
        <v>44693</v>
      </c>
      <c r="AZ276" s="390">
        <v>44693</v>
      </c>
      <c r="BA276" s="401">
        <f t="shared" si="54"/>
        <v>427.13563500000004</v>
      </c>
      <c r="BB276" s="401">
        <v>-703</v>
      </c>
      <c r="BC276" s="401">
        <v>0</v>
      </c>
      <c r="BD276" s="401">
        <v>380</v>
      </c>
      <c r="BE276" s="401">
        <v>-317</v>
      </c>
      <c r="BG276" s="426">
        <f t="shared" si="55"/>
        <v>0.33542573780171486</v>
      </c>
      <c r="BH276" s="426">
        <f t="shared" si="56"/>
        <v>3.2065597023053255E-2</v>
      </c>
      <c r="BI276" s="426">
        <f t="shared" si="57"/>
        <v>3.8776904282166152E-2</v>
      </c>
      <c r="BJ276" s="426">
        <f t="shared" si="58"/>
        <v>0.57702758122910824</v>
      </c>
      <c r="BK276" s="426">
        <f t="shared" si="59"/>
        <v>1.6704179663957496E-2</v>
      </c>
      <c r="BL276" s="425">
        <f t="shared" si="60"/>
        <v>11015207.19374299</v>
      </c>
      <c r="BN276" s="423">
        <f t="shared" si="61"/>
        <v>0.55683289585246298</v>
      </c>
      <c r="BO276" s="423">
        <f t="shared" si="62"/>
        <v>7.6459044460076675E-2</v>
      </c>
      <c r="BP276" s="423">
        <f t="shared" si="63"/>
        <v>0.14276300873879391</v>
      </c>
      <c r="BQ276" s="423">
        <f t="shared" si="64"/>
        <v>0.14750828911386513</v>
      </c>
      <c r="BR276" s="423">
        <f t="shared" si="65"/>
        <v>6.1498951282624961E-2</v>
      </c>
      <c r="BS276" s="423">
        <f t="shared" si="66"/>
        <v>1.4937810552176302E-2</v>
      </c>
      <c r="BT276" s="425">
        <f t="shared" si="67"/>
        <v>2991920.9378775982</v>
      </c>
    </row>
    <row r="277" spans="1:72" x14ac:dyDescent="0.2">
      <c r="A277" s="309">
        <v>845</v>
      </c>
      <c r="B277" s="278" t="s">
        <v>187</v>
      </c>
      <c r="C277" s="278">
        <v>19</v>
      </c>
      <c r="D277" s="279">
        <v>3195</v>
      </c>
      <c r="E277" s="364">
        <v>22851000</v>
      </c>
      <c r="F277" s="279">
        <v>8381097</v>
      </c>
      <c r="G277" s="278">
        <v>486304.90500000003</v>
      </c>
      <c r="H277" s="279">
        <v>2726780.3879999998</v>
      </c>
      <c r="I277" s="279">
        <v>10994066.437981818</v>
      </c>
      <c r="J277" s="279">
        <v>-26398</v>
      </c>
      <c r="K277" s="279">
        <v>296000</v>
      </c>
      <c r="L277" s="280">
        <v>168882.7856257401</v>
      </c>
      <c r="M277" s="369">
        <v>-162032.05464392077</v>
      </c>
      <c r="N277" s="370">
        <v>-50.71425810451354</v>
      </c>
      <c r="P277" s="365">
        <v>10639308.835476069</v>
      </c>
      <c r="Q277" s="283">
        <v>3313698</v>
      </c>
      <c r="R277" s="279">
        <v>2726780.3879999998</v>
      </c>
      <c r="S277" s="279">
        <v>314960.16424686881</v>
      </c>
      <c r="T277" s="280">
        <v>3818846.9066653266</v>
      </c>
      <c r="U277" s="280">
        <v>244968.51081764564</v>
      </c>
      <c r="V277" s="279">
        <v>-26398</v>
      </c>
      <c r="W277" s="279">
        <v>296000</v>
      </c>
      <c r="X277" s="279">
        <v>38811.05679188366</v>
      </c>
      <c r="Y277" s="354">
        <v>88358.191045654938</v>
      </c>
      <c r="Z277" s="355">
        <v>27.655145867184643</v>
      </c>
      <c r="AB277" s="366">
        <v>250390.24568957571</v>
      </c>
      <c r="AC277" s="349">
        <v>78.369403971698191</v>
      </c>
      <c r="AE277" s="374">
        <v>-73.925141910522015</v>
      </c>
      <c r="AF277" s="350">
        <v>-53.369403971699342</v>
      </c>
      <c r="AG277" s="350">
        <v>-28.369403971699342</v>
      </c>
      <c r="AH277" s="350">
        <v>-3.3694039716993416</v>
      </c>
      <c r="AI277" s="350">
        <v>0</v>
      </c>
      <c r="AJ277" s="408">
        <v>-1172</v>
      </c>
      <c r="AK277" s="387">
        <v>-21679</v>
      </c>
      <c r="AL277" s="287">
        <v>-20</v>
      </c>
      <c r="AM277" s="287">
        <v>-1152</v>
      </c>
      <c r="AN277" s="287">
        <v>-9487</v>
      </c>
      <c r="AO277" s="287">
        <v>-12192</v>
      </c>
      <c r="AP277" s="287">
        <v>8381</v>
      </c>
      <c r="AQ277" s="287">
        <v>5067</v>
      </c>
      <c r="AR277" s="287">
        <v>3314</v>
      </c>
      <c r="AS277" s="287">
        <v>486</v>
      </c>
      <c r="AT277" s="287">
        <v>171</v>
      </c>
      <c r="AU277" s="287">
        <v>315</v>
      </c>
      <c r="AV277" s="353">
        <f t="shared" si="51"/>
        <v>11136.551223607559</v>
      </c>
      <c r="AW277" s="353">
        <f t="shared" si="52"/>
        <v>7335.3246345287043</v>
      </c>
      <c r="AX277" s="353">
        <f t="shared" si="53"/>
        <v>3801.2265890788544</v>
      </c>
      <c r="AY277" s="390">
        <v>236191</v>
      </c>
      <c r="AZ277" s="390">
        <v>-236191</v>
      </c>
      <c r="BA277" s="401">
        <f t="shared" si="54"/>
        <v>2726.7803879999997</v>
      </c>
      <c r="BB277" s="401">
        <v>-1731</v>
      </c>
      <c r="BC277" s="401">
        <v>408</v>
      </c>
      <c r="BD277" s="401">
        <v>36</v>
      </c>
      <c r="BE277" s="401">
        <v>-657</v>
      </c>
      <c r="BG277" s="426">
        <f t="shared" si="55"/>
        <v>0.36666163842955518</v>
      </c>
      <c r="BH277" s="426">
        <f t="shared" si="56"/>
        <v>2.1275180712456758E-2</v>
      </c>
      <c r="BI277" s="426">
        <f t="shared" si="57"/>
        <v>0.11929294753439296</v>
      </c>
      <c r="BJ277" s="426">
        <f t="shared" si="58"/>
        <v>0.4798206343659468</v>
      </c>
      <c r="BK277" s="426">
        <f t="shared" si="59"/>
        <v>1.2949598957648186E-2</v>
      </c>
      <c r="BL277" s="425">
        <f t="shared" si="60"/>
        <v>22857850.730981819</v>
      </c>
      <c r="BN277" s="423">
        <f t="shared" si="61"/>
        <v>0.31701943525378445</v>
      </c>
      <c r="BO277" s="423">
        <f t="shared" si="62"/>
        <v>3.0132043836517856E-2</v>
      </c>
      <c r="BP277" s="423">
        <f t="shared" si="63"/>
        <v>0.26086939083309801</v>
      </c>
      <c r="BQ277" s="423">
        <f t="shared" si="64"/>
        <v>0.3862572236740478</v>
      </c>
      <c r="BR277" s="423">
        <f t="shared" si="65"/>
        <v>2.8318136666383057E-2</v>
      </c>
      <c r="BS277" s="423">
        <f t="shared" si="66"/>
        <v>-2.2596230263831209E-2</v>
      </c>
      <c r="BT277" s="425">
        <f t="shared" si="67"/>
        <v>10452665.141325723</v>
      </c>
    </row>
    <row r="278" spans="1:72" x14ac:dyDescent="0.2">
      <c r="A278" s="309">
        <v>848</v>
      </c>
      <c r="B278" s="278" t="s">
        <v>188</v>
      </c>
      <c r="C278" s="278">
        <v>12</v>
      </c>
      <c r="D278" s="279">
        <v>4738</v>
      </c>
      <c r="E278" s="364">
        <v>30491000</v>
      </c>
      <c r="F278" s="279">
        <v>12058866</v>
      </c>
      <c r="G278" s="278">
        <v>844601.35499999998</v>
      </c>
      <c r="H278" s="279">
        <v>989496.8</v>
      </c>
      <c r="I278" s="279">
        <v>16871809.654502675</v>
      </c>
      <c r="J278" s="279">
        <v>565992</v>
      </c>
      <c r="K278" s="279">
        <v>147000</v>
      </c>
      <c r="L278" s="280">
        <v>-150150.34707676171</v>
      </c>
      <c r="M278" s="369">
        <v>1136916.1565794379</v>
      </c>
      <c r="N278" s="370">
        <v>239.95697690574883</v>
      </c>
      <c r="P278" s="365">
        <v>11308477.073630136</v>
      </c>
      <c r="Q278" s="283">
        <v>5702385</v>
      </c>
      <c r="R278" s="279">
        <v>989496.8</v>
      </c>
      <c r="S278" s="279">
        <v>547014.39109261706</v>
      </c>
      <c r="T278" s="280">
        <v>4037026.7223612145</v>
      </c>
      <c r="U278" s="280">
        <v>118024.52457010098</v>
      </c>
      <c r="V278" s="279">
        <v>565992</v>
      </c>
      <c r="W278" s="279">
        <v>147000</v>
      </c>
      <c r="X278" s="279">
        <v>56098.224280966948</v>
      </c>
      <c r="Y278" s="354">
        <v>854560.58867476508</v>
      </c>
      <c r="Z278" s="355">
        <v>180.36314661772164</v>
      </c>
      <c r="AB278" s="366">
        <v>-282355.56790467282</v>
      </c>
      <c r="AC278" s="349">
        <v>-59.593830288027185</v>
      </c>
      <c r="AE278" s="374">
        <v>64.038092349204533</v>
      </c>
      <c r="AF278" s="350">
        <v>34.593830288027192</v>
      </c>
      <c r="AG278" s="350">
        <v>9.593830288027192</v>
      </c>
      <c r="AH278" s="350">
        <v>0</v>
      </c>
      <c r="AI278" s="350">
        <v>0</v>
      </c>
      <c r="AJ278" s="408">
        <v>-874</v>
      </c>
      <c r="AK278" s="387">
        <v>-29617</v>
      </c>
      <c r="AL278" s="287">
        <v>-3</v>
      </c>
      <c r="AM278" s="287">
        <v>-871</v>
      </c>
      <c r="AN278" s="287">
        <v>-10437</v>
      </c>
      <c r="AO278" s="287">
        <v>-19180</v>
      </c>
      <c r="AP278" s="287">
        <v>12059</v>
      </c>
      <c r="AQ278" s="287">
        <v>6357</v>
      </c>
      <c r="AR278" s="287">
        <v>5702</v>
      </c>
      <c r="AS278" s="287">
        <v>845</v>
      </c>
      <c r="AT278" s="287">
        <v>298</v>
      </c>
      <c r="AU278" s="287">
        <v>547</v>
      </c>
      <c r="AV278" s="353">
        <f t="shared" ref="AV278:AV317" si="68">(I278+J278+L278)*0.001</f>
        <v>17287.651307425913</v>
      </c>
      <c r="AW278" s="353">
        <f t="shared" ref="AW278:AW317" si="69">AV278-AX278</f>
        <v>12263.195578944065</v>
      </c>
      <c r="AX278" s="353">
        <f t="shared" ref="AX278:AX317" si="70">(T278+U278+V278+AE278*D278)*0.001</f>
        <v>5024.4557284818466</v>
      </c>
      <c r="AY278" s="390">
        <v>303412</v>
      </c>
      <c r="AZ278" s="390">
        <v>303412</v>
      </c>
      <c r="BA278" s="401">
        <f t="shared" ref="BA278:BA317" si="71">R278*0.001</f>
        <v>989.49680000000012</v>
      </c>
      <c r="BB278" s="401">
        <v>-1670</v>
      </c>
      <c r="BC278" s="401">
        <v>0</v>
      </c>
      <c r="BD278" s="401">
        <v>100</v>
      </c>
      <c r="BE278" s="401">
        <v>205</v>
      </c>
      <c r="BG278" s="426">
        <f t="shared" si="55"/>
        <v>0.38309154699790049</v>
      </c>
      <c r="BH278" s="426">
        <f t="shared" si="56"/>
        <v>2.6831680498271806E-2</v>
      </c>
      <c r="BI278" s="426">
        <f t="shared" si="57"/>
        <v>3.1434784984050092E-2</v>
      </c>
      <c r="BJ278" s="426">
        <f t="shared" si="58"/>
        <v>0.55397202457229222</v>
      </c>
      <c r="BK278" s="426">
        <f t="shared" si="59"/>
        <v>4.669962947485392E-3</v>
      </c>
      <c r="BL278" s="425">
        <f t="shared" si="60"/>
        <v>31477765.809502676</v>
      </c>
      <c r="BN278" s="423">
        <f t="shared" si="61"/>
        <v>0.45948616420826904</v>
      </c>
      <c r="BO278" s="423">
        <f t="shared" si="62"/>
        <v>4.4077266675236509E-2</v>
      </c>
      <c r="BP278" s="423">
        <f t="shared" si="63"/>
        <v>7.9731566551251243E-2</v>
      </c>
      <c r="BQ278" s="423">
        <f t="shared" si="64"/>
        <v>0.38041171415010072</v>
      </c>
      <c r="BR278" s="423">
        <f t="shared" si="65"/>
        <v>1.1844950163592173E-2</v>
      </c>
      <c r="BS278" s="423">
        <f t="shared" si="66"/>
        <v>2.4448338251550135E-2</v>
      </c>
      <c r="BT278" s="425">
        <f t="shared" si="67"/>
        <v>12410351.919574466</v>
      </c>
    </row>
    <row r="279" spans="1:72" x14ac:dyDescent="0.2">
      <c r="A279" s="309">
        <v>849</v>
      </c>
      <c r="B279" s="278" t="s">
        <v>189</v>
      </c>
      <c r="C279" s="278">
        <v>16</v>
      </c>
      <c r="D279" s="279">
        <v>3311</v>
      </c>
      <c r="E279" s="364">
        <v>20452000</v>
      </c>
      <c r="F279" s="279">
        <v>8599844</v>
      </c>
      <c r="G279" s="278">
        <v>563779.79500000004</v>
      </c>
      <c r="H279" s="279">
        <v>831193.54649999994</v>
      </c>
      <c r="I279" s="279">
        <v>10344776.818898892</v>
      </c>
      <c r="J279" s="279">
        <v>-78647</v>
      </c>
      <c r="K279" s="279">
        <v>-305000</v>
      </c>
      <c r="L279" s="280">
        <v>-6655.11</v>
      </c>
      <c r="M279" s="369">
        <v>-489397.72960110696</v>
      </c>
      <c r="N279" s="370">
        <v>-147.80964349172666</v>
      </c>
      <c r="P279" s="365">
        <v>8554258.0215384606</v>
      </c>
      <c r="Q279" s="283">
        <v>3982726</v>
      </c>
      <c r="R279" s="279">
        <v>831193.54649999994</v>
      </c>
      <c r="S279" s="279">
        <v>365137.54026862234</v>
      </c>
      <c r="T279" s="280">
        <v>4099860.9652462741</v>
      </c>
      <c r="U279" s="280">
        <v>-294644.28842330608</v>
      </c>
      <c r="V279" s="279">
        <v>-78647</v>
      </c>
      <c r="W279" s="279">
        <v>-305000</v>
      </c>
      <c r="X279" s="279">
        <v>39606.693697379516</v>
      </c>
      <c r="Y279" s="354">
        <v>85975.435750510544</v>
      </c>
      <c r="Z279" s="355">
        <v>25.966606991999559</v>
      </c>
      <c r="AB279" s="366">
        <v>575373.1653516175</v>
      </c>
      <c r="AC279" s="349">
        <v>173.77625048372622</v>
      </c>
      <c r="AE279" s="374">
        <v>-169.33198842254887</v>
      </c>
      <c r="AF279" s="350">
        <v>-148.77625048372622</v>
      </c>
      <c r="AG279" s="350">
        <v>-123.77625048372622</v>
      </c>
      <c r="AH279" s="350">
        <v>-98.776250483726216</v>
      </c>
      <c r="AI279" s="350">
        <v>-73.776250483726216</v>
      </c>
      <c r="AJ279" s="408">
        <v>-1022</v>
      </c>
      <c r="AK279" s="387">
        <v>-19430</v>
      </c>
      <c r="AL279" s="287">
        <v>-59</v>
      </c>
      <c r="AM279" s="287">
        <v>-963</v>
      </c>
      <c r="AN279" s="287">
        <v>-7591</v>
      </c>
      <c r="AO279" s="287">
        <v>-11839</v>
      </c>
      <c r="AP279" s="287">
        <v>8600</v>
      </c>
      <c r="AQ279" s="287">
        <v>4617</v>
      </c>
      <c r="AR279" s="287">
        <v>3983</v>
      </c>
      <c r="AS279" s="287">
        <v>564</v>
      </c>
      <c r="AT279" s="287">
        <v>199</v>
      </c>
      <c r="AU279" s="287">
        <v>365</v>
      </c>
      <c r="AV279" s="353">
        <f t="shared" si="68"/>
        <v>10259.474708898893</v>
      </c>
      <c r="AW279" s="353">
        <f t="shared" si="69"/>
        <v>7093.5632457429847</v>
      </c>
      <c r="AX279" s="353">
        <f t="shared" si="70"/>
        <v>3165.9114631559087</v>
      </c>
      <c r="AY279" s="390">
        <v>560658</v>
      </c>
      <c r="AZ279" s="390">
        <v>-560658</v>
      </c>
      <c r="BA279" s="401">
        <f t="shared" si="71"/>
        <v>831.19354649999991</v>
      </c>
      <c r="BB279" s="401">
        <v>-1275</v>
      </c>
      <c r="BC279" s="401">
        <v>0</v>
      </c>
      <c r="BD279" s="401">
        <v>0</v>
      </c>
      <c r="BE279" s="401">
        <v>-437</v>
      </c>
      <c r="BG279" s="426">
        <f t="shared" ref="BG279:BG317" si="72">F279/BL279</f>
        <v>0.43094140963981686</v>
      </c>
      <c r="BH279" s="426">
        <f t="shared" ref="BH279:BH317" si="73">G279/BL279</f>
        <v>2.825121706669877E-2</v>
      </c>
      <c r="BI279" s="426">
        <f t="shared" ref="BI279:BI317" si="74">H279/BL279</f>
        <v>4.1651420492305288E-2</v>
      </c>
      <c r="BJ279" s="426">
        <f t="shared" ref="BJ279:BJ317" si="75">(I279+J279)/BL279</f>
        <v>0.51443961724208565</v>
      </c>
      <c r="BK279" s="426">
        <f t="shared" ref="BK279:BK317" si="76">K279/BL279</f>
        <v>-1.5283664440906621E-2</v>
      </c>
      <c r="BL279" s="425">
        <f t="shared" ref="BL279:BL317" si="77">F279+G279+H279+I279+J279+K279</f>
        <v>19955947.160398893</v>
      </c>
      <c r="BN279" s="423">
        <f t="shared" ref="BN279:BN317" si="78">Q279/BT279</f>
        <v>0.49536586807138494</v>
      </c>
      <c r="BO279" s="423">
        <f t="shared" ref="BO279:BO317" si="79">S279/BT279</f>
        <v>4.5415294599883693E-2</v>
      </c>
      <c r="BP279" s="423">
        <f t="shared" ref="BP279:BP317" si="80">R279/BT279</f>
        <v>0.10338268630513511</v>
      </c>
      <c r="BQ279" s="423">
        <f t="shared" ref="BQ279:BQ317" si="81">(T279+U279+V279)/BT279</f>
        <v>0.46350550424204678</v>
      </c>
      <c r="BR279" s="423">
        <f t="shared" ref="BR279:BR317" si="82">W279/BT279</f>
        <v>-3.7935471775304756E-2</v>
      </c>
      <c r="BS279" s="423">
        <f t="shared" ref="BS279:BS317" si="83">(AE279*D279)/BT279</f>
        <v>-6.9733881443145948E-2</v>
      </c>
      <c r="BT279" s="425">
        <f t="shared" ref="BT279:BT317" si="84">Q279+R279+S279+T279+U279+V279+W279+(AE279*D279)</f>
        <v>8039968.549924532</v>
      </c>
    </row>
    <row r="280" spans="1:72" x14ac:dyDescent="0.2">
      <c r="A280" s="309">
        <v>850</v>
      </c>
      <c r="B280" s="278" t="s">
        <v>190</v>
      </c>
      <c r="C280" s="278">
        <v>13</v>
      </c>
      <c r="D280" s="279">
        <v>2431</v>
      </c>
      <c r="E280" s="364">
        <v>13910000</v>
      </c>
      <c r="F280" s="279">
        <v>6835830</v>
      </c>
      <c r="G280" s="278">
        <v>458168.22</v>
      </c>
      <c r="H280" s="279">
        <v>582936.67800000007</v>
      </c>
      <c r="I280" s="279">
        <v>6663830.4665166773</v>
      </c>
      <c r="J280" s="279">
        <v>-499747</v>
      </c>
      <c r="K280" s="279">
        <v>-14000</v>
      </c>
      <c r="L280" s="280">
        <v>152939.37505118319</v>
      </c>
      <c r="M280" s="369">
        <v>-35921.010534505855</v>
      </c>
      <c r="N280" s="370">
        <v>-14.776228109628077</v>
      </c>
      <c r="P280" s="365">
        <v>6107670.325967568</v>
      </c>
      <c r="Q280" s="283">
        <v>3051940</v>
      </c>
      <c r="R280" s="279">
        <v>582936.67800000007</v>
      </c>
      <c r="S280" s="279">
        <v>296737.16292023729</v>
      </c>
      <c r="T280" s="280">
        <v>2442634.5453010048</v>
      </c>
      <c r="U280" s="280">
        <v>88020.002118007469</v>
      </c>
      <c r="V280" s="279">
        <v>-499747</v>
      </c>
      <c r="W280" s="279">
        <v>-14000</v>
      </c>
      <c r="X280" s="279">
        <v>29423.343972459119</v>
      </c>
      <c r="Y280" s="354">
        <v>-129725.59365585819</v>
      </c>
      <c r="Z280" s="355">
        <v>-53.363057859258817</v>
      </c>
      <c r="AB280" s="366">
        <v>-93804.583121352334</v>
      </c>
      <c r="AC280" s="349">
        <v>-38.586829749630745</v>
      </c>
      <c r="AE280" s="374">
        <v>43.031091810807311</v>
      </c>
      <c r="AF280" s="350">
        <v>13.58682974962997</v>
      </c>
      <c r="AG280" s="350">
        <v>0</v>
      </c>
      <c r="AH280" s="350">
        <v>0</v>
      </c>
      <c r="AI280" s="350">
        <v>0</v>
      </c>
      <c r="AJ280" s="408">
        <v>-765</v>
      </c>
      <c r="AK280" s="387">
        <v>-13145</v>
      </c>
      <c r="AL280" s="287">
        <v>-5</v>
      </c>
      <c r="AM280" s="287">
        <v>-760</v>
      </c>
      <c r="AN280" s="287">
        <v>-5348</v>
      </c>
      <c r="AO280" s="287">
        <v>-7797</v>
      </c>
      <c r="AP280" s="287">
        <v>6836</v>
      </c>
      <c r="AQ280" s="287">
        <v>3784</v>
      </c>
      <c r="AR280" s="287">
        <v>3052</v>
      </c>
      <c r="AS280" s="287">
        <v>458</v>
      </c>
      <c r="AT280" s="287">
        <v>161</v>
      </c>
      <c r="AU280" s="287">
        <v>297</v>
      </c>
      <c r="AV280" s="353">
        <f t="shared" si="68"/>
        <v>6317.0228415678612</v>
      </c>
      <c r="AW280" s="353">
        <f t="shared" si="69"/>
        <v>4181.5067099567768</v>
      </c>
      <c r="AX280" s="353">
        <f t="shared" si="70"/>
        <v>2135.5161316110848</v>
      </c>
      <c r="AY280" s="390">
        <v>104609</v>
      </c>
      <c r="AZ280" s="390">
        <v>104609</v>
      </c>
      <c r="BA280" s="401">
        <f t="shared" si="71"/>
        <v>582.93667800000003</v>
      </c>
      <c r="BB280" s="401">
        <v>-1055</v>
      </c>
      <c r="BC280" s="401">
        <v>0</v>
      </c>
      <c r="BD280" s="401">
        <v>50</v>
      </c>
      <c r="BE280" s="401">
        <v>-520</v>
      </c>
      <c r="BG280" s="426">
        <f t="shared" si="72"/>
        <v>0.48733307552317723</v>
      </c>
      <c r="BH280" s="426">
        <f t="shared" si="73"/>
        <v>3.2663265142576642E-2</v>
      </c>
      <c r="BI280" s="426">
        <f t="shared" si="74"/>
        <v>4.1558131803307585E-2</v>
      </c>
      <c r="BJ280" s="426">
        <f t="shared" si="75"/>
        <v>0.43944360136503396</v>
      </c>
      <c r="BK280" s="426">
        <f t="shared" si="76"/>
        <v>-9.980738340954181E-4</v>
      </c>
      <c r="BL280" s="425">
        <f t="shared" si="77"/>
        <v>14027018.364516677</v>
      </c>
      <c r="BN280" s="423">
        <f t="shared" si="78"/>
        <v>0.50419204838645271</v>
      </c>
      <c r="BO280" s="423">
        <f t="shared" si="79"/>
        <v>4.9022103319573442E-2</v>
      </c>
      <c r="BP280" s="423">
        <f t="shared" si="80"/>
        <v>9.6303347300541298E-2</v>
      </c>
      <c r="BQ280" s="423">
        <f t="shared" si="81"/>
        <v>0.33551361967034032</v>
      </c>
      <c r="BR280" s="423">
        <f t="shared" si="82"/>
        <v>-2.3128530303381909E-3</v>
      </c>
      <c r="BS280" s="423">
        <f t="shared" si="83"/>
        <v>1.7281734353430202E-2</v>
      </c>
      <c r="BT280" s="425">
        <f t="shared" si="84"/>
        <v>6053129.9725313233</v>
      </c>
    </row>
    <row r="281" spans="1:72" x14ac:dyDescent="0.2">
      <c r="A281" s="309">
        <v>851</v>
      </c>
      <c r="B281" s="278" t="s">
        <v>309</v>
      </c>
      <c r="C281" s="278">
        <v>19</v>
      </c>
      <c r="D281" s="279">
        <v>22199</v>
      </c>
      <c r="E281" s="364">
        <v>118872000</v>
      </c>
      <c r="F281" s="279">
        <v>73901903</v>
      </c>
      <c r="G281" s="278">
        <v>2689427.01</v>
      </c>
      <c r="H281" s="279">
        <v>6913563.943599999</v>
      </c>
      <c r="I281" s="279">
        <v>39439696.339293547</v>
      </c>
      <c r="J281" s="279">
        <v>-686070</v>
      </c>
      <c r="K281" s="279">
        <v>-339000</v>
      </c>
      <c r="L281" s="280">
        <v>-44619.99</v>
      </c>
      <c r="M281" s="369">
        <v>3092140.282893559</v>
      </c>
      <c r="N281" s="370">
        <v>139.29187273722056</v>
      </c>
      <c r="P281" s="365">
        <v>49102184.678668305</v>
      </c>
      <c r="Q281" s="283">
        <v>32125007</v>
      </c>
      <c r="R281" s="279">
        <v>6913563.943599999</v>
      </c>
      <c r="S281" s="279">
        <v>1741833.9072676334</v>
      </c>
      <c r="T281" s="280">
        <v>15205453.880887453</v>
      </c>
      <c r="U281" s="280">
        <v>-1850340.3262058794</v>
      </c>
      <c r="V281" s="279">
        <v>-686070</v>
      </c>
      <c r="W281" s="279">
        <v>-339000</v>
      </c>
      <c r="X281" s="279">
        <v>276370.62492105452</v>
      </c>
      <c r="Y281" s="354">
        <v>4284634.3518019468</v>
      </c>
      <c r="Z281" s="355">
        <v>193.0102415334901</v>
      </c>
      <c r="AB281" s="366">
        <v>1192494.0689083878</v>
      </c>
      <c r="AC281" s="349">
        <v>53.718368796269552</v>
      </c>
      <c r="AE281" s="374">
        <v>-49.274106735092204</v>
      </c>
      <c r="AF281" s="350">
        <v>-28.718368796269544</v>
      </c>
      <c r="AG281" s="350">
        <v>-3.7183687962695444</v>
      </c>
      <c r="AH281" s="350">
        <v>0</v>
      </c>
      <c r="AI281" s="350">
        <v>0</v>
      </c>
      <c r="AJ281" s="408">
        <v>-5619</v>
      </c>
      <c r="AK281" s="387">
        <v>-113253</v>
      </c>
      <c r="AL281" s="287">
        <v>-19</v>
      </c>
      <c r="AM281" s="287">
        <v>-5600</v>
      </c>
      <c r="AN281" s="287">
        <v>-43502</v>
      </c>
      <c r="AO281" s="287">
        <v>-69751</v>
      </c>
      <c r="AP281" s="287">
        <v>73902</v>
      </c>
      <c r="AQ281" s="287">
        <v>41777</v>
      </c>
      <c r="AR281" s="287">
        <v>32125</v>
      </c>
      <c r="AS281" s="287">
        <v>2689</v>
      </c>
      <c r="AT281" s="287">
        <v>947</v>
      </c>
      <c r="AU281" s="287">
        <v>1742</v>
      </c>
      <c r="AV281" s="353">
        <f t="shared" si="68"/>
        <v>38709.006349293544</v>
      </c>
      <c r="AW281" s="353">
        <f t="shared" si="69"/>
        <v>27133.798690024283</v>
      </c>
      <c r="AX281" s="353">
        <f t="shared" si="70"/>
        <v>11575.207659269263</v>
      </c>
      <c r="AY281" s="390">
        <v>1093836</v>
      </c>
      <c r="AZ281" s="390">
        <v>-1093836</v>
      </c>
      <c r="BA281" s="401">
        <f t="shared" si="71"/>
        <v>6913.5639435999992</v>
      </c>
      <c r="BB281" s="401">
        <v>-7482</v>
      </c>
      <c r="BC281" s="401">
        <v>548</v>
      </c>
      <c r="BD281" s="401">
        <v>60</v>
      </c>
      <c r="BE281" s="401">
        <v>-44</v>
      </c>
      <c r="BG281" s="426">
        <f t="shared" si="72"/>
        <v>0.60615316417306797</v>
      </c>
      <c r="BH281" s="426">
        <f t="shared" si="73"/>
        <v>2.2059035366437222E-2</v>
      </c>
      <c r="BI281" s="426">
        <f t="shared" si="74"/>
        <v>5.6705964122817962E-2</v>
      </c>
      <c r="BJ281" s="426">
        <f t="shared" si="75"/>
        <v>0.31786235908896054</v>
      </c>
      <c r="BK281" s="426">
        <f t="shared" si="76"/>
        <v>-2.7805227512838204E-3</v>
      </c>
      <c r="BL281" s="425">
        <f t="shared" si="77"/>
        <v>121919520.29289356</v>
      </c>
      <c r="BN281" s="423">
        <f t="shared" si="78"/>
        <v>0.61759129343033525</v>
      </c>
      <c r="BO281" s="423">
        <f t="shared" si="79"/>
        <v>3.3486108056886413E-2</v>
      </c>
      <c r="BP281" s="423">
        <f t="shared" si="80"/>
        <v>0.1329106916036237</v>
      </c>
      <c r="BQ281" s="423">
        <f t="shared" si="81"/>
        <v>0.2435576432858379</v>
      </c>
      <c r="BR281" s="423">
        <f t="shared" si="82"/>
        <v>-6.5171487269367343E-3</v>
      </c>
      <c r="BS281" s="423">
        <f t="shared" si="83"/>
        <v>-2.1028587649746463E-2</v>
      </c>
      <c r="BT281" s="425">
        <f t="shared" si="84"/>
        <v>52016612.510136887</v>
      </c>
    </row>
    <row r="282" spans="1:72" x14ac:dyDescent="0.2">
      <c r="A282" s="309">
        <v>186</v>
      </c>
      <c r="B282" s="278" t="s">
        <v>252</v>
      </c>
      <c r="C282" s="278">
        <v>1</v>
      </c>
      <c r="D282" s="279">
        <v>40900</v>
      </c>
      <c r="E282" s="364">
        <v>210295000</v>
      </c>
      <c r="F282" s="279">
        <v>160434266</v>
      </c>
      <c r="G282" s="278">
        <v>4479502.4799999995</v>
      </c>
      <c r="H282" s="279">
        <v>12673846.616499998</v>
      </c>
      <c r="I282" s="279">
        <v>25561343.884095822</v>
      </c>
      <c r="J282" s="279">
        <v>-365174</v>
      </c>
      <c r="K282" s="279">
        <v>513000</v>
      </c>
      <c r="L282" s="280">
        <v>-82208.999999999985</v>
      </c>
      <c r="M282" s="369">
        <v>-6916006.0194042027</v>
      </c>
      <c r="N282" s="370">
        <v>-169.09550169692426</v>
      </c>
      <c r="P282" s="365">
        <v>85331512.347236708</v>
      </c>
      <c r="Q282" s="283">
        <v>62359519</v>
      </c>
      <c r="R282" s="279">
        <v>12673846.616499998</v>
      </c>
      <c r="S282" s="279">
        <v>2901193.9265655894</v>
      </c>
      <c r="T282" s="280">
        <v>13562222.984532613</v>
      </c>
      <c r="U282" s="280">
        <v>-8457105.933948135</v>
      </c>
      <c r="V282" s="279">
        <v>-365174</v>
      </c>
      <c r="W282" s="279">
        <v>513000</v>
      </c>
      <c r="X282" s="279">
        <v>536234.52372068528</v>
      </c>
      <c r="Y282" s="354">
        <v>-1607775.2298659682</v>
      </c>
      <c r="Z282" s="355">
        <v>-39.309907820683819</v>
      </c>
      <c r="AB282" s="366">
        <v>5308230.7895382345</v>
      </c>
      <c r="AC282" s="349">
        <v>129.78559387624045</v>
      </c>
      <c r="AE282" s="374">
        <v>-125.3413318150631</v>
      </c>
      <c r="AF282" s="350">
        <v>-104.78559387624045</v>
      </c>
      <c r="AG282" s="350">
        <v>-79.785593876240455</v>
      </c>
      <c r="AH282" s="350">
        <v>-54.785593876240455</v>
      </c>
      <c r="AI282" s="350">
        <v>-29.785593876240455</v>
      </c>
      <c r="AJ282" s="408">
        <v>-19779</v>
      </c>
      <c r="AK282" s="387">
        <v>-190516</v>
      </c>
      <c r="AL282" s="287">
        <v>-123</v>
      </c>
      <c r="AM282" s="287">
        <v>-19656</v>
      </c>
      <c r="AN282" s="287">
        <v>-65676</v>
      </c>
      <c r="AO282" s="287">
        <v>-124840</v>
      </c>
      <c r="AP282" s="287">
        <v>160434</v>
      </c>
      <c r="AQ282" s="287">
        <v>98074</v>
      </c>
      <c r="AR282" s="287">
        <v>62360</v>
      </c>
      <c r="AS282" s="287">
        <v>4480</v>
      </c>
      <c r="AT282" s="287">
        <v>1579</v>
      </c>
      <c r="AU282" s="287">
        <v>2901</v>
      </c>
      <c r="AV282" s="353">
        <f t="shared" si="68"/>
        <v>25113.960884095821</v>
      </c>
      <c r="AW282" s="353">
        <f t="shared" si="69"/>
        <v>25500.478304747423</v>
      </c>
      <c r="AX282" s="353">
        <f t="shared" si="70"/>
        <v>-386.51742065160255</v>
      </c>
      <c r="AY282" s="390">
        <v>5126460</v>
      </c>
      <c r="AZ282" s="390">
        <v>-5126460</v>
      </c>
      <c r="BA282" s="401">
        <f t="shared" si="71"/>
        <v>12673.846616499997</v>
      </c>
      <c r="BB282" s="401">
        <v>-35671</v>
      </c>
      <c r="BC282" s="401">
        <v>3095</v>
      </c>
      <c r="BD282" s="401">
        <v>27042</v>
      </c>
      <c r="BE282" s="401">
        <v>-8374</v>
      </c>
      <c r="BG282" s="426">
        <f t="shared" si="72"/>
        <v>0.78916282918745162</v>
      </c>
      <c r="BH282" s="426">
        <f t="shared" si="73"/>
        <v>2.2034300642912567E-2</v>
      </c>
      <c r="BI282" s="426">
        <f t="shared" si="74"/>
        <v>6.2341598848745627E-2</v>
      </c>
      <c r="BJ282" s="426">
        <f t="shared" si="75"/>
        <v>0.1239378669293798</v>
      </c>
      <c r="BK282" s="426">
        <f t="shared" si="76"/>
        <v>2.5234043915104937E-3</v>
      </c>
      <c r="BL282" s="425">
        <f t="shared" si="77"/>
        <v>203296784.9805958</v>
      </c>
      <c r="BN282" s="423">
        <f t="shared" si="78"/>
        <v>0.79885583518355907</v>
      </c>
      <c r="BO282" s="423">
        <f t="shared" si="79"/>
        <v>3.7165708369816371E-2</v>
      </c>
      <c r="BP282" s="423">
        <f t="shared" si="80"/>
        <v>0.16235815295195638</v>
      </c>
      <c r="BQ282" s="423">
        <f t="shared" si="81"/>
        <v>6.0720980936321368E-2</v>
      </c>
      <c r="BR282" s="423">
        <f t="shared" si="82"/>
        <v>6.5717800589380074E-3</v>
      </c>
      <c r="BS282" s="423">
        <f t="shared" si="83"/>
        <v>-6.5672457500591058E-2</v>
      </c>
      <c r="BT282" s="425">
        <f t="shared" si="84"/>
        <v>78061042.122413978</v>
      </c>
    </row>
    <row r="283" spans="1:72" x14ac:dyDescent="0.2">
      <c r="A283" s="309">
        <v>858</v>
      </c>
      <c r="B283" s="278" t="s">
        <v>311</v>
      </c>
      <c r="C283" s="278">
        <v>1</v>
      </c>
      <c r="D283" s="279">
        <v>38459</v>
      </c>
      <c r="E283" s="364">
        <v>198898000</v>
      </c>
      <c r="F283" s="279">
        <v>157670454</v>
      </c>
      <c r="G283" s="278">
        <v>6316977.8799999999</v>
      </c>
      <c r="H283" s="279">
        <v>10009206.470100001</v>
      </c>
      <c r="I283" s="279">
        <v>26925228.197194651</v>
      </c>
      <c r="J283" s="279">
        <v>-3684308</v>
      </c>
      <c r="K283" s="279">
        <v>260000</v>
      </c>
      <c r="L283" s="280">
        <v>-77302.59</v>
      </c>
      <c r="M283" s="369">
        <v>-1323138.8627053832</v>
      </c>
      <c r="N283" s="370">
        <v>-34.403881086491673</v>
      </c>
      <c r="P283" s="365">
        <v>89927832.090719506</v>
      </c>
      <c r="Q283" s="283">
        <v>59633526</v>
      </c>
      <c r="R283" s="279">
        <v>10009206.470100001</v>
      </c>
      <c r="S283" s="279">
        <v>4091252.9776532627</v>
      </c>
      <c r="T283" s="280">
        <v>21456517.420358341</v>
      </c>
      <c r="U283" s="280">
        <v>-1179837.701214883</v>
      </c>
      <c r="V283" s="279">
        <v>-3684308</v>
      </c>
      <c r="W283" s="279">
        <v>260000</v>
      </c>
      <c r="X283" s="279">
        <v>518226.63649879122</v>
      </c>
      <c r="Y283" s="354">
        <v>1176751.7126760185</v>
      </c>
      <c r="Z283" s="355">
        <v>30.597563968798422</v>
      </c>
      <c r="AB283" s="366">
        <v>2499890.5753814019</v>
      </c>
      <c r="AC283" s="349">
        <v>65.001445055290105</v>
      </c>
      <c r="AE283" s="374">
        <v>-60.557182994112765</v>
      </c>
      <c r="AF283" s="350">
        <v>-40.001445055290091</v>
      </c>
      <c r="AG283" s="350">
        <v>-15.001445055290091</v>
      </c>
      <c r="AH283" s="350">
        <v>0</v>
      </c>
      <c r="AI283" s="350">
        <v>0</v>
      </c>
      <c r="AJ283" s="408">
        <v>-13617</v>
      </c>
      <c r="AK283" s="387">
        <v>-185281</v>
      </c>
      <c r="AL283" s="287">
        <v>0</v>
      </c>
      <c r="AM283" s="287">
        <v>-13617</v>
      </c>
      <c r="AN283" s="287">
        <v>-76311</v>
      </c>
      <c r="AO283" s="287">
        <v>-108970</v>
      </c>
      <c r="AP283" s="287">
        <v>157670</v>
      </c>
      <c r="AQ283" s="287">
        <v>98036</v>
      </c>
      <c r="AR283" s="287">
        <v>59634</v>
      </c>
      <c r="AS283" s="287">
        <v>6317</v>
      </c>
      <c r="AT283" s="287">
        <v>2226</v>
      </c>
      <c r="AU283" s="287">
        <v>4091</v>
      </c>
      <c r="AV283" s="353">
        <f t="shared" si="68"/>
        <v>23163.61760719465</v>
      </c>
      <c r="AW283" s="353">
        <f t="shared" si="69"/>
        <v>8900.2145888217747</v>
      </c>
      <c r="AX283" s="353">
        <f t="shared" si="70"/>
        <v>14263.403018372876</v>
      </c>
      <c r="AY283" s="390">
        <v>2328969</v>
      </c>
      <c r="AZ283" s="390">
        <v>-2328969</v>
      </c>
      <c r="BA283" s="401">
        <f t="shared" si="71"/>
        <v>10009.2064701</v>
      </c>
      <c r="BB283" s="401">
        <v>-36573</v>
      </c>
      <c r="BC283" s="401">
        <v>1000</v>
      </c>
      <c r="BD283" s="401">
        <v>11461</v>
      </c>
      <c r="BE283" s="401">
        <v>-22705</v>
      </c>
      <c r="BG283" s="426">
        <f t="shared" si="72"/>
        <v>0.79834128158218598</v>
      </c>
      <c r="BH283" s="426">
        <f t="shared" si="73"/>
        <v>3.198509351945876E-2</v>
      </c>
      <c r="BI283" s="426">
        <f t="shared" si="74"/>
        <v>5.0680152928083422E-2</v>
      </c>
      <c r="BJ283" s="426">
        <f t="shared" si="75"/>
        <v>0.11767700000012488</v>
      </c>
      <c r="BK283" s="426">
        <f t="shared" si="76"/>
        <v>1.3164719701471042E-3</v>
      </c>
      <c r="BL283" s="425">
        <f t="shared" si="77"/>
        <v>197497558.54729462</v>
      </c>
      <c r="BN283" s="423">
        <f t="shared" si="78"/>
        <v>0.67567743660223756</v>
      </c>
      <c r="BO283" s="423">
        <f t="shared" si="79"/>
        <v>4.6355926101569578E-2</v>
      </c>
      <c r="BP283" s="423">
        <f t="shared" si="80"/>
        <v>0.11340927534856314</v>
      </c>
      <c r="BQ283" s="423">
        <f t="shared" si="81"/>
        <v>0.18799980384091849</v>
      </c>
      <c r="BR283" s="423">
        <f t="shared" si="82"/>
        <v>2.9459289983386487E-3</v>
      </c>
      <c r="BS283" s="423">
        <f t="shared" si="83"/>
        <v>-2.6388370891627492E-2</v>
      </c>
      <c r="BT283" s="425">
        <f t="shared" si="84"/>
        <v>88257388.466126144</v>
      </c>
    </row>
    <row r="284" spans="1:72" x14ac:dyDescent="0.2">
      <c r="A284" s="309">
        <v>857</v>
      </c>
      <c r="B284" s="278" t="s">
        <v>192</v>
      </c>
      <c r="C284" s="278">
        <v>11</v>
      </c>
      <c r="D284" s="279">
        <v>2719</v>
      </c>
      <c r="E284" s="364">
        <v>19292000</v>
      </c>
      <c r="F284" s="279">
        <v>7031570</v>
      </c>
      <c r="G284" s="278">
        <v>631261.83499999996</v>
      </c>
      <c r="H284" s="279">
        <v>971938.0675</v>
      </c>
      <c r="I284" s="279">
        <v>9900805.7851660345</v>
      </c>
      <c r="J284" s="279">
        <v>5675</v>
      </c>
      <c r="K284" s="279">
        <v>135000</v>
      </c>
      <c r="L284" s="280">
        <v>-5465.19</v>
      </c>
      <c r="M284" s="369">
        <v>-610284.12233396387</v>
      </c>
      <c r="N284" s="370">
        <v>-224.45168162337765</v>
      </c>
      <c r="P284" s="365">
        <v>6882385.8259280808</v>
      </c>
      <c r="Q284" s="283">
        <v>3385149</v>
      </c>
      <c r="R284" s="279">
        <v>971938.0675</v>
      </c>
      <c r="S284" s="279">
        <v>408842.94850856951</v>
      </c>
      <c r="T284" s="280">
        <v>1650662.2724340819</v>
      </c>
      <c r="U284" s="280">
        <v>-188278.09927035435</v>
      </c>
      <c r="V284" s="279">
        <v>5675</v>
      </c>
      <c r="W284" s="279">
        <v>135000</v>
      </c>
      <c r="X284" s="279">
        <v>32133.623843934402</v>
      </c>
      <c r="Y284" s="354">
        <v>-481263.01291184966</v>
      </c>
      <c r="Z284" s="355">
        <v>-177.0000047487494</v>
      </c>
      <c r="AB284" s="366">
        <v>129021.10942211421</v>
      </c>
      <c r="AC284" s="349">
        <v>47.451676874628248</v>
      </c>
      <c r="AE284" s="374">
        <v>-43.0074148134523</v>
      </c>
      <c r="AF284" s="350">
        <v>-22.451676874629641</v>
      </c>
      <c r="AG284" s="350">
        <v>0</v>
      </c>
      <c r="AH284" s="350">
        <v>0</v>
      </c>
      <c r="AI284" s="350">
        <v>0</v>
      </c>
      <c r="AJ284" s="408">
        <v>-1220</v>
      </c>
      <c r="AK284" s="387">
        <v>-18072</v>
      </c>
      <c r="AL284" s="287">
        <v>-286</v>
      </c>
      <c r="AM284" s="287">
        <v>-934</v>
      </c>
      <c r="AN284" s="287">
        <v>-5948</v>
      </c>
      <c r="AO284" s="287">
        <v>-12124</v>
      </c>
      <c r="AP284" s="287">
        <v>7032</v>
      </c>
      <c r="AQ284" s="287">
        <v>3647</v>
      </c>
      <c r="AR284" s="287">
        <v>3385</v>
      </c>
      <c r="AS284" s="287">
        <v>631</v>
      </c>
      <c r="AT284" s="287">
        <v>222</v>
      </c>
      <c r="AU284" s="287">
        <v>409</v>
      </c>
      <c r="AV284" s="353">
        <f t="shared" si="68"/>
        <v>9901.0155951660345</v>
      </c>
      <c r="AW284" s="353">
        <f t="shared" si="69"/>
        <v>8549.8935828800841</v>
      </c>
      <c r="AX284" s="353">
        <f t="shared" si="70"/>
        <v>1351.1220122859509</v>
      </c>
      <c r="AY284" s="390">
        <v>116937</v>
      </c>
      <c r="AZ284" s="390">
        <v>-116937</v>
      </c>
      <c r="BA284" s="401">
        <f t="shared" si="71"/>
        <v>971.93806749999999</v>
      </c>
      <c r="BB284" s="401">
        <v>-1141</v>
      </c>
      <c r="BC284" s="401">
        <v>0</v>
      </c>
      <c r="BD284" s="401">
        <v>40</v>
      </c>
      <c r="BE284" s="401">
        <v>-638</v>
      </c>
      <c r="BG284" s="426">
        <f t="shared" si="72"/>
        <v>0.37649794477452114</v>
      </c>
      <c r="BH284" s="426">
        <f t="shared" si="73"/>
        <v>3.3800244254425807E-2</v>
      </c>
      <c r="BI284" s="426">
        <f t="shared" si="74"/>
        <v>5.2041391163263652E-2</v>
      </c>
      <c r="BJ284" s="426">
        <f t="shared" si="75"/>
        <v>0.53043198824207061</v>
      </c>
      <c r="BK284" s="426">
        <f t="shared" si="76"/>
        <v>7.2284315657186599E-3</v>
      </c>
      <c r="BL284" s="425">
        <f t="shared" si="77"/>
        <v>18676250.687666036</v>
      </c>
      <c r="BN284" s="423">
        <f t="shared" si="78"/>
        <v>0.54144606997511269</v>
      </c>
      <c r="BO284" s="423">
        <f t="shared" si="79"/>
        <v>6.5393401503745424E-2</v>
      </c>
      <c r="BP284" s="423">
        <f t="shared" si="80"/>
        <v>0.15545904978099362</v>
      </c>
      <c r="BQ284" s="423">
        <f t="shared" si="81"/>
        <v>0.23481237304485378</v>
      </c>
      <c r="BR284" s="423">
        <f t="shared" si="82"/>
        <v>2.1592910517865008E-2</v>
      </c>
      <c r="BS284" s="423">
        <f t="shared" si="83"/>
        <v>-1.8703804822570513E-2</v>
      </c>
      <c r="BT284" s="425">
        <f t="shared" si="84"/>
        <v>6252052.0282945205</v>
      </c>
    </row>
    <row r="285" spans="1:72" x14ac:dyDescent="0.2">
      <c r="A285" s="309">
        <v>859</v>
      </c>
      <c r="B285" s="278" t="s">
        <v>193</v>
      </c>
      <c r="C285" s="278">
        <v>17</v>
      </c>
      <c r="D285" s="279">
        <v>6793</v>
      </c>
      <c r="E285" s="364">
        <v>37413000</v>
      </c>
      <c r="F285" s="279">
        <v>16232972</v>
      </c>
      <c r="G285" s="278">
        <v>407980.30500000005</v>
      </c>
      <c r="H285" s="279">
        <v>898563.1904000002</v>
      </c>
      <c r="I285" s="279">
        <v>20306157.286229134</v>
      </c>
      <c r="J285" s="279">
        <v>-1190942</v>
      </c>
      <c r="K285" s="279">
        <v>-186000</v>
      </c>
      <c r="L285" s="280">
        <v>-13653.929999999998</v>
      </c>
      <c r="M285" s="369">
        <v>-930615.2883708697</v>
      </c>
      <c r="N285" s="370">
        <v>-136.99621498172672</v>
      </c>
      <c r="P285" s="365">
        <v>18926871.902091064</v>
      </c>
      <c r="Q285" s="283">
        <v>6950261</v>
      </c>
      <c r="R285" s="279">
        <v>898563.1904000002</v>
      </c>
      <c r="S285" s="279">
        <v>264232.46516974294</v>
      </c>
      <c r="T285" s="280">
        <v>13991379.246740643</v>
      </c>
      <c r="U285" s="280">
        <v>-1185799.7680262963</v>
      </c>
      <c r="V285" s="279">
        <v>-1190942</v>
      </c>
      <c r="W285" s="279">
        <v>-186000</v>
      </c>
      <c r="X285" s="279">
        <v>78047.635430675175</v>
      </c>
      <c r="Y285" s="354">
        <v>692869.86762370169</v>
      </c>
      <c r="Z285" s="355">
        <v>101.99762514701924</v>
      </c>
      <c r="AB285" s="366">
        <v>1623485.1559945713</v>
      </c>
      <c r="AC285" s="349">
        <v>238.99384012874594</v>
      </c>
      <c r="AE285" s="374">
        <v>-234.54957806756863</v>
      </c>
      <c r="AF285" s="350">
        <v>-213.99384012874594</v>
      </c>
      <c r="AG285" s="350">
        <v>-188.99384012874594</v>
      </c>
      <c r="AH285" s="350">
        <v>-163.99384012874594</v>
      </c>
      <c r="AI285" s="350">
        <v>-138.99384012874594</v>
      </c>
      <c r="AJ285" s="408">
        <v>-1650</v>
      </c>
      <c r="AK285" s="387">
        <v>-35763</v>
      </c>
      <c r="AL285" s="287">
        <v>-205</v>
      </c>
      <c r="AM285" s="287">
        <v>-1445</v>
      </c>
      <c r="AN285" s="287">
        <v>-17482</v>
      </c>
      <c r="AO285" s="287">
        <v>-18281</v>
      </c>
      <c r="AP285" s="287">
        <v>16233</v>
      </c>
      <c r="AQ285" s="287">
        <v>9283</v>
      </c>
      <c r="AR285" s="287">
        <v>6950</v>
      </c>
      <c r="AS285" s="287">
        <v>408</v>
      </c>
      <c r="AT285" s="287">
        <v>144</v>
      </c>
      <c r="AU285" s="287">
        <v>264</v>
      </c>
      <c r="AV285" s="353">
        <f t="shared" si="68"/>
        <v>19101.561356229133</v>
      </c>
      <c r="AW285" s="353">
        <f t="shared" si="69"/>
        <v>9080.2191613277791</v>
      </c>
      <c r="AX285" s="353">
        <f t="shared" si="70"/>
        <v>10021.342194901354</v>
      </c>
      <c r="AY285" s="390">
        <v>1593295</v>
      </c>
      <c r="AZ285" s="390">
        <v>-1593295</v>
      </c>
      <c r="BA285" s="401">
        <f t="shared" si="71"/>
        <v>898.56319040000017</v>
      </c>
      <c r="BB285" s="401">
        <v>-10013</v>
      </c>
      <c r="BC285" s="401">
        <v>415</v>
      </c>
      <c r="BD285" s="401">
        <v>40</v>
      </c>
      <c r="BE285" s="401">
        <v>-7906</v>
      </c>
      <c r="BG285" s="426">
        <f t="shared" si="72"/>
        <v>0.44512028941180609</v>
      </c>
      <c r="BH285" s="426">
        <f t="shared" si="73"/>
        <v>1.1187126512379677E-2</v>
      </c>
      <c r="BI285" s="426">
        <f t="shared" si="74"/>
        <v>2.4639277845464398E-2</v>
      </c>
      <c r="BJ285" s="426">
        <f t="shared" si="75"/>
        <v>0.52415356598750318</v>
      </c>
      <c r="BK285" s="426">
        <f t="shared" si="76"/>
        <v>-5.1002597571532761E-3</v>
      </c>
      <c r="BL285" s="425">
        <f t="shared" si="77"/>
        <v>36468730.78162913</v>
      </c>
      <c r="BN285" s="423">
        <f t="shared" si="78"/>
        <v>0.38723571154747177</v>
      </c>
      <c r="BO285" s="423">
        <f t="shared" si="79"/>
        <v>1.472178478821845E-2</v>
      </c>
      <c r="BP285" s="423">
        <f t="shared" si="80"/>
        <v>5.0063696371245692E-2</v>
      </c>
      <c r="BQ285" s="423">
        <f t="shared" si="81"/>
        <v>0.64711273554128168</v>
      </c>
      <c r="BR285" s="423">
        <f t="shared" si="82"/>
        <v>-1.0363041380435893E-2</v>
      </c>
      <c r="BS285" s="423">
        <f t="shared" si="83"/>
        <v>-8.8770886867781743E-2</v>
      </c>
      <c r="BT285" s="425">
        <f t="shared" si="84"/>
        <v>17948398.850471098</v>
      </c>
    </row>
    <row r="286" spans="1:72" x14ac:dyDescent="0.2">
      <c r="A286" s="309">
        <v>833</v>
      </c>
      <c r="B286" s="278" t="s">
        <v>306</v>
      </c>
      <c r="C286" s="278">
        <v>2</v>
      </c>
      <c r="D286" s="279">
        <v>1633</v>
      </c>
      <c r="E286" s="364">
        <v>10228000</v>
      </c>
      <c r="F286" s="279">
        <v>4837020</v>
      </c>
      <c r="G286" s="278">
        <v>202431.24000000002</v>
      </c>
      <c r="H286" s="279">
        <v>1244309.1414999999</v>
      </c>
      <c r="I286" s="279">
        <v>4804091.2318046261</v>
      </c>
      <c r="J286" s="279">
        <v>-357179</v>
      </c>
      <c r="K286" s="279">
        <v>-137000</v>
      </c>
      <c r="L286" s="280">
        <v>217528.73234424941</v>
      </c>
      <c r="M286" s="369">
        <v>148143.88096037679</v>
      </c>
      <c r="N286" s="370">
        <v>90.718849332747567</v>
      </c>
      <c r="P286" s="365">
        <v>4214273.713720317</v>
      </c>
      <c r="Q286" s="283">
        <v>2131376</v>
      </c>
      <c r="R286" s="279">
        <v>1244309.1414999999</v>
      </c>
      <c r="S286" s="279">
        <v>131106.58754119975</v>
      </c>
      <c r="T286" s="280">
        <v>669876.8099913121</v>
      </c>
      <c r="U286" s="280">
        <v>226702.4383743543</v>
      </c>
      <c r="V286" s="279">
        <v>-357179</v>
      </c>
      <c r="W286" s="279">
        <v>-137000</v>
      </c>
      <c r="X286" s="279">
        <v>20028.129558406552</v>
      </c>
      <c r="Y286" s="354">
        <v>-285053.60675504431</v>
      </c>
      <c r="Z286" s="355">
        <v>-174.55824051135599</v>
      </c>
      <c r="AB286" s="366">
        <v>-433197.48771542113</v>
      </c>
      <c r="AC286" s="349">
        <v>-265.27708984410356</v>
      </c>
      <c r="AE286" s="374">
        <v>269.72135190528087</v>
      </c>
      <c r="AF286" s="350">
        <v>240.27708984410356</v>
      </c>
      <c r="AG286" s="350">
        <v>215.27708984410356</v>
      </c>
      <c r="AH286" s="350">
        <v>190.27708984410356</v>
      </c>
      <c r="AI286" s="350">
        <v>165.27708984410356</v>
      </c>
      <c r="AJ286" s="408">
        <v>-573</v>
      </c>
      <c r="AK286" s="387">
        <v>-9655</v>
      </c>
      <c r="AL286" s="287">
        <v>-50</v>
      </c>
      <c r="AM286" s="287">
        <v>-523</v>
      </c>
      <c r="AN286" s="287">
        <v>-3691</v>
      </c>
      <c r="AO286" s="287">
        <v>-5964</v>
      </c>
      <c r="AP286" s="287">
        <v>4837</v>
      </c>
      <c r="AQ286" s="287">
        <v>2706</v>
      </c>
      <c r="AR286" s="287">
        <v>2131</v>
      </c>
      <c r="AS286" s="287">
        <v>202</v>
      </c>
      <c r="AT286" s="287">
        <v>71</v>
      </c>
      <c r="AU286" s="287">
        <v>131</v>
      </c>
      <c r="AV286" s="353">
        <f t="shared" si="68"/>
        <v>4664.4409641488755</v>
      </c>
      <c r="AW286" s="353">
        <f t="shared" si="69"/>
        <v>3684.5857481218854</v>
      </c>
      <c r="AX286" s="353">
        <f t="shared" si="70"/>
        <v>979.85521602698998</v>
      </c>
      <c r="AY286" s="390">
        <v>440455</v>
      </c>
      <c r="AZ286" s="390">
        <v>440455</v>
      </c>
      <c r="BA286" s="401">
        <f t="shared" si="71"/>
        <v>1244.3091414999999</v>
      </c>
      <c r="BB286" s="401">
        <v>-502</v>
      </c>
      <c r="BC286" s="401">
        <v>192</v>
      </c>
      <c r="BD286" s="401">
        <v>0</v>
      </c>
      <c r="BE286" s="401">
        <v>411</v>
      </c>
      <c r="BG286" s="426">
        <f t="shared" si="72"/>
        <v>0.45659519380702512</v>
      </c>
      <c r="BH286" s="426">
        <f t="shared" si="73"/>
        <v>1.9108693216153008E-2</v>
      </c>
      <c r="BI286" s="426">
        <f t="shared" si="74"/>
        <v>0.11745776813390175</v>
      </c>
      <c r="BJ286" s="426">
        <f t="shared" si="75"/>
        <v>0.4197705927045296</v>
      </c>
      <c r="BK286" s="426">
        <f t="shared" si="76"/>
        <v>-1.2932247861609512E-2</v>
      </c>
      <c r="BL286" s="425">
        <f t="shared" si="77"/>
        <v>10593672.613304626</v>
      </c>
      <c r="BN286" s="423">
        <f t="shared" si="78"/>
        <v>0.4900112645732414</v>
      </c>
      <c r="BO286" s="423">
        <f t="shared" si="79"/>
        <v>3.0141891789597738E-2</v>
      </c>
      <c r="BP286" s="423">
        <f t="shared" si="80"/>
        <v>0.28607129663956959</v>
      </c>
      <c r="BQ286" s="423">
        <f t="shared" si="81"/>
        <v>0.12401012201168667</v>
      </c>
      <c r="BR286" s="423">
        <f t="shared" si="82"/>
        <v>-3.1496809219271525E-2</v>
      </c>
      <c r="BS286" s="423">
        <f t="shared" si="83"/>
        <v>0.10126223420517608</v>
      </c>
      <c r="BT286" s="425">
        <f t="shared" si="84"/>
        <v>4349646.9450681899</v>
      </c>
    </row>
    <row r="287" spans="1:72" x14ac:dyDescent="0.2">
      <c r="A287" s="309">
        <v>564</v>
      </c>
      <c r="B287" s="278" t="s">
        <v>287</v>
      </c>
      <c r="C287" s="278">
        <v>17</v>
      </c>
      <c r="D287" s="279">
        <v>198525</v>
      </c>
      <c r="E287" s="364">
        <v>1054063000</v>
      </c>
      <c r="F287" s="279">
        <v>649401872</v>
      </c>
      <c r="G287" s="278">
        <v>36047183.004999995</v>
      </c>
      <c r="H287" s="279">
        <v>55525955.023599997</v>
      </c>
      <c r="I287" s="279">
        <v>274539023.68520278</v>
      </c>
      <c r="J287" s="279">
        <v>-4746417</v>
      </c>
      <c r="K287" s="279">
        <v>26909000</v>
      </c>
      <c r="L287" s="280">
        <v>-399035.24999999994</v>
      </c>
      <c r="M287" s="369">
        <v>-15987348.036197186</v>
      </c>
      <c r="N287" s="370">
        <v>-80.530653752409947</v>
      </c>
      <c r="P287" s="365">
        <v>479005674.02488601</v>
      </c>
      <c r="Q287" s="283">
        <v>260871804</v>
      </c>
      <c r="R287" s="279">
        <v>55525955.023599997</v>
      </c>
      <c r="S287" s="279">
        <v>23346313.317345083</v>
      </c>
      <c r="T287" s="280">
        <v>125605977.59385952</v>
      </c>
      <c r="U287" s="280">
        <v>-20103536.109074984</v>
      </c>
      <c r="V287" s="279">
        <v>-4746417</v>
      </c>
      <c r="W287" s="279">
        <v>26909000</v>
      </c>
      <c r="X287" s="279">
        <v>2479902.4173796405</v>
      </c>
      <c r="Y287" s="354">
        <v>-9116674.7817768455</v>
      </c>
      <c r="Z287" s="355">
        <v>-45.922049020409752</v>
      </c>
      <c r="AB287" s="366">
        <v>6870673.2544203401</v>
      </c>
      <c r="AC287" s="349">
        <v>34.608604732000202</v>
      </c>
      <c r="AE287" s="374">
        <v>-30.16434267082348</v>
      </c>
      <c r="AF287" s="350">
        <v>-9.6086047320008063</v>
      </c>
      <c r="AG287" s="350">
        <v>0</v>
      </c>
      <c r="AH287" s="350">
        <v>0</v>
      </c>
      <c r="AI287" s="350">
        <v>0</v>
      </c>
      <c r="AJ287" s="408">
        <v>-79969</v>
      </c>
      <c r="AK287" s="387">
        <v>-974094</v>
      </c>
      <c r="AL287" s="287">
        <v>-1782</v>
      </c>
      <c r="AM287" s="287">
        <v>-78187</v>
      </c>
      <c r="AN287" s="287">
        <v>-400819</v>
      </c>
      <c r="AO287" s="287">
        <v>-573275</v>
      </c>
      <c r="AP287" s="287">
        <v>649402</v>
      </c>
      <c r="AQ287" s="287">
        <v>388530</v>
      </c>
      <c r="AR287" s="287">
        <v>260872</v>
      </c>
      <c r="AS287" s="287">
        <v>36047</v>
      </c>
      <c r="AT287" s="287">
        <v>12701</v>
      </c>
      <c r="AU287" s="287">
        <v>23346</v>
      </c>
      <c r="AV287" s="353">
        <f t="shared" si="68"/>
        <v>269393.57143520279</v>
      </c>
      <c r="AW287" s="353">
        <f t="shared" si="69"/>
        <v>174625.92307914345</v>
      </c>
      <c r="AX287" s="353">
        <f t="shared" si="70"/>
        <v>94767.648356059319</v>
      </c>
      <c r="AY287" s="390">
        <v>5988376</v>
      </c>
      <c r="AZ287" s="390">
        <v>-5988376</v>
      </c>
      <c r="BA287" s="401">
        <f t="shared" si="71"/>
        <v>55525.9550236</v>
      </c>
      <c r="BB287" s="401">
        <v>-152223</v>
      </c>
      <c r="BC287" s="401">
        <v>800</v>
      </c>
      <c r="BD287" s="401">
        <v>20089</v>
      </c>
      <c r="BE287" s="401">
        <v>-96304</v>
      </c>
      <c r="BG287" s="426">
        <f t="shared" si="72"/>
        <v>0.62582297947175269</v>
      </c>
      <c r="BH287" s="426">
        <f t="shared" si="73"/>
        <v>3.4738359161601902E-2</v>
      </c>
      <c r="BI287" s="426">
        <f t="shared" si="74"/>
        <v>5.3509883647030639E-2</v>
      </c>
      <c r="BJ287" s="426">
        <f t="shared" si="75"/>
        <v>0.25999680665408414</v>
      </c>
      <c r="BK287" s="426">
        <f t="shared" si="76"/>
        <v>2.5931971065530579E-2</v>
      </c>
      <c r="BL287" s="425">
        <f t="shared" si="77"/>
        <v>1037676616.7138028</v>
      </c>
      <c r="BN287" s="423">
        <f t="shared" si="78"/>
        <v>0.56536646990177886</v>
      </c>
      <c r="BO287" s="423">
        <f t="shared" si="79"/>
        <v>5.0596586304314732E-2</v>
      </c>
      <c r="BP287" s="423">
        <f t="shared" si="80"/>
        <v>0.1203369344569629</v>
      </c>
      <c r="BQ287" s="423">
        <f t="shared" si="81"/>
        <v>0.21836042458731889</v>
      </c>
      <c r="BR287" s="423">
        <f t="shared" si="82"/>
        <v>5.8317710481992018E-2</v>
      </c>
      <c r="BS287" s="423">
        <f t="shared" si="83"/>
        <v>-1.2978125732367247E-2</v>
      </c>
      <c r="BT287" s="425">
        <f t="shared" si="84"/>
        <v>461420720.69700432</v>
      </c>
    </row>
    <row r="288" spans="1:72" x14ac:dyDescent="0.2">
      <c r="A288" s="309">
        <v>886</v>
      </c>
      <c r="B288" s="278" t="s">
        <v>312</v>
      </c>
      <c r="C288" s="278">
        <v>4</v>
      </c>
      <c r="D288" s="279">
        <v>13352</v>
      </c>
      <c r="E288" s="364">
        <v>69403000</v>
      </c>
      <c r="F288" s="279">
        <v>45593442</v>
      </c>
      <c r="G288" s="278">
        <v>1544249.0350000001</v>
      </c>
      <c r="H288" s="279">
        <v>2620794.0935000004</v>
      </c>
      <c r="I288" s="279">
        <v>21575443.202478126</v>
      </c>
      <c r="J288" s="279">
        <v>-571892</v>
      </c>
      <c r="K288" s="279">
        <v>-16000</v>
      </c>
      <c r="L288" s="280">
        <v>-26837.519999999997</v>
      </c>
      <c r="M288" s="369">
        <v>1369873.8509781254</v>
      </c>
      <c r="N288" s="370">
        <v>102.5969031589369</v>
      </c>
      <c r="P288" s="365">
        <v>28133763.060606062</v>
      </c>
      <c r="Q288" s="283">
        <v>19916463</v>
      </c>
      <c r="R288" s="279">
        <v>2620794.0935000004</v>
      </c>
      <c r="S288" s="279">
        <v>1000148.1060563613</v>
      </c>
      <c r="T288" s="280">
        <v>8507743.698227182</v>
      </c>
      <c r="U288" s="280">
        <v>-1019870.1387594338</v>
      </c>
      <c r="V288" s="279">
        <v>-571892</v>
      </c>
      <c r="W288" s="279">
        <v>-16000</v>
      </c>
      <c r="X288" s="279">
        <v>167255.5174362541</v>
      </c>
      <c r="Y288" s="354">
        <v>2470879.215854302</v>
      </c>
      <c r="Z288" s="355">
        <v>185.05686158285664</v>
      </c>
      <c r="AB288" s="366">
        <v>1101005.3648761767</v>
      </c>
      <c r="AC288" s="349">
        <v>82.459958423919758</v>
      </c>
      <c r="AE288" s="374">
        <v>-78.015696362742418</v>
      </c>
      <c r="AF288" s="350">
        <v>-57.459958423919744</v>
      </c>
      <c r="AG288" s="350">
        <v>-32.459958423919744</v>
      </c>
      <c r="AH288" s="350">
        <v>-7.4599584239197441</v>
      </c>
      <c r="AI288" s="350">
        <v>0</v>
      </c>
      <c r="AJ288" s="408">
        <v>-2857</v>
      </c>
      <c r="AK288" s="387">
        <v>-66546</v>
      </c>
      <c r="AL288" s="287">
        <v>-60</v>
      </c>
      <c r="AM288" s="287">
        <v>-2797</v>
      </c>
      <c r="AN288" s="287">
        <v>-25337</v>
      </c>
      <c r="AO288" s="287">
        <v>-41209</v>
      </c>
      <c r="AP288" s="287">
        <v>45593</v>
      </c>
      <c r="AQ288" s="287">
        <v>25677</v>
      </c>
      <c r="AR288" s="287">
        <v>19916</v>
      </c>
      <c r="AS288" s="287">
        <v>1544</v>
      </c>
      <c r="AT288" s="287">
        <v>544</v>
      </c>
      <c r="AU288" s="287">
        <v>1000</v>
      </c>
      <c r="AV288" s="353">
        <f t="shared" si="68"/>
        <v>20976.713682478126</v>
      </c>
      <c r="AW288" s="353">
        <f t="shared" si="69"/>
        <v>15102.397700845715</v>
      </c>
      <c r="AX288" s="353">
        <f t="shared" si="70"/>
        <v>5874.3159816324114</v>
      </c>
      <c r="AY288" s="390">
        <v>1041666</v>
      </c>
      <c r="AZ288" s="390">
        <v>-1041666</v>
      </c>
      <c r="BA288" s="401">
        <f t="shared" si="71"/>
        <v>2620.7940935000006</v>
      </c>
      <c r="BB288" s="401">
        <v>-4820</v>
      </c>
      <c r="BC288" s="401">
        <v>0</v>
      </c>
      <c r="BD288" s="401">
        <v>600</v>
      </c>
      <c r="BE288" s="401">
        <v>-2573</v>
      </c>
      <c r="BG288" s="426">
        <f t="shared" si="72"/>
        <v>0.6444663809389366</v>
      </c>
      <c r="BH288" s="426">
        <f t="shared" si="73"/>
        <v>2.18280643706368E-2</v>
      </c>
      <c r="BI288" s="426">
        <f t="shared" si="74"/>
        <v>3.7045101456127973E-2</v>
      </c>
      <c r="BJ288" s="426">
        <f t="shared" si="75"/>
        <v>0.29688661431454832</v>
      </c>
      <c r="BK288" s="426">
        <f t="shared" si="76"/>
        <v>-2.2616108024972069E-4</v>
      </c>
      <c r="BL288" s="425">
        <f t="shared" si="77"/>
        <v>70746036.330978125</v>
      </c>
      <c r="BN288" s="423">
        <f t="shared" si="78"/>
        <v>0.67752932058510462</v>
      </c>
      <c r="BO288" s="423">
        <f t="shared" si="79"/>
        <v>3.4023594790944842E-2</v>
      </c>
      <c r="BP288" s="423">
        <f t="shared" si="80"/>
        <v>8.9155631778720476E-2</v>
      </c>
      <c r="BQ288" s="423">
        <f t="shared" si="81"/>
        <v>0.23527170899598468</v>
      </c>
      <c r="BR288" s="423">
        <f t="shared" si="82"/>
        <v>-5.442969029873264E-4</v>
      </c>
      <c r="BS288" s="423">
        <f t="shared" si="83"/>
        <v>-3.5435959247767344E-2</v>
      </c>
      <c r="BT288" s="425">
        <f t="shared" si="84"/>
        <v>29395721.181188773</v>
      </c>
    </row>
    <row r="289" spans="1:72" x14ac:dyDescent="0.2">
      <c r="A289" s="309">
        <v>887</v>
      </c>
      <c r="B289" s="278" t="s">
        <v>194</v>
      </c>
      <c r="C289" s="278">
        <v>6</v>
      </c>
      <c r="D289" s="279">
        <v>4928</v>
      </c>
      <c r="E289" s="364">
        <v>29800000</v>
      </c>
      <c r="F289" s="279">
        <v>13594159</v>
      </c>
      <c r="G289" s="278">
        <v>734682.17500000005</v>
      </c>
      <c r="H289" s="279">
        <v>1520187.0885000001</v>
      </c>
      <c r="I289" s="279">
        <v>13895772.347627832</v>
      </c>
      <c r="J289" s="279">
        <v>-458157</v>
      </c>
      <c r="K289" s="279">
        <v>6000</v>
      </c>
      <c r="L289" s="280">
        <v>-9905.2799999999988</v>
      </c>
      <c r="M289" s="369">
        <v>-497451.10887216893</v>
      </c>
      <c r="N289" s="370">
        <v>-100.94381267698233</v>
      </c>
      <c r="P289" s="365">
        <v>11375629.775004558</v>
      </c>
      <c r="Q289" s="283">
        <v>6298442</v>
      </c>
      <c r="R289" s="279">
        <v>1520187.0885000001</v>
      </c>
      <c r="S289" s="279">
        <v>475824.15091463423</v>
      </c>
      <c r="T289" s="280">
        <v>2869993.1868031654</v>
      </c>
      <c r="U289" s="280">
        <v>60497.861438171298</v>
      </c>
      <c r="V289" s="279">
        <v>-458157</v>
      </c>
      <c r="W289" s="279">
        <v>6000</v>
      </c>
      <c r="X289" s="279">
        <v>59660.597965533649</v>
      </c>
      <c r="Y289" s="354">
        <v>-543181.88938305341</v>
      </c>
      <c r="Z289" s="355">
        <v>-110.22359768324948</v>
      </c>
      <c r="AB289" s="366">
        <v>-45730.780510884477</v>
      </c>
      <c r="AC289" s="349">
        <v>-9.2797850062671419</v>
      </c>
      <c r="AE289" s="374">
        <v>13.724047067444474</v>
      </c>
      <c r="AF289" s="350">
        <v>0</v>
      </c>
      <c r="AG289" s="350">
        <v>0</v>
      </c>
      <c r="AH289" s="350">
        <v>0</v>
      </c>
      <c r="AI289" s="350">
        <v>0</v>
      </c>
      <c r="AJ289" s="408">
        <v>-1246</v>
      </c>
      <c r="AK289" s="387">
        <v>-28554</v>
      </c>
      <c r="AL289" s="287">
        <v>-2</v>
      </c>
      <c r="AM289" s="287">
        <v>-1244</v>
      </c>
      <c r="AN289" s="287">
        <v>-10132</v>
      </c>
      <c r="AO289" s="287">
        <v>-18422</v>
      </c>
      <c r="AP289" s="287">
        <v>13594</v>
      </c>
      <c r="AQ289" s="287">
        <v>7296</v>
      </c>
      <c r="AR289" s="287">
        <v>6298</v>
      </c>
      <c r="AS289" s="287">
        <v>735</v>
      </c>
      <c r="AT289" s="287">
        <v>259</v>
      </c>
      <c r="AU289" s="287">
        <v>476</v>
      </c>
      <c r="AV289" s="353">
        <f t="shared" si="68"/>
        <v>13427.710067627833</v>
      </c>
      <c r="AW289" s="353">
        <f t="shared" si="69"/>
        <v>10887.74391543813</v>
      </c>
      <c r="AX289" s="353">
        <f t="shared" si="70"/>
        <v>2539.9661521897033</v>
      </c>
      <c r="AY289" s="390">
        <v>67632</v>
      </c>
      <c r="AZ289" s="390">
        <v>67632</v>
      </c>
      <c r="BA289" s="401">
        <f t="shared" si="71"/>
        <v>1520.1870885000001</v>
      </c>
      <c r="BB289" s="401">
        <v>-4913</v>
      </c>
      <c r="BC289" s="401">
        <v>150</v>
      </c>
      <c r="BD289" s="401">
        <v>1500</v>
      </c>
      <c r="BE289" s="401">
        <v>-2820</v>
      </c>
      <c r="BG289" s="426">
        <f t="shared" si="72"/>
        <v>0.46408098840337458</v>
      </c>
      <c r="BH289" s="426">
        <f t="shared" si="73"/>
        <v>2.5080774024810293E-2</v>
      </c>
      <c r="BI289" s="426">
        <f t="shared" si="74"/>
        <v>5.1896548112253825E-2</v>
      </c>
      <c r="BJ289" s="426">
        <f t="shared" si="75"/>
        <v>0.45873685987573637</v>
      </c>
      <c r="BK289" s="426">
        <f t="shared" si="76"/>
        <v>2.0482958382495362E-4</v>
      </c>
      <c r="BL289" s="425">
        <f t="shared" si="77"/>
        <v>29292643.611127831</v>
      </c>
      <c r="BN289" s="423">
        <f t="shared" si="78"/>
        <v>0.5810146058443092</v>
      </c>
      <c r="BO289" s="423">
        <f t="shared" si="79"/>
        <v>4.3893518666182726E-2</v>
      </c>
      <c r="BP289" s="423">
        <f t="shared" si="80"/>
        <v>0.14023323578028271</v>
      </c>
      <c r="BQ289" s="423">
        <f t="shared" si="81"/>
        <v>0.22806627298535187</v>
      </c>
      <c r="BR289" s="423">
        <f t="shared" si="82"/>
        <v>5.5348412116295665E-4</v>
      </c>
      <c r="BS289" s="423">
        <f t="shared" si="83"/>
        <v>6.2388826027105476E-3</v>
      </c>
      <c r="BT289" s="425">
        <f t="shared" si="84"/>
        <v>10840419.391604338</v>
      </c>
    </row>
    <row r="290" spans="1:72" x14ac:dyDescent="0.2">
      <c r="A290" s="309">
        <v>889</v>
      </c>
      <c r="B290" s="278" t="s">
        <v>195</v>
      </c>
      <c r="C290" s="278">
        <v>17</v>
      </c>
      <c r="D290" s="279">
        <v>2861</v>
      </c>
      <c r="E290" s="364">
        <v>21871000</v>
      </c>
      <c r="F290" s="279">
        <v>6801004</v>
      </c>
      <c r="G290" s="278">
        <v>830326.32</v>
      </c>
      <c r="H290" s="279">
        <v>2667294.5209999997</v>
      </c>
      <c r="I290" s="279">
        <v>11654115.759841895</v>
      </c>
      <c r="J290" s="279">
        <v>193004</v>
      </c>
      <c r="K290" s="279">
        <v>14000</v>
      </c>
      <c r="L290" s="280">
        <v>318677.52215149201</v>
      </c>
      <c r="M290" s="369">
        <v>-29932.921309597266</v>
      </c>
      <c r="N290" s="370">
        <v>-10.462398220761015</v>
      </c>
      <c r="P290" s="365">
        <v>10475815.02237785</v>
      </c>
      <c r="Q290" s="283">
        <v>2967314</v>
      </c>
      <c r="R290" s="279">
        <v>2667294.5209999997</v>
      </c>
      <c r="S290" s="279">
        <v>537769.02399472636</v>
      </c>
      <c r="T290" s="280">
        <v>3767408.3425432113</v>
      </c>
      <c r="U290" s="280">
        <v>492096.6003448015</v>
      </c>
      <c r="V290" s="279">
        <v>193004</v>
      </c>
      <c r="W290" s="279">
        <v>14000</v>
      </c>
      <c r="X290" s="279">
        <v>34074.556182078719</v>
      </c>
      <c r="Y290" s="354">
        <v>197146.02168696746</v>
      </c>
      <c r="Z290" s="355">
        <v>68.908081680170383</v>
      </c>
      <c r="AB290" s="366">
        <v>227078.94299656473</v>
      </c>
      <c r="AC290" s="349">
        <v>79.3704799009314</v>
      </c>
      <c r="AE290" s="374">
        <v>-74.926217839754059</v>
      </c>
      <c r="AF290" s="350">
        <v>-54.3704799009314</v>
      </c>
      <c r="AG290" s="350">
        <v>-29.3704799009314</v>
      </c>
      <c r="AH290" s="350">
        <v>-4.3704799009314002</v>
      </c>
      <c r="AI290" s="350">
        <v>0</v>
      </c>
      <c r="AJ290" s="408">
        <v>-1120</v>
      </c>
      <c r="AK290" s="387">
        <v>-20751</v>
      </c>
      <c r="AL290" s="287">
        <v>-3</v>
      </c>
      <c r="AM290" s="287">
        <v>-1117</v>
      </c>
      <c r="AN290" s="287">
        <v>-9359</v>
      </c>
      <c r="AO290" s="287">
        <v>-11392</v>
      </c>
      <c r="AP290" s="287">
        <v>6801</v>
      </c>
      <c r="AQ290" s="287">
        <v>3834</v>
      </c>
      <c r="AR290" s="287">
        <v>2967</v>
      </c>
      <c r="AS290" s="287">
        <v>830</v>
      </c>
      <c r="AT290" s="287">
        <v>292</v>
      </c>
      <c r="AU290" s="287">
        <v>538</v>
      </c>
      <c r="AV290" s="353">
        <f t="shared" si="68"/>
        <v>12165.797281993388</v>
      </c>
      <c r="AW290" s="353">
        <f t="shared" si="69"/>
        <v>7927.6522483449107</v>
      </c>
      <c r="AX290" s="353">
        <f t="shared" si="70"/>
        <v>4238.1450336484768</v>
      </c>
      <c r="AY290" s="390">
        <v>214364</v>
      </c>
      <c r="AZ290" s="390">
        <v>-214364</v>
      </c>
      <c r="BA290" s="401">
        <f t="shared" si="71"/>
        <v>2667.2945209999998</v>
      </c>
      <c r="BB290" s="401">
        <v>-1984</v>
      </c>
      <c r="BC290" s="401">
        <v>407</v>
      </c>
      <c r="BD290" s="401">
        <v>86</v>
      </c>
      <c r="BE290" s="401">
        <v>-426</v>
      </c>
      <c r="BG290" s="426">
        <f t="shared" si="72"/>
        <v>0.30690804982209119</v>
      </c>
      <c r="BH290" s="426">
        <f t="shared" si="73"/>
        <v>3.7470031128808867E-2</v>
      </c>
      <c r="BI290" s="426">
        <f t="shared" si="74"/>
        <v>0.12036666347222538</v>
      </c>
      <c r="BJ290" s="426">
        <f t="shared" si="75"/>
        <v>0.53462347934243781</v>
      </c>
      <c r="BK290" s="426">
        <f t="shared" si="76"/>
        <v>6.317762344367503E-4</v>
      </c>
      <c r="BL290" s="425">
        <f t="shared" si="77"/>
        <v>22159744.600841895</v>
      </c>
      <c r="BN290" s="423">
        <f t="shared" si="78"/>
        <v>0.2846474721134144</v>
      </c>
      <c r="BO290" s="423">
        <f t="shared" si="79"/>
        <v>5.1586921121592445E-2</v>
      </c>
      <c r="BP290" s="423">
        <f t="shared" si="80"/>
        <v>0.25586730719587159</v>
      </c>
      <c r="BQ290" s="423">
        <f t="shared" si="81"/>
        <v>0.42711873942408657</v>
      </c>
      <c r="BR290" s="423">
        <f t="shared" si="82"/>
        <v>1.3429871626621927E-3</v>
      </c>
      <c r="BS290" s="423">
        <f t="shared" si="83"/>
        <v>-2.0563427017627197E-2</v>
      </c>
      <c r="BT290" s="425">
        <f t="shared" si="84"/>
        <v>10424522.578643203</v>
      </c>
    </row>
    <row r="291" spans="1:72" x14ac:dyDescent="0.2">
      <c r="A291" s="309">
        <v>890</v>
      </c>
      <c r="B291" s="278" t="s">
        <v>196</v>
      </c>
      <c r="C291" s="278">
        <v>19</v>
      </c>
      <c r="D291" s="279">
        <v>1250</v>
      </c>
      <c r="E291" s="364">
        <v>10866000</v>
      </c>
      <c r="F291" s="279">
        <v>3773307</v>
      </c>
      <c r="G291" s="278">
        <v>133431.595</v>
      </c>
      <c r="H291" s="279">
        <v>637822.30749999988</v>
      </c>
      <c r="I291" s="279">
        <v>6854425.4895068249</v>
      </c>
      <c r="J291" s="279">
        <v>-11604</v>
      </c>
      <c r="K291" s="279">
        <v>-44000</v>
      </c>
      <c r="L291" s="280">
        <v>-171186.89646761678</v>
      </c>
      <c r="M291" s="369">
        <v>648569.28847444244</v>
      </c>
      <c r="N291" s="370">
        <v>518.8554307795539</v>
      </c>
      <c r="P291" s="365">
        <v>4788467.839757937</v>
      </c>
      <c r="Q291" s="283">
        <v>1630398</v>
      </c>
      <c r="R291" s="279">
        <v>637822.30749999988</v>
      </c>
      <c r="S291" s="279">
        <v>86418.287467040209</v>
      </c>
      <c r="T291" s="280">
        <v>2791019.7275550137</v>
      </c>
      <c r="U291" s="280">
        <v>195611.18719639172</v>
      </c>
      <c r="V291" s="279">
        <v>-11604</v>
      </c>
      <c r="W291" s="279">
        <v>-44000</v>
      </c>
      <c r="X291" s="279">
        <v>15202.722315664298</v>
      </c>
      <c r="Y291" s="354">
        <v>512400.39227617253</v>
      </c>
      <c r="Z291" s="355">
        <v>409.92031382093802</v>
      </c>
      <c r="AB291" s="366">
        <v>-136168.89619826991</v>
      </c>
      <c r="AC291" s="349">
        <v>-108.93511695861594</v>
      </c>
      <c r="AE291" s="374">
        <v>113.37937901979177</v>
      </c>
      <c r="AF291" s="350">
        <v>83.935116958614401</v>
      </c>
      <c r="AG291" s="350">
        <v>58.935116958614401</v>
      </c>
      <c r="AH291" s="350">
        <v>33.935116958614401</v>
      </c>
      <c r="AI291" s="350">
        <v>8.935116958614401</v>
      </c>
      <c r="AJ291" s="408">
        <v>-475</v>
      </c>
      <c r="AK291" s="387">
        <v>-10391</v>
      </c>
      <c r="AL291" s="287">
        <v>0</v>
      </c>
      <c r="AM291" s="287">
        <v>-475</v>
      </c>
      <c r="AN291" s="287">
        <v>-4313</v>
      </c>
      <c r="AO291" s="287">
        <v>-6078</v>
      </c>
      <c r="AP291" s="287">
        <v>3773</v>
      </c>
      <c r="AQ291" s="287">
        <v>2143</v>
      </c>
      <c r="AR291" s="287">
        <v>1630</v>
      </c>
      <c r="AS291" s="287">
        <v>133</v>
      </c>
      <c r="AT291" s="287">
        <v>47</v>
      </c>
      <c r="AU291" s="287">
        <v>86</v>
      </c>
      <c r="AV291" s="353">
        <f t="shared" si="68"/>
        <v>6671.6345930392081</v>
      </c>
      <c r="AW291" s="353">
        <f t="shared" si="69"/>
        <v>3554.883454513063</v>
      </c>
      <c r="AX291" s="353">
        <f t="shared" si="70"/>
        <v>3116.751138526145</v>
      </c>
      <c r="AY291" s="390">
        <v>141724</v>
      </c>
      <c r="AZ291" s="390">
        <v>141724</v>
      </c>
      <c r="BA291" s="401">
        <f t="shared" si="71"/>
        <v>637.82230749999985</v>
      </c>
      <c r="BB291" s="401">
        <v>-722</v>
      </c>
      <c r="BC291" s="401">
        <v>31</v>
      </c>
      <c r="BD291" s="401">
        <v>0</v>
      </c>
      <c r="BE291" s="401">
        <v>55</v>
      </c>
      <c r="BG291" s="426">
        <f t="shared" si="72"/>
        <v>0.33264390369656238</v>
      </c>
      <c r="BH291" s="426">
        <f t="shared" si="73"/>
        <v>1.1762946041034752E-2</v>
      </c>
      <c r="BI291" s="426">
        <f t="shared" si="74"/>
        <v>5.6228582045285254E-2</v>
      </c>
      <c r="BJ291" s="426">
        <f t="shared" si="75"/>
        <v>0.60324348179680998</v>
      </c>
      <c r="BK291" s="426">
        <f t="shared" si="76"/>
        <v>-3.878913579692494E-3</v>
      </c>
      <c r="BL291" s="425">
        <f t="shared" si="77"/>
        <v>11343382.392006826</v>
      </c>
      <c r="BN291" s="423">
        <f t="shared" si="78"/>
        <v>0.30040186536422564</v>
      </c>
      <c r="BO291" s="423">
        <f t="shared" si="79"/>
        <v>1.592262426516762E-2</v>
      </c>
      <c r="BP291" s="423">
        <f t="shared" si="80"/>
        <v>0.11751916461128796</v>
      </c>
      <c r="BQ291" s="423">
        <f t="shared" si="81"/>
        <v>0.54815059556016332</v>
      </c>
      <c r="BR291" s="423">
        <f t="shared" si="82"/>
        <v>-8.1070279011786865E-3</v>
      </c>
      <c r="BS291" s="423">
        <f t="shared" si="83"/>
        <v>2.6112778100334241E-2</v>
      </c>
      <c r="BT291" s="425">
        <f t="shared" si="84"/>
        <v>5427389.7334931847</v>
      </c>
    </row>
    <row r="292" spans="1:72" x14ac:dyDescent="0.2">
      <c r="A292" s="309">
        <v>892</v>
      </c>
      <c r="B292" s="278" t="s">
        <v>197</v>
      </c>
      <c r="C292" s="278">
        <v>13</v>
      </c>
      <c r="D292" s="279">
        <v>3666</v>
      </c>
      <c r="E292" s="364">
        <v>19499000</v>
      </c>
      <c r="F292" s="279">
        <v>9057972</v>
      </c>
      <c r="G292" s="278">
        <v>493686.77999999997</v>
      </c>
      <c r="H292" s="279">
        <v>595577.84380000003</v>
      </c>
      <c r="I292" s="279">
        <v>9769666.4514229968</v>
      </c>
      <c r="J292" s="279">
        <v>-649987</v>
      </c>
      <c r="K292" s="279">
        <v>84000</v>
      </c>
      <c r="L292" s="280">
        <v>-7368.6599999999989</v>
      </c>
      <c r="M292" s="369">
        <v>-140715.26477700114</v>
      </c>
      <c r="N292" s="370">
        <v>-38.383869279051048</v>
      </c>
      <c r="P292" s="365">
        <v>9469954.9540756755</v>
      </c>
      <c r="Q292" s="283">
        <v>3892437</v>
      </c>
      <c r="R292" s="279">
        <v>595577.84380000003</v>
      </c>
      <c r="S292" s="279">
        <v>319741.10833882663</v>
      </c>
      <c r="T292" s="280">
        <v>4780010.5350443823</v>
      </c>
      <c r="U292" s="280">
        <v>-146780.52388533094</v>
      </c>
      <c r="V292" s="279">
        <v>-649987</v>
      </c>
      <c r="W292" s="279">
        <v>84000</v>
      </c>
      <c r="X292" s="279">
        <v>42293.449857356653</v>
      </c>
      <c r="Y292" s="354">
        <v>-552662.54092044011</v>
      </c>
      <c r="Z292" s="355">
        <v>-150.75355726144028</v>
      </c>
      <c r="AB292" s="366">
        <v>-411947.276143439</v>
      </c>
      <c r="AC292" s="349">
        <v>-112.36968798238925</v>
      </c>
      <c r="AE292" s="374">
        <v>116.81395004356656</v>
      </c>
      <c r="AF292" s="350">
        <v>87.369687982389223</v>
      </c>
      <c r="AG292" s="350">
        <v>62.369687982389223</v>
      </c>
      <c r="AH292" s="350">
        <v>37.369687982389223</v>
      </c>
      <c r="AI292" s="350">
        <v>12.369687982389223</v>
      </c>
      <c r="AJ292" s="408">
        <v>-1079</v>
      </c>
      <c r="AK292" s="387">
        <v>-18420</v>
      </c>
      <c r="AL292" s="287">
        <v>-110</v>
      </c>
      <c r="AM292" s="287">
        <v>-969</v>
      </c>
      <c r="AN292" s="287">
        <v>-8501</v>
      </c>
      <c r="AO292" s="287">
        <v>-9919</v>
      </c>
      <c r="AP292" s="287">
        <v>9058</v>
      </c>
      <c r="AQ292" s="287">
        <v>5166</v>
      </c>
      <c r="AR292" s="287">
        <v>3892</v>
      </c>
      <c r="AS292" s="287">
        <v>494</v>
      </c>
      <c r="AT292" s="287">
        <v>174</v>
      </c>
      <c r="AU292" s="287">
        <v>320</v>
      </c>
      <c r="AV292" s="353">
        <f t="shared" si="68"/>
        <v>9112.3107914229968</v>
      </c>
      <c r="AW292" s="353">
        <f t="shared" si="69"/>
        <v>4700.82783940423</v>
      </c>
      <c r="AX292" s="353">
        <f t="shared" si="70"/>
        <v>4411.4829520187668</v>
      </c>
      <c r="AY292" s="390">
        <v>428240</v>
      </c>
      <c r="AZ292" s="390">
        <v>428240</v>
      </c>
      <c r="BA292" s="401">
        <f t="shared" si="71"/>
        <v>595.5778438000001</v>
      </c>
      <c r="BB292" s="401">
        <v>-3094</v>
      </c>
      <c r="BC292" s="401">
        <v>124</v>
      </c>
      <c r="BD292" s="401">
        <v>150</v>
      </c>
      <c r="BE292" s="401">
        <v>-1706</v>
      </c>
      <c r="BG292" s="426">
        <f t="shared" si="72"/>
        <v>0.46809008755910364</v>
      </c>
      <c r="BH292" s="426">
        <f t="shared" si="73"/>
        <v>2.551232086795719E-2</v>
      </c>
      <c r="BI292" s="426">
        <f t="shared" si="74"/>
        <v>3.0777759641187251E-2</v>
      </c>
      <c r="BJ292" s="426">
        <f t="shared" si="75"/>
        <v>0.47127895216805143</v>
      </c>
      <c r="BK292" s="426">
        <f t="shared" si="76"/>
        <v>4.3408797637003857E-3</v>
      </c>
      <c r="BL292" s="425">
        <f t="shared" si="77"/>
        <v>19350916.075222999</v>
      </c>
      <c r="BN292" s="423">
        <f t="shared" si="78"/>
        <v>0.41839589847149683</v>
      </c>
      <c r="BO292" s="423">
        <f t="shared" si="79"/>
        <v>3.4368794742649804E-2</v>
      </c>
      <c r="BP292" s="423">
        <f t="shared" si="80"/>
        <v>6.4018332747946285E-2</v>
      </c>
      <c r="BQ292" s="423">
        <f t="shared" si="81"/>
        <v>0.42815658634531573</v>
      </c>
      <c r="BR292" s="423">
        <f t="shared" si="82"/>
        <v>9.029113501799961E-3</v>
      </c>
      <c r="BS292" s="423">
        <f t="shared" si="83"/>
        <v>4.6031274190791303E-2</v>
      </c>
      <c r="BT292" s="425">
        <f t="shared" si="84"/>
        <v>9303238.9041575938</v>
      </c>
    </row>
    <row r="293" spans="1:72" x14ac:dyDescent="0.2">
      <c r="A293" s="309">
        <v>785</v>
      </c>
      <c r="B293" s="278" t="s">
        <v>180</v>
      </c>
      <c r="C293" s="278">
        <v>18</v>
      </c>
      <c r="D293" s="279">
        <v>3074</v>
      </c>
      <c r="E293" s="364">
        <v>23858000</v>
      </c>
      <c r="F293" s="279">
        <v>8363330</v>
      </c>
      <c r="G293" s="278">
        <v>570040.4</v>
      </c>
      <c r="H293" s="279">
        <v>2695570.6586000002</v>
      </c>
      <c r="I293" s="279">
        <v>13189403.27977924</v>
      </c>
      <c r="J293" s="279">
        <v>40393</v>
      </c>
      <c r="K293" s="279">
        <v>-122000</v>
      </c>
      <c r="L293" s="280">
        <v>-6178.74</v>
      </c>
      <c r="M293" s="369">
        <v>884916.07837924152</v>
      </c>
      <c r="N293" s="370">
        <v>287.87120311621391</v>
      </c>
      <c r="P293" s="365">
        <v>10260837.464191617</v>
      </c>
      <c r="Q293" s="283">
        <v>3881181</v>
      </c>
      <c r="R293" s="279">
        <v>2695570.6586000002</v>
      </c>
      <c r="S293" s="279">
        <v>369192.28279499011</v>
      </c>
      <c r="T293" s="280">
        <v>3045508.2997303857</v>
      </c>
      <c r="U293" s="280">
        <v>864465.73985061515</v>
      </c>
      <c r="V293" s="279">
        <v>40393</v>
      </c>
      <c r="W293" s="279">
        <v>-122000</v>
      </c>
      <c r="X293" s="279">
        <v>37049.060619433556</v>
      </c>
      <c r="Y293" s="354">
        <v>550522.57740380615</v>
      </c>
      <c r="Z293" s="355">
        <v>179.08997313071117</v>
      </c>
      <c r="AB293" s="366">
        <v>-334393.50097543537</v>
      </c>
      <c r="AC293" s="349">
        <v>-108.78122998550272</v>
      </c>
      <c r="AE293" s="374">
        <v>113.22549204667885</v>
      </c>
      <c r="AF293" s="350">
        <v>83.78122998550154</v>
      </c>
      <c r="AG293" s="350">
        <v>58.78122998550154</v>
      </c>
      <c r="AH293" s="350">
        <v>33.78122998550154</v>
      </c>
      <c r="AI293" s="350">
        <v>8.7812299855015397</v>
      </c>
      <c r="AJ293" s="408">
        <v>-996</v>
      </c>
      <c r="AK293" s="387">
        <v>-22862</v>
      </c>
      <c r="AL293" s="287">
        <v>-15</v>
      </c>
      <c r="AM293" s="287">
        <v>-981</v>
      </c>
      <c r="AN293" s="287">
        <v>-9280</v>
      </c>
      <c r="AO293" s="287">
        <v>-13582</v>
      </c>
      <c r="AP293" s="287">
        <v>8363</v>
      </c>
      <c r="AQ293" s="287">
        <v>4482</v>
      </c>
      <c r="AR293" s="287">
        <v>3881</v>
      </c>
      <c r="AS293" s="287">
        <v>570</v>
      </c>
      <c r="AT293" s="287">
        <v>201</v>
      </c>
      <c r="AU293" s="287">
        <v>369</v>
      </c>
      <c r="AV293" s="353">
        <f t="shared" si="68"/>
        <v>13223.617539779241</v>
      </c>
      <c r="AW293" s="353">
        <f t="shared" si="69"/>
        <v>8925.19533764675</v>
      </c>
      <c r="AX293" s="353">
        <f t="shared" si="70"/>
        <v>4298.4222021324913</v>
      </c>
      <c r="AY293" s="390">
        <v>348055</v>
      </c>
      <c r="AZ293" s="390">
        <v>348055</v>
      </c>
      <c r="BA293" s="401">
        <f t="shared" si="71"/>
        <v>2695.5706586000001</v>
      </c>
      <c r="BB293" s="401">
        <v>-1785</v>
      </c>
      <c r="BC293" s="401">
        <v>60</v>
      </c>
      <c r="BD293" s="401">
        <v>0</v>
      </c>
      <c r="BE293" s="401">
        <v>-222</v>
      </c>
      <c r="BG293" s="426">
        <f t="shared" si="72"/>
        <v>0.33809349574263492</v>
      </c>
      <c r="BH293" s="426">
        <f t="shared" si="73"/>
        <v>2.3044283981443984E-2</v>
      </c>
      <c r="BI293" s="426">
        <f t="shared" si="74"/>
        <v>0.10897033920547805</v>
      </c>
      <c r="BJ293" s="426">
        <f t="shared" si="75"/>
        <v>0.53482381685207558</v>
      </c>
      <c r="BK293" s="426">
        <f t="shared" si="76"/>
        <v>-4.9319357816326103E-3</v>
      </c>
      <c r="BL293" s="425">
        <f t="shared" si="77"/>
        <v>24736737.338379242</v>
      </c>
      <c r="BN293" s="423">
        <f t="shared" si="78"/>
        <v>0.34895281722573068</v>
      </c>
      <c r="BO293" s="423">
        <f t="shared" si="79"/>
        <v>3.3193681814713216E-2</v>
      </c>
      <c r="BP293" s="423">
        <f t="shared" si="80"/>
        <v>0.24235586419429767</v>
      </c>
      <c r="BQ293" s="423">
        <f t="shared" si="81"/>
        <v>0.35517325977259495</v>
      </c>
      <c r="BR293" s="423">
        <f t="shared" si="82"/>
        <v>-1.0968889031853744E-2</v>
      </c>
      <c r="BS293" s="423">
        <f t="shared" si="83"/>
        <v>3.1293266024517367E-2</v>
      </c>
      <c r="BT293" s="425">
        <f t="shared" si="84"/>
        <v>11122366.14352748</v>
      </c>
    </row>
    <row r="294" spans="1:72" x14ac:dyDescent="0.2">
      <c r="A294" s="309">
        <v>908</v>
      </c>
      <c r="B294" s="278" t="s">
        <v>198</v>
      </c>
      <c r="C294" s="278">
        <v>6</v>
      </c>
      <c r="D294" s="279">
        <v>21332</v>
      </c>
      <c r="E294" s="364">
        <v>113739000</v>
      </c>
      <c r="F294" s="279">
        <v>70152863</v>
      </c>
      <c r="G294" s="278">
        <v>3860486.4200000004</v>
      </c>
      <c r="H294" s="279">
        <v>4953262.4524999997</v>
      </c>
      <c r="I294" s="279">
        <v>35298453.007369757</v>
      </c>
      <c r="J294" s="279">
        <v>282649</v>
      </c>
      <c r="K294" s="279">
        <v>1694000</v>
      </c>
      <c r="L294" s="280">
        <v>-42877.319999999992</v>
      </c>
      <c r="M294" s="369">
        <v>2545591.1998697589</v>
      </c>
      <c r="N294" s="370">
        <v>119.33204574675412</v>
      </c>
      <c r="P294" s="365">
        <v>45354132.568113029</v>
      </c>
      <c r="Q294" s="283">
        <v>27783535</v>
      </c>
      <c r="R294" s="279">
        <v>4953262.4524999997</v>
      </c>
      <c r="S294" s="279">
        <v>2500282.074917601</v>
      </c>
      <c r="T294" s="280">
        <v>9258823.2697186824</v>
      </c>
      <c r="U294" s="280">
        <v>388722.16684969957</v>
      </c>
      <c r="V294" s="279">
        <v>282649</v>
      </c>
      <c r="W294" s="279">
        <v>1694000</v>
      </c>
      <c r="X294" s="279">
        <v>267860.82741196145</v>
      </c>
      <c r="Y294" s="354">
        <v>1775002.2232849225</v>
      </c>
      <c r="Z294" s="355">
        <v>83.208429743339707</v>
      </c>
      <c r="AB294" s="366">
        <v>-770588.97658483637</v>
      </c>
      <c r="AC294" s="349">
        <v>-36.123616003414419</v>
      </c>
      <c r="AE294" s="374">
        <v>40.567878064591739</v>
      </c>
      <c r="AF294" s="350">
        <v>11.123616003414412</v>
      </c>
      <c r="AG294" s="350">
        <v>0</v>
      </c>
      <c r="AH294" s="350">
        <v>0</v>
      </c>
      <c r="AI294" s="350">
        <v>0</v>
      </c>
      <c r="AJ294" s="408">
        <v>-8184</v>
      </c>
      <c r="AK294" s="387">
        <v>-105555</v>
      </c>
      <c r="AL294" s="287">
        <v>-55</v>
      </c>
      <c r="AM294" s="287">
        <v>-8129</v>
      </c>
      <c r="AN294" s="287">
        <v>-37225</v>
      </c>
      <c r="AO294" s="287">
        <v>-68330</v>
      </c>
      <c r="AP294" s="287">
        <v>70153</v>
      </c>
      <c r="AQ294" s="287">
        <v>42369</v>
      </c>
      <c r="AR294" s="287">
        <v>27784</v>
      </c>
      <c r="AS294" s="287">
        <v>3860</v>
      </c>
      <c r="AT294" s="287">
        <v>1360</v>
      </c>
      <c r="AU294" s="287">
        <v>2500</v>
      </c>
      <c r="AV294" s="353">
        <f t="shared" si="68"/>
        <v>35538.224687369759</v>
      </c>
      <c r="AW294" s="353">
        <f t="shared" si="69"/>
        <v>24742.636275927507</v>
      </c>
      <c r="AX294" s="353">
        <f t="shared" si="70"/>
        <v>10795.588411442252</v>
      </c>
      <c r="AY294" s="390">
        <v>865394</v>
      </c>
      <c r="AZ294" s="390">
        <v>865394</v>
      </c>
      <c r="BA294" s="401">
        <f t="shared" si="71"/>
        <v>4953.2624525000001</v>
      </c>
      <c r="BB294" s="401">
        <v>-17730</v>
      </c>
      <c r="BC294" s="401">
        <v>0</v>
      </c>
      <c r="BD294" s="401">
        <v>730</v>
      </c>
      <c r="BE294" s="401">
        <v>-9509</v>
      </c>
      <c r="BG294" s="426">
        <f t="shared" si="72"/>
        <v>0.60350850532451394</v>
      </c>
      <c r="BH294" s="426">
        <f t="shared" si="73"/>
        <v>3.3210852551517164E-2</v>
      </c>
      <c r="BI294" s="426">
        <f t="shared" si="74"/>
        <v>4.2611746568180842E-2</v>
      </c>
      <c r="BJ294" s="426">
        <f t="shared" si="75"/>
        <v>0.30609581379831619</v>
      </c>
      <c r="BK294" s="426">
        <f t="shared" si="76"/>
        <v>1.4573081757471917E-2</v>
      </c>
      <c r="BL294" s="425">
        <f t="shared" si="77"/>
        <v>116241713.87986976</v>
      </c>
      <c r="BN294" s="423">
        <f t="shared" si="78"/>
        <v>0.58213858624264392</v>
      </c>
      <c r="BO294" s="423">
        <f t="shared" si="79"/>
        <v>5.2387526364098616E-2</v>
      </c>
      <c r="BP294" s="423">
        <f t="shared" si="80"/>
        <v>0.10378395698701123</v>
      </c>
      <c r="BQ294" s="423">
        <f t="shared" si="81"/>
        <v>0.20806385330083035</v>
      </c>
      <c r="BR294" s="423">
        <f t="shared" si="82"/>
        <v>3.549378310193569E-2</v>
      </c>
      <c r="BS294" s="423">
        <f t="shared" si="83"/>
        <v>1.8132294003480025E-2</v>
      </c>
      <c r="BT294" s="425">
        <f t="shared" si="84"/>
        <v>47726667.938859858</v>
      </c>
    </row>
    <row r="295" spans="1:72" x14ac:dyDescent="0.2">
      <c r="A295" s="309">
        <v>911</v>
      </c>
      <c r="B295" s="278" t="s">
        <v>199</v>
      </c>
      <c r="C295" s="278">
        <v>12</v>
      </c>
      <c r="D295" s="279">
        <v>2324</v>
      </c>
      <c r="E295" s="364">
        <v>17267000</v>
      </c>
      <c r="F295" s="279">
        <v>5370737</v>
      </c>
      <c r="G295" s="278">
        <v>840711.62999999989</v>
      </c>
      <c r="H295" s="279">
        <v>400850.3591</v>
      </c>
      <c r="I295" s="279">
        <v>10670644.959788894</v>
      </c>
      <c r="J295" s="279">
        <v>-509658</v>
      </c>
      <c r="K295" s="279">
        <v>-343000</v>
      </c>
      <c r="L295" s="280">
        <v>-4671.24</v>
      </c>
      <c r="M295" s="369">
        <v>-832042.81111110584</v>
      </c>
      <c r="N295" s="370">
        <v>-358.02186364505417</v>
      </c>
      <c r="P295" s="365">
        <v>5984658.6216216218</v>
      </c>
      <c r="Q295" s="283">
        <v>2445528</v>
      </c>
      <c r="R295" s="279">
        <v>400850.3591</v>
      </c>
      <c r="S295" s="279">
        <v>544495.17236321676</v>
      </c>
      <c r="T295" s="280">
        <v>1979170.2457787772</v>
      </c>
      <c r="U295" s="280">
        <v>374750.84643588704</v>
      </c>
      <c r="V295" s="279">
        <v>-509658</v>
      </c>
      <c r="W295" s="279">
        <v>-343000</v>
      </c>
      <c r="X295" s="279">
        <v>28007.180149998596</v>
      </c>
      <c r="Y295" s="354">
        <v>-1064514.8177937428</v>
      </c>
      <c r="Z295" s="355">
        <v>-458.05284758766902</v>
      </c>
      <c r="AB295" s="366">
        <v>-232472.00668263691</v>
      </c>
      <c r="AC295" s="349">
        <v>-100.03098394261485</v>
      </c>
      <c r="AE295" s="374">
        <v>104.47524600379217</v>
      </c>
      <c r="AF295" s="350">
        <v>75.030983942614853</v>
      </c>
      <c r="AG295" s="350">
        <v>50.030983942614853</v>
      </c>
      <c r="AH295" s="350">
        <v>25.030983942614853</v>
      </c>
      <c r="AI295" s="350">
        <v>3.0983942614852822E-2</v>
      </c>
      <c r="AJ295" s="408">
        <v>-1393</v>
      </c>
      <c r="AK295" s="387">
        <v>-15874</v>
      </c>
      <c r="AL295" s="287">
        <v>0</v>
      </c>
      <c r="AM295" s="287">
        <v>-1393</v>
      </c>
      <c r="AN295" s="287">
        <v>-4592</v>
      </c>
      <c r="AO295" s="287">
        <v>-11282</v>
      </c>
      <c r="AP295" s="287">
        <v>5371</v>
      </c>
      <c r="AQ295" s="287">
        <v>2925</v>
      </c>
      <c r="AR295" s="287">
        <v>2446</v>
      </c>
      <c r="AS295" s="287">
        <v>841</v>
      </c>
      <c r="AT295" s="287">
        <v>297</v>
      </c>
      <c r="AU295" s="287">
        <v>544</v>
      </c>
      <c r="AV295" s="353">
        <f t="shared" si="68"/>
        <v>10156.315719788894</v>
      </c>
      <c r="AW295" s="353">
        <f t="shared" si="69"/>
        <v>8069.2521558614171</v>
      </c>
      <c r="AX295" s="353">
        <f t="shared" si="70"/>
        <v>2087.0635639274774</v>
      </c>
      <c r="AY295" s="390">
        <v>242800</v>
      </c>
      <c r="AZ295" s="390">
        <v>242800</v>
      </c>
      <c r="BA295" s="401">
        <f t="shared" si="71"/>
        <v>400.85035909999999</v>
      </c>
      <c r="BB295" s="401">
        <v>-1361</v>
      </c>
      <c r="BC295" s="401">
        <v>57</v>
      </c>
      <c r="BD295" s="401">
        <v>0</v>
      </c>
      <c r="BE295" s="401">
        <v>-173</v>
      </c>
      <c r="BG295" s="426">
        <f t="shared" si="72"/>
        <v>0.32688031216907693</v>
      </c>
      <c r="BH295" s="426">
        <f t="shared" si="73"/>
        <v>5.1168411348121022E-2</v>
      </c>
      <c r="BI295" s="426">
        <f t="shared" si="74"/>
        <v>2.4397040949071715E-2</v>
      </c>
      <c r="BJ295" s="426">
        <f t="shared" si="75"/>
        <v>0.61843031773138657</v>
      </c>
      <c r="BK295" s="426">
        <f t="shared" si="76"/>
        <v>-2.0876082197656184E-2</v>
      </c>
      <c r="BL295" s="425">
        <f t="shared" si="77"/>
        <v>16430285.948888894</v>
      </c>
      <c r="BN295" s="423">
        <f t="shared" si="78"/>
        <v>0.47625276699011465</v>
      </c>
      <c r="BO295" s="423">
        <f t="shared" si="79"/>
        <v>0.10603735980562945</v>
      </c>
      <c r="BP295" s="423">
        <f t="shared" si="80"/>
        <v>7.8063343650269429E-2</v>
      </c>
      <c r="BQ295" s="423">
        <f t="shared" si="81"/>
        <v>0.3591598218155666</v>
      </c>
      <c r="BR295" s="423">
        <f t="shared" si="82"/>
        <v>-6.6797312922857288E-2</v>
      </c>
      <c r="BS295" s="423">
        <f t="shared" si="83"/>
        <v>4.7284020661277341E-2</v>
      </c>
      <c r="BT295" s="425">
        <f t="shared" si="84"/>
        <v>5134937.0953906933</v>
      </c>
    </row>
    <row r="296" spans="1:72" x14ac:dyDescent="0.2">
      <c r="A296" s="309">
        <v>92</v>
      </c>
      <c r="B296" s="278" t="s">
        <v>316</v>
      </c>
      <c r="C296" s="278">
        <v>1</v>
      </c>
      <c r="D296" s="279">
        <v>214605</v>
      </c>
      <c r="E296" s="364">
        <v>1190505000</v>
      </c>
      <c r="F296" s="279">
        <v>789216415</v>
      </c>
      <c r="G296" s="278">
        <v>67466364.38499999</v>
      </c>
      <c r="H296" s="279">
        <v>77056948.87349999</v>
      </c>
      <c r="I296" s="279">
        <v>152191091.17142057</v>
      </c>
      <c r="J296" s="279">
        <v>16637408</v>
      </c>
      <c r="K296" s="279">
        <v>29504000</v>
      </c>
      <c r="L296" s="280">
        <v>-431356.04999999993</v>
      </c>
      <c r="M296" s="369">
        <v>-58001416.52007933</v>
      </c>
      <c r="N296" s="370">
        <v>-270.27057393853511</v>
      </c>
      <c r="P296" s="365">
        <v>595331006.75286043</v>
      </c>
      <c r="Q296" s="283">
        <v>286850158</v>
      </c>
      <c r="R296" s="279">
        <v>77056948.87349999</v>
      </c>
      <c r="S296" s="279">
        <v>43695255.77340968</v>
      </c>
      <c r="T296" s="280">
        <v>113977422.03938884</v>
      </c>
      <c r="U296" s="280">
        <v>-21080061.415118415</v>
      </c>
      <c r="V296" s="279">
        <v>16637408</v>
      </c>
      <c r="W296" s="279">
        <v>29504000</v>
      </c>
      <c r="X296" s="279">
        <v>2841831.562275962</v>
      </c>
      <c r="Y296" s="354">
        <v>-45848043.919404268</v>
      </c>
      <c r="Z296" s="355">
        <v>-213.63921585892345</v>
      </c>
      <c r="AB296" s="366">
        <v>12153372.600675061</v>
      </c>
      <c r="AC296" s="349">
        <v>56.631358079611665</v>
      </c>
      <c r="AE296" s="374">
        <v>-52.187096018434346</v>
      </c>
      <c r="AF296" s="350">
        <v>-31.631358079611658</v>
      </c>
      <c r="AG296" s="350">
        <v>-6.6313580796116582</v>
      </c>
      <c r="AH296" s="350">
        <v>0</v>
      </c>
      <c r="AI296" s="350">
        <v>0</v>
      </c>
      <c r="AJ296" s="408">
        <v>-113854</v>
      </c>
      <c r="AK296" s="387">
        <v>-1076651</v>
      </c>
      <c r="AL296" s="287">
        <v>-2769</v>
      </c>
      <c r="AM296" s="287">
        <v>-111085</v>
      </c>
      <c r="AN296" s="287">
        <v>-484246</v>
      </c>
      <c r="AO296" s="287">
        <v>-592405</v>
      </c>
      <c r="AP296" s="287">
        <v>789216</v>
      </c>
      <c r="AQ296" s="287">
        <v>502366</v>
      </c>
      <c r="AR296" s="287">
        <v>286850</v>
      </c>
      <c r="AS296" s="287">
        <v>67466</v>
      </c>
      <c r="AT296" s="287">
        <v>23771</v>
      </c>
      <c r="AU296" s="287">
        <v>43695</v>
      </c>
      <c r="AV296" s="353">
        <f t="shared" si="68"/>
        <v>168397.14312142055</v>
      </c>
      <c r="AW296" s="353">
        <f t="shared" si="69"/>
        <v>70061.986238186233</v>
      </c>
      <c r="AX296" s="353">
        <f t="shared" si="70"/>
        <v>98335.156883234318</v>
      </c>
      <c r="AY296" s="390">
        <v>11199612</v>
      </c>
      <c r="AZ296" s="390">
        <v>-11199612</v>
      </c>
      <c r="BA296" s="401">
        <f t="shared" si="71"/>
        <v>77056.94887349999</v>
      </c>
      <c r="BB296" s="401">
        <v>-119701</v>
      </c>
      <c r="BC296" s="401">
        <v>300</v>
      </c>
      <c r="BD296" s="401">
        <v>36586</v>
      </c>
      <c r="BE296" s="401">
        <v>-56465</v>
      </c>
      <c r="BG296" s="426">
        <f t="shared" si="72"/>
        <v>0.69714316443546476</v>
      </c>
      <c r="BH296" s="426">
        <f t="shared" si="73"/>
        <v>5.9595459326976907E-2</v>
      </c>
      <c r="BI296" s="426">
        <f t="shared" si="74"/>
        <v>6.8067166569785051E-2</v>
      </c>
      <c r="BJ296" s="426">
        <f t="shared" si="75"/>
        <v>0.14913226831357071</v>
      </c>
      <c r="BK296" s="426">
        <f t="shared" si="76"/>
        <v>2.6061941354202513E-2</v>
      </c>
      <c r="BL296" s="425">
        <f t="shared" si="77"/>
        <v>1132072227.4299207</v>
      </c>
      <c r="BN296" s="423">
        <f t="shared" si="78"/>
        <v>0.53572640061927634</v>
      </c>
      <c r="BO296" s="423">
        <f t="shared" si="79"/>
        <v>8.160602825823586E-2</v>
      </c>
      <c r="BP296" s="423">
        <f t="shared" si="80"/>
        <v>0.14391291310602572</v>
      </c>
      <c r="BQ296" s="423">
        <f t="shared" si="81"/>
        <v>0.20456906053977364</v>
      </c>
      <c r="BR296" s="423">
        <f t="shared" si="82"/>
        <v>5.5102189359334877E-2</v>
      </c>
      <c r="BS296" s="423">
        <f t="shared" si="83"/>
        <v>-2.0916591882646472E-2</v>
      </c>
      <c r="BT296" s="425">
        <f t="shared" si="84"/>
        <v>535441519.53014404</v>
      </c>
    </row>
    <row r="297" spans="1:72" x14ac:dyDescent="0.2">
      <c r="A297" s="309">
        <v>915</v>
      </c>
      <c r="B297" s="278" t="s">
        <v>200</v>
      </c>
      <c r="C297" s="278">
        <v>11</v>
      </c>
      <c r="D297" s="279">
        <v>21638</v>
      </c>
      <c r="E297" s="364">
        <v>128565000</v>
      </c>
      <c r="F297" s="279">
        <v>71744531</v>
      </c>
      <c r="G297" s="278">
        <v>3472827.5450000004</v>
      </c>
      <c r="H297" s="279">
        <v>5926452.2290000003</v>
      </c>
      <c r="I297" s="279">
        <v>49757856.705773272</v>
      </c>
      <c r="J297" s="279">
        <v>-2048421</v>
      </c>
      <c r="K297" s="279">
        <v>1402000</v>
      </c>
      <c r="L297" s="280">
        <v>-43492.38</v>
      </c>
      <c r="M297" s="369">
        <v>1733738.8597732829</v>
      </c>
      <c r="N297" s="370">
        <v>80.124727783218546</v>
      </c>
      <c r="P297" s="365">
        <v>46232787.532897934</v>
      </c>
      <c r="Q297" s="283">
        <v>31370289</v>
      </c>
      <c r="R297" s="279">
        <v>5926452.2290000003</v>
      </c>
      <c r="S297" s="279">
        <v>2249210.984154582</v>
      </c>
      <c r="T297" s="280">
        <v>5891879.4498089328</v>
      </c>
      <c r="U297" s="280">
        <v>1121438.6177858124</v>
      </c>
      <c r="V297" s="279">
        <v>-2048421</v>
      </c>
      <c r="W297" s="279">
        <v>1402000</v>
      </c>
      <c r="X297" s="279">
        <v>272709.5504217908</v>
      </c>
      <c r="Y297" s="354">
        <v>-47228.701726816595</v>
      </c>
      <c r="Z297" s="355">
        <v>-2.1826740792502353</v>
      </c>
      <c r="AB297" s="366">
        <v>-1780967.5615000995</v>
      </c>
      <c r="AC297" s="349">
        <v>-82.30740186246878</v>
      </c>
      <c r="AE297" s="374">
        <v>86.751663923646106</v>
      </c>
      <c r="AF297" s="350">
        <v>57.30740186246878</v>
      </c>
      <c r="AG297" s="350">
        <v>32.30740186246878</v>
      </c>
      <c r="AH297" s="350">
        <v>7.3074018624687795</v>
      </c>
      <c r="AI297" s="350">
        <v>0</v>
      </c>
      <c r="AJ297" s="408">
        <v>-5986</v>
      </c>
      <c r="AK297" s="387">
        <v>-122579</v>
      </c>
      <c r="AL297" s="287">
        <v>-488</v>
      </c>
      <c r="AM297" s="287">
        <v>-5498</v>
      </c>
      <c r="AN297" s="287">
        <v>-40735</v>
      </c>
      <c r="AO297" s="287">
        <v>-81844</v>
      </c>
      <c r="AP297" s="287">
        <v>71745</v>
      </c>
      <c r="AQ297" s="287">
        <v>40375</v>
      </c>
      <c r="AR297" s="287">
        <v>31370</v>
      </c>
      <c r="AS297" s="287">
        <v>3473</v>
      </c>
      <c r="AT297" s="287">
        <v>1224</v>
      </c>
      <c r="AU297" s="287">
        <v>2249</v>
      </c>
      <c r="AV297" s="353">
        <f t="shared" si="68"/>
        <v>47665.943325773267</v>
      </c>
      <c r="AW297" s="353">
        <f t="shared" si="69"/>
        <v>40823.913754198671</v>
      </c>
      <c r="AX297" s="353">
        <f t="shared" si="70"/>
        <v>6842.0295715745997</v>
      </c>
      <c r="AY297" s="390">
        <v>1877133</v>
      </c>
      <c r="AZ297" s="390">
        <v>1877133</v>
      </c>
      <c r="BA297" s="401">
        <f t="shared" si="71"/>
        <v>5926.4522290000004</v>
      </c>
      <c r="BB297" s="401">
        <v>-13099</v>
      </c>
      <c r="BC297" s="401">
        <v>25</v>
      </c>
      <c r="BD297" s="401">
        <v>300</v>
      </c>
      <c r="BE297" s="401">
        <v>-6988</v>
      </c>
      <c r="BG297" s="426">
        <f t="shared" si="72"/>
        <v>0.55079954887760219</v>
      </c>
      <c r="BH297" s="426">
        <f t="shared" si="73"/>
        <v>2.6661709519234446E-2</v>
      </c>
      <c r="BI297" s="426">
        <f t="shared" si="74"/>
        <v>4.5498760235506454E-2</v>
      </c>
      <c r="BJ297" s="426">
        <f t="shared" si="75"/>
        <v>0.36627649937449425</v>
      </c>
      <c r="BK297" s="426">
        <f t="shared" si="76"/>
        <v>1.0763481993162632E-2</v>
      </c>
      <c r="BL297" s="425">
        <f t="shared" si="77"/>
        <v>130255246.47977328</v>
      </c>
      <c r="BN297" s="423">
        <f t="shared" si="78"/>
        <v>0.65641977310868249</v>
      </c>
      <c r="BO297" s="423">
        <f t="shared" si="79"/>
        <v>4.7064487161476494E-2</v>
      </c>
      <c r="BP297" s="423">
        <f t="shared" si="80"/>
        <v>0.12401034709943622</v>
      </c>
      <c r="BQ297" s="423">
        <f t="shared" si="81"/>
        <v>0.1038899133705305</v>
      </c>
      <c r="BR297" s="423">
        <f t="shared" si="82"/>
        <v>2.9336692495831738E-2</v>
      </c>
      <c r="BS297" s="423">
        <f t="shared" si="83"/>
        <v>3.9278786764042534E-2</v>
      </c>
      <c r="BT297" s="425">
        <f t="shared" si="84"/>
        <v>47789981.784729183</v>
      </c>
    </row>
    <row r="298" spans="1:72" x14ac:dyDescent="0.2">
      <c r="A298" s="309">
        <v>905</v>
      </c>
      <c r="B298" s="278" t="s">
        <v>315</v>
      </c>
      <c r="C298" s="278">
        <v>15</v>
      </c>
      <c r="D298" s="279">
        <v>67619</v>
      </c>
      <c r="E298" s="364">
        <v>430928000</v>
      </c>
      <c r="F298" s="279">
        <v>230247997</v>
      </c>
      <c r="G298" s="278">
        <v>25178668.874999996</v>
      </c>
      <c r="H298" s="279">
        <v>20174615.522</v>
      </c>
      <c r="I298" s="279">
        <v>79963718.269130275</v>
      </c>
      <c r="J298" s="279">
        <v>22086207</v>
      </c>
      <c r="K298" s="279">
        <v>10679000</v>
      </c>
      <c r="L298" s="280">
        <v>-135914.18999999997</v>
      </c>
      <c r="M298" s="369">
        <v>-42461879.143869698</v>
      </c>
      <c r="N298" s="370">
        <v>-627.95780984441797</v>
      </c>
      <c r="P298" s="365">
        <v>225960724.95767197</v>
      </c>
      <c r="Q298" s="283">
        <v>92689758</v>
      </c>
      <c r="R298" s="279">
        <v>20174615.522</v>
      </c>
      <c r="S298" s="279">
        <v>16307213.032094592</v>
      </c>
      <c r="T298" s="280">
        <v>25978219.30317758</v>
      </c>
      <c r="U298" s="280">
        <v>-2969028.2869353918</v>
      </c>
      <c r="V298" s="279">
        <v>22086207</v>
      </c>
      <c r="W298" s="279">
        <v>10679000</v>
      </c>
      <c r="X298" s="279">
        <v>878740.40256280347</v>
      </c>
      <c r="Y298" s="354">
        <v>-40135999.984772384</v>
      </c>
      <c r="Z298" s="355">
        <v>-593.56098115577549</v>
      </c>
      <c r="AB298" s="366">
        <v>2325879.1590973139</v>
      </c>
      <c r="AC298" s="349">
        <v>34.396828688642451</v>
      </c>
      <c r="AE298" s="374">
        <v>-29.952566627465103</v>
      </c>
      <c r="AF298" s="350">
        <v>-9.3968286886424721</v>
      </c>
      <c r="AG298" s="350">
        <v>0</v>
      </c>
      <c r="AH298" s="350">
        <v>0</v>
      </c>
      <c r="AI298" s="350">
        <v>0</v>
      </c>
      <c r="AJ298" s="408">
        <v>-28890</v>
      </c>
      <c r="AK298" s="387">
        <v>-402038</v>
      </c>
      <c r="AL298" s="287">
        <v>-1156</v>
      </c>
      <c r="AM298" s="287">
        <v>-27734</v>
      </c>
      <c r="AN298" s="287">
        <v>-198227</v>
      </c>
      <c r="AO298" s="287">
        <v>-203811</v>
      </c>
      <c r="AP298" s="287">
        <v>230248</v>
      </c>
      <c r="AQ298" s="287">
        <v>137558</v>
      </c>
      <c r="AR298" s="287">
        <v>92690</v>
      </c>
      <c r="AS298" s="287">
        <v>25179</v>
      </c>
      <c r="AT298" s="287">
        <v>8872</v>
      </c>
      <c r="AU298" s="287">
        <v>16307</v>
      </c>
      <c r="AV298" s="353">
        <f t="shared" si="68"/>
        <v>101914.01107913027</v>
      </c>
      <c r="AW298" s="353">
        <f t="shared" si="69"/>
        <v>58843.975665670645</v>
      </c>
      <c r="AX298" s="353">
        <f t="shared" si="70"/>
        <v>43070.035413459627</v>
      </c>
      <c r="AY298" s="390">
        <v>2025363</v>
      </c>
      <c r="AZ298" s="390">
        <v>-2025363</v>
      </c>
      <c r="BA298" s="401">
        <f t="shared" si="71"/>
        <v>20174.615522</v>
      </c>
      <c r="BB298" s="401">
        <v>-33861</v>
      </c>
      <c r="BC298" s="401">
        <v>573</v>
      </c>
      <c r="BD298" s="401">
        <v>4750</v>
      </c>
      <c r="BE298" s="401">
        <v>-1788</v>
      </c>
      <c r="BG298" s="426">
        <f t="shared" si="72"/>
        <v>0.59291807087764714</v>
      </c>
      <c r="BH298" s="426">
        <f t="shared" si="73"/>
        <v>6.4838295972807339E-2</v>
      </c>
      <c r="BI298" s="426">
        <f t="shared" si="74"/>
        <v>5.1952217920933644E-2</v>
      </c>
      <c r="BJ298" s="426">
        <f t="shared" si="75"/>
        <v>0.26279162299848702</v>
      </c>
      <c r="BK298" s="426">
        <f t="shared" si="76"/>
        <v>2.7499792230124779E-2</v>
      </c>
      <c r="BL298" s="425">
        <f t="shared" si="77"/>
        <v>388330206.6661303</v>
      </c>
      <c r="BN298" s="423">
        <f t="shared" si="78"/>
        <v>0.50672120509431118</v>
      </c>
      <c r="BO298" s="423">
        <f t="shared" si="79"/>
        <v>8.9149123027731147E-2</v>
      </c>
      <c r="BP298" s="423">
        <f t="shared" si="80"/>
        <v>0.1102916407400938</v>
      </c>
      <c r="BQ298" s="423">
        <f t="shared" si="81"/>
        <v>0.24652987471385837</v>
      </c>
      <c r="BR298" s="423">
        <f t="shared" si="82"/>
        <v>5.8380514373574575E-2</v>
      </c>
      <c r="BS298" s="423">
        <f t="shared" si="83"/>
        <v>-1.1072357949569045E-2</v>
      </c>
      <c r="BT298" s="425">
        <f t="shared" si="84"/>
        <v>182920621.96755421</v>
      </c>
    </row>
    <row r="299" spans="1:72" x14ac:dyDescent="0.2">
      <c r="A299" s="309">
        <v>918</v>
      </c>
      <c r="B299" s="278" t="s">
        <v>201</v>
      </c>
      <c r="C299" s="278">
        <v>2</v>
      </c>
      <c r="D299" s="279">
        <v>2276</v>
      </c>
      <c r="E299" s="364">
        <v>12798000</v>
      </c>
      <c r="F299" s="279">
        <v>6942256</v>
      </c>
      <c r="G299" s="278">
        <v>316235.495</v>
      </c>
      <c r="H299" s="279">
        <v>755326.31500000006</v>
      </c>
      <c r="I299" s="279">
        <v>5732594.5795469647</v>
      </c>
      <c r="J299" s="279">
        <v>-492832</v>
      </c>
      <c r="K299" s="279">
        <v>-120000</v>
      </c>
      <c r="L299" s="280">
        <v>39187.495457120014</v>
      </c>
      <c r="M299" s="369">
        <v>296392.89408984431</v>
      </c>
      <c r="N299" s="370">
        <v>130.22534889711963</v>
      </c>
      <c r="P299" s="365">
        <v>2740053.5580474939</v>
      </c>
      <c r="Q299" s="283">
        <v>3387579</v>
      </c>
      <c r="R299" s="279">
        <v>755326.31500000006</v>
      </c>
      <c r="S299" s="279">
        <v>204813.03483025706</v>
      </c>
      <c r="T299" s="280">
        <v>1343018.7525888493</v>
      </c>
      <c r="U299" s="280">
        <v>-1186477.3752423385</v>
      </c>
      <c r="V299" s="279">
        <v>-492832</v>
      </c>
      <c r="W299" s="279">
        <v>-120000</v>
      </c>
      <c r="X299" s="279">
        <v>27852.552685954186</v>
      </c>
      <c r="Y299" s="354">
        <v>1179226.721815228</v>
      </c>
      <c r="Z299" s="355">
        <v>518.1136739082724</v>
      </c>
      <c r="AB299" s="366">
        <v>882833.82772538369</v>
      </c>
      <c r="AC299" s="349">
        <v>387.88832501115274</v>
      </c>
      <c r="AE299" s="374">
        <v>-383.44406294997543</v>
      </c>
      <c r="AF299" s="350">
        <v>-362.8883250111528</v>
      </c>
      <c r="AG299" s="350">
        <v>-337.8883250111528</v>
      </c>
      <c r="AH299" s="350">
        <v>-312.8883250111528</v>
      </c>
      <c r="AI299" s="350">
        <v>-287.8883250111528</v>
      </c>
      <c r="AJ299" s="408">
        <v>-417</v>
      </c>
      <c r="AK299" s="387">
        <v>-12381</v>
      </c>
      <c r="AL299" s="287">
        <v>-11</v>
      </c>
      <c r="AM299" s="287">
        <v>-406</v>
      </c>
      <c r="AN299" s="287">
        <v>-2334</v>
      </c>
      <c r="AO299" s="287">
        <v>-10047</v>
      </c>
      <c r="AP299" s="287">
        <v>6942</v>
      </c>
      <c r="AQ299" s="287">
        <v>3554</v>
      </c>
      <c r="AR299" s="287">
        <v>3388</v>
      </c>
      <c r="AS299" s="287">
        <v>316</v>
      </c>
      <c r="AT299" s="287">
        <v>111</v>
      </c>
      <c r="AU299" s="287">
        <v>205</v>
      </c>
      <c r="AV299" s="353">
        <f t="shared" si="68"/>
        <v>5278.9500750040852</v>
      </c>
      <c r="AW299" s="353">
        <f t="shared" si="69"/>
        <v>6487.9593849317189</v>
      </c>
      <c r="AX299" s="353">
        <f t="shared" si="70"/>
        <v>-1209.0093099276332</v>
      </c>
      <c r="AY299" s="390">
        <v>872719</v>
      </c>
      <c r="AZ299" s="390">
        <v>-872719</v>
      </c>
      <c r="BA299" s="401">
        <f t="shared" si="71"/>
        <v>755.32631500000002</v>
      </c>
      <c r="BB299" s="401">
        <v>-2236</v>
      </c>
      <c r="BC299" s="401">
        <v>53</v>
      </c>
      <c r="BD299" s="401">
        <v>0</v>
      </c>
      <c r="BE299" s="401">
        <v>-2085</v>
      </c>
      <c r="BG299" s="426">
        <f t="shared" si="72"/>
        <v>0.52858822911118375</v>
      </c>
      <c r="BH299" s="426">
        <f t="shared" si="73"/>
        <v>2.4078391849011126E-2</v>
      </c>
      <c r="BI299" s="426">
        <f t="shared" si="74"/>
        <v>5.7511074101405386E-2</v>
      </c>
      <c r="BJ299" s="426">
        <f t="shared" si="75"/>
        <v>0.39895918889850474</v>
      </c>
      <c r="BK299" s="426">
        <f t="shared" si="76"/>
        <v>-9.1368839601049055E-3</v>
      </c>
      <c r="BL299" s="425">
        <f t="shared" si="77"/>
        <v>13133580.389546964</v>
      </c>
      <c r="BN299" s="423">
        <f t="shared" si="78"/>
        <v>1.1221946054493794</v>
      </c>
      <c r="BO299" s="423">
        <f t="shared" si="79"/>
        <v>6.7847888658015165E-2</v>
      </c>
      <c r="BP299" s="423">
        <f t="shared" si="80"/>
        <v>0.25021501079294645</v>
      </c>
      <c r="BQ299" s="423">
        <f t="shared" si="81"/>
        <v>-0.11140213190746504</v>
      </c>
      <c r="BR299" s="423">
        <f t="shared" si="82"/>
        <v>-3.9752092173769391E-2</v>
      </c>
      <c r="BS299" s="423">
        <f t="shared" si="83"/>
        <v>-0.28910328081910663</v>
      </c>
      <c r="BT299" s="425">
        <f t="shared" si="84"/>
        <v>3018709.0399026237</v>
      </c>
    </row>
    <row r="300" spans="1:72" x14ac:dyDescent="0.2">
      <c r="A300" s="309">
        <v>921</v>
      </c>
      <c r="B300" s="278" t="s">
        <v>202</v>
      </c>
      <c r="C300" s="278">
        <v>11</v>
      </c>
      <c r="D300" s="279">
        <v>2191</v>
      </c>
      <c r="E300" s="364">
        <v>16862000</v>
      </c>
      <c r="F300" s="279">
        <v>4990430</v>
      </c>
      <c r="G300" s="278">
        <v>493850.61499999993</v>
      </c>
      <c r="H300" s="279">
        <v>530546.76500000001</v>
      </c>
      <c r="I300" s="279">
        <v>10229904.934879277</v>
      </c>
      <c r="J300" s="279">
        <v>-23562</v>
      </c>
      <c r="K300" s="279">
        <v>148000</v>
      </c>
      <c r="L300" s="280">
        <v>169983.0081297291</v>
      </c>
      <c r="M300" s="369">
        <v>-662812.69325045322</v>
      </c>
      <c r="N300" s="370">
        <v>-302.51606264283578</v>
      </c>
      <c r="P300" s="365">
        <v>5556268.9336911682</v>
      </c>
      <c r="Q300" s="283">
        <v>2287967</v>
      </c>
      <c r="R300" s="279">
        <v>530546.76500000001</v>
      </c>
      <c r="S300" s="279">
        <v>319847.21769116673</v>
      </c>
      <c r="T300" s="280">
        <v>1578723.007494702</v>
      </c>
      <c r="U300" s="280">
        <v>49750.829886697786</v>
      </c>
      <c r="V300" s="279">
        <v>-23562</v>
      </c>
      <c r="W300" s="279">
        <v>148000</v>
      </c>
      <c r="X300" s="279">
        <v>25871.871773640843</v>
      </c>
      <c r="Y300" s="354">
        <v>-639124.24184496049</v>
      </c>
      <c r="Z300" s="355">
        <v>-291.70435501823846</v>
      </c>
      <c r="AB300" s="366">
        <v>23688.451405492728</v>
      </c>
      <c r="AC300" s="349">
        <v>10.81170762459732</v>
      </c>
      <c r="AE300" s="374">
        <v>-6.3674455634191531</v>
      </c>
      <c r="AF300" s="350">
        <v>0</v>
      </c>
      <c r="AG300" s="350">
        <v>0</v>
      </c>
      <c r="AH300" s="350">
        <v>0</v>
      </c>
      <c r="AI300" s="350">
        <v>0</v>
      </c>
      <c r="AJ300" s="408">
        <v>-690</v>
      </c>
      <c r="AK300" s="387">
        <v>-16172</v>
      </c>
      <c r="AL300" s="287">
        <v>-15</v>
      </c>
      <c r="AM300" s="287">
        <v>-675</v>
      </c>
      <c r="AN300" s="287">
        <v>-4881</v>
      </c>
      <c r="AO300" s="287">
        <v>-11291</v>
      </c>
      <c r="AP300" s="287">
        <v>4990</v>
      </c>
      <c r="AQ300" s="287">
        <v>2702</v>
      </c>
      <c r="AR300" s="287">
        <v>2288</v>
      </c>
      <c r="AS300" s="287">
        <v>494</v>
      </c>
      <c r="AT300" s="287">
        <v>174</v>
      </c>
      <c r="AU300" s="287">
        <v>320</v>
      </c>
      <c r="AV300" s="353">
        <f t="shared" si="68"/>
        <v>10376.325943009006</v>
      </c>
      <c r="AW300" s="353">
        <f t="shared" si="69"/>
        <v>8785.3651788570569</v>
      </c>
      <c r="AX300" s="353">
        <f t="shared" si="70"/>
        <v>1590.9607641519483</v>
      </c>
      <c r="AY300" s="390">
        <v>13951</v>
      </c>
      <c r="AZ300" s="390">
        <v>-13951</v>
      </c>
      <c r="BA300" s="401">
        <f t="shared" si="71"/>
        <v>530.54676500000005</v>
      </c>
      <c r="BB300" s="401">
        <v>-649</v>
      </c>
      <c r="BC300" s="401">
        <v>19</v>
      </c>
      <c r="BD300" s="401">
        <v>0</v>
      </c>
      <c r="BE300" s="401">
        <v>-556</v>
      </c>
      <c r="BG300" s="426">
        <f t="shared" si="72"/>
        <v>0.30486762028884207</v>
      </c>
      <c r="BH300" s="426">
        <f t="shared" si="73"/>
        <v>3.0169556886527032E-2</v>
      </c>
      <c r="BI300" s="426">
        <f t="shared" si="74"/>
        <v>3.2411341246644784E-2</v>
      </c>
      <c r="BJ300" s="426">
        <f t="shared" si="75"/>
        <v>0.62351009480314945</v>
      </c>
      <c r="BK300" s="426">
        <f t="shared" si="76"/>
        <v>9.0413867748367627E-3</v>
      </c>
      <c r="BL300" s="425">
        <f t="shared" si="77"/>
        <v>16369170.314879276</v>
      </c>
      <c r="BN300" s="423">
        <f t="shared" si="78"/>
        <v>0.4691031510235929</v>
      </c>
      <c r="BO300" s="423">
        <f t="shared" si="79"/>
        <v>6.5578453563821235E-2</v>
      </c>
      <c r="BP300" s="423">
        <f t="shared" si="80"/>
        <v>0.10877829934910498</v>
      </c>
      <c r="BQ300" s="423">
        <f t="shared" si="81"/>
        <v>0.3290559697891966</v>
      </c>
      <c r="BR300" s="423">
        <f t="shared" si="82"/>
        <v>3.0344522605217538E-2</v>
      </c>
      <c r="BS300" s="423">
        <f t="shared" si="83"/>
        <v>-2.8603963309333253E-3</v>
      </c>
      <c r="BT300" s="425">
        <f t="shared" si="84"/>
        <v>4877321.7468431154</v>
      </c>
    </row>
    <row r="301" spans="1:72" x14ac:dyDescent="0.2">
      <c r="A301" s="309">
        <v>922</v>
      </c>
      <c r="B301" s="278" t="s">
        <v>203</v>
      </c>
      <c r="C301" s="278">
        <v>6</v>
      </c>
      <c r="D301" s="279">
        <v>4489</v>
      </c>
      <c r="E301" s="364">
        <v>25333000</v>
      </c>
      <c r="F301" s="279">
        <v>14577771</v>
      </c>
      <c r="G301" s="278">
        <v>420642.565</v>
      </c>
      <c r="H301" s="279">
        <v>1257087.7179999999</v>
      </c>
      <c r="I301" s="279">
        <v>8678755.2238589935</v>
      </c>
      <c r="J301" s="279">
        <v>-912265</v>
      </c>
      <c r="K301" s="279">
        <v>-190000</v>
      </c>
      <c r="L301" s="280">
        <v>-7464.0887750772945</v>
      </c>
      <c r="M301" s="369">
        <v>-1493544.4043659293</v>
      </c>
      <c r="N301" s="370">
        <v>-332.71205265447298</v>
      </c>
      <c r="P301" s="365">
        <v>11332793.368459435</v>
      </c>
      <c r="Q301" s="283">
        <v>6559678</v>
      </c>
      <c r="R301" s="279">
        <v>1257087.7179999999</v>
      </c>
      <c r="S301" s="279">
        <v>272433.3026450231</v>
      </c>
      <c r="T301" s="280">
        <v>4990343.2741887802</v>
      </c>
      <c r="U301" s="280">
        <v>-1167701.0834372174</v>
      </c>
      <c r="V301" s="279">
        <v>-912265</v>
      </c>
      <c r="W301" s="279">
        <v>-190000</v>
      </c>
      <c r="X301" s="279">
        <v>54809.675943557602</v>
      </c>
      <c r="Y301" s="354">
        <v>-468407.48111929186</v>
      </c>
      <c r="Z301" s="355">
        <v>-104.3456184271089</v>
      </c>
      <c r="AB301" s="366">
        <v>1025136.9232466375</v>
      </c>
      <c r="AC301" s="349">
        <v>228.3664342273641</v>
      </c>
      <c r="AE301" s="374">
        <v>-223.92217216618678</v>
      </c>
      <c r="AF301" s="350">
        <v>-203.3664342273641</v>
      </c>
      <c r="AG301" s="350">
        <v>-178.3664342273641</v>
      </c>
      <c r="AH301" s="350">
        <v>-153.3664342273641</v>
      </c>
      <c r="AI301" s="350">
        <v>-128.3664342273641</v>
      </c>
      <c r="AJ301" s="408">
        <v>-1572</v>
      </c>
      <c r="AK301" s="387">
        <v>-23761</v>
      </c>
      <c r="AL301" s="287">
        <v>-2</v>
      </c>
      <c r="AM301" s="287">
        <v>-1570</v>
      </c>
      <c r="AN301" s="287">
        <v>-9763</v>
      </c>
      <c r="AO301" s="287">
        <v>-13998</v>
      </c>
      <c r="AP301" s="287">
        <v>14578</v>
      </c>
      <c r="AQ301" s="287">
        <v>8018</v>
      </c>
      <c r="AR301" s="287">
        <v>6560</v>
      </c>
      <c r="AS301" s="287">
        <v>421</v>
      </c>
      <c r="AT301" s="287">
        <v>149</v>
      </c>
      <c r="AU301" s="287">
        <v>272</v>
      </c>
      <c r="AV301" s="353">
        <f t="shared" si="68"/>
        <v>7759.0261350839164</v>
      </c>
      <c r="AW301" s="353">
        <f t="shared" si="69"/>
        <v>5853.8355751863655</v>
      </c>
      <c r="AX301" s="353">
        <f t="shared" si="70"/>
        <v>1905.1905598975504</v>
      </c>
      <c r="AY301" s="390">
        <v>1005187</v>
      </c>
      <c r="AZ301" s="390">
        <v>-1005187</v>
      </c>
      <c r="BA301" s="401">
        <f t="shared" si="71"/>
        <v>1257.087718</v>
      </c>
      <c r="BB301" s="401">
        <v>-1931</v>
      </c>
      <c r="BC301" s="401">
        <v>491</v>
      </c>
      <c r="BD301" s="401">
        <v>140</v>
      </c>
      <c r="BE301" s="401">
        <v>-973</v>
      </c>
      <c r="BG301" s="426">
        <f t="shared" si="72"/>
        <v>0.61168916562446862</v>
      </c>
      <c r="BH301" s="426">
        <f t="shared" si="73"/>
        <v>1.7650332112569632E-2</v>
      </c>
      <c r="BI301" s="426">
        <f t="shared" si="74"/>
        <v>5.2747908945763193E-2</v>
      </c>
      <c r="BJ301" s="426">
        <f t="shared" si="75"/>
        <v>0.32588507014295259</v>
      </c>
      <c r="BK301" s="426">
        <f t="shared" si="76"/>
        <v>-7.9724768257540216E-3</v>
      </c>
      <c r="BL301" s="425">
        <f t="shared" si="77"/>
        <v>23831991.506858993</v>
      </c>
      <c r="BN301" s="423">
        <f t="shared" si="78"/>
        <v>0.6690552171670221</v>
      </c>
      <c r="BO301" s="423">
        <f t="shared" si="79"/>
        <v>2.7786870401976284E-2</v>
      </c>
      <c r="BP301" s="423">
        <f t="shared" si="80"/>
        <v>0.12821682652174179</v>
      </c>
      <c r="BQ301" s="423">
        <f t="shared" si="81"/>
        <v>0.29684430293624692</v>
      </c>
      <c r="BR301" s="423">
        <f t="shared" si="82"/>
        <v>-1.9379074896928507E-2</v>
      </c>
      <c r="BS301" s="423">
        <f t="shared" si="83"/>
        <v>-0.1025241421300586</v>
      </c>
      <c r="BT301" s="425">
        <f t="shared" si="84"/>
        <v>9804389.5805425737</v>
      </c>
    </row>
    <row r="302" spans="1:72" x14ac:dyDescent="0.2">
      <c r="A302" s="309">
        <v>924</v>
      </c>
      <c r="B302" s="278" t="s">
        <v>317</v>
      </c>
      <c r="C302" s="278">
        <v>16</v>
      </c>
      <c r="D302" s="279">
        <v>3302</v>
      </c>
      <c r="E302" s="364">
        <v>20809000</v>
      </c>
      <c r="F302" s="279">
        <v>9358656</v>
      </c>
      <c r="G302" s="278">
        <v>639433.745</v>
      </c>
      <c r="H302" s="279">
        <v>720464.52699999989</v>
      </c>
      <c r="I302" s="279">
        <v>9731350.0108449385</v>
      </c>
      <c r="J302" s="279">
        <v>196548</v>
      </c>
      <c r="K302" s="279">
        <v>257000</v>
      </c>
      <c r="L302" s="280">
        <v>-6637.0199999999995</v>
      </c>
      <c r="M302" s="369">
        <v>101089.30284493834</v>
      </c>
      <c r="N302" s="370">
        <v>30.614567790714215</v>
      </c>
      <c r="P302" s="365">
        <v>8053010.1448717955</v>
      </c>
      <c r="Q302" s="283">
        <v>4493626</v>
      </c>
      <c r="R302" s="279">
        <v>720464.52699999989</v>
      </c>
      <c r="S302" s="279">
        <v>414135.56655405404</v>
      </c>
      <c r="T302" s="280">
        <v>2686129.7942129965</v>
      </c>
      <c r="U302" s="280">
        <v>-236222.27894940603</v>
      </c>
      <c r="V302" s="279">
        <v>196548</v>
      </c>
      <c r="W302" s="279">
        <v>257000</v>
      </c>
      <c r="X302" s="279">
        <v>39841.17701387102</v>
      </c>
      <c r="Y302" s="354">
        <v>518512.6409597192</v>
      </c>
      <c r="Z302" s="355">
        <v>157.02987309500884</v>
      </c>
      <c r="AB302" s="366">
        <v>417423.33811478084</v>
      </c>
      <c r="AC302" s="349">
        <v>126.41530530429462</v>
      </c>
      <c r="AE302" s="374">
        <v>-121.97104324311842</v>
      </c>
      <c r="AF302" s="350">
        <v>-101.41530530429574</v>
      </c>
      <c r="AG302" s="350">
        <v>-76.415305304295742</v>
      </c>
      <c r="AH302" s="350">
        <v>-51.415305304295742</v>
      </c>
      <c r="AI302" s="350">
        <v>-26.415305304295742</v>
      </c>
      <c r="AJ302" s="408">
        <v>-1359</v>
      </c>
      <c r="AK302" s="387">
        <v>-19450</v>
      </c>
      <c r="AL302" s="287">
        <v>-27</v>
      </c>
      <c r="AM302" s="287">
        <v>-1332</v>
      </c>
      <c r="AN302" s="287">
        <v>-6721</v>
      </c>
      <c r="AO302" s="287">
        <v>-12729</v>
      </c>
      <c r="AP302" s="287">
        <v>9359</v>
      </c>
      <c r="AQ302" s="287">
        <v>4865</v>
      </c>
      <c r="AR302" s="287">
        <v>4494</v>
      </c>
      <c r="AS302" s="287">
        <v>639</v>
      </c>
      <c r="AT302" s="287">
        <v>225</v>
      </c>
      <c r="AU302" s="287">
        <v>414</v>
      </c>
      <c r="AV302" s="353">
        <f t="shared" si="68"/>
        <v>9921.2609908449394</v>
      </c>
      <c r="AW302" s="353">
        <f t="shared" si="69"/>
        <v>7677.5538603701261</v>
      </c>
      <c r="AX302" s="353">
        <f t="shared" si="70"/>
        <v>2243.7071304748133</v>
      </c>
      <c r="AY302" s="390">
        <v>402748</v>
      </c>
      <c r="AZ302" s="390">
        <v>-402748</v>
      </c>
      <c r="BA302" s="401">
        <f t="shared" si="71"/>
        <v>720.46452699999986</v>
      </c>
      <c r="BB302" s="401">
        <v>-1374</v>
      </c>
      <c r="BC302" s="401">
        <v>112</v>
      </c>
      <c r="BD302" s="401">
        <v>0</v>
      </c>
      <c r="BE302" s="401">
        <v>-211</v>
      </c>
      <c r="BG302" s="426">
        <f t="shared" si="72"/>
        <v>0.44770863077389705</v>
      </c>
      <c r="BH302" s="426">
        <f t="shared" si="73"/>
        <v>3.0589863164601331E-2</v>
      </c>
      <c r="BI302" s="426">
        <f t="shared" si="74"/>
        <v>3.4466293761020103E-2</v>
      </c>
      <c r="BJ302" s="426">
        <f t="shared" si="75"/>
        <v>0.47494059242035219</v>
      </c>
      <c r="BK302" s="426">
        <f t="shared" si="76"/>
        <v>1.229461988012932E-2</v>
      </c>
      <c r="BL302" s="425">
        <f t="shared" si="77"/>
        <v>20903452.282844938</v>
      </c>
      <c r="BN302" s="423">
        <f t="shared" si="78"/>
        <v>0.55279405995327713</v>
      </c>
      <c r="BO302" s="423">
        <f t="shared" si="79"/>
        <v>5.0945868927780399E-2</v>
      </c>
      <c r="BP302" s="423">
        <f t="shared" si="80"/>
        <v>8.8629652519512603E-2</v>
      </c>
      <c r="BQ302" s="423">
        <f t="shared" si="81"/>
        <v>0.32556000182665451</v>
      </c>
      <c r="BR302" s="423">
        <f t="shared" si="82"/>
        <v>3.1615464528643951E-2</v>
      </c>
      <c r="BS302" s="423">
        <f t="shared" si="83"/>
        <v>-4.9545047755868578E-2</v>
      </c>
      <c r="BT302" s="425">
        <f t="shared" si="84"/>
        <v>8128933.2240288677</v>
      </c>
    </row>
    <row r="303" spans="1:72" x14ac:dyDescent="0.2">
      <c r="A303" s="309">
        <v>927</v>
      </c>
      <c r="B303" s="278" t="s">
        <v>318</v>
      </c>
      <c r="C303" s="278">
        <v>1</v>
      </c>
      <c r="D303" s="279">
        <v>28919</v>
      </c>
      <c r="E303" s="364">
        <v>145754000</v>
      </c>
      <c r="F303" s="279">
        <v>111503794</v>
      </c>
      <c r="G303" s="278">
        <v>3082493.68</v>
      </c>
      <c r="H303" s="279">
        <v>7512998.5664999997</v>
      </c>
      <c r="I303" s="279">
        <v>26628182.228400659</v>
      </c>
      <c r="J303" s="279">
        <v>-2730786</v>
      </c>
      <c r="K303" s="279">
        <v>-494000</v>
      </c>
      <c r="L303" s="280">
        <v>-58127.189999999995</v>
      </c>
      <c r="M303" s="369">
        <v>-193190.3350993371</v>
      </c>
      <c r="N303" s="370">
        <v>-6.6803947266273767</v>
      </c>
      <c r="P303" s="365">
        <v>66663243.838323355</v>
      </c>
      <c r="Q303" s="283">
        <v>46252837</v>
      </c>
      <c r="R303" s="279">
        <v>7512998.5664999997</v>
      </c>
      <c r="S303" s="279">
        <v>1996407.4097560977</v>
      </c>
      <c r="T303" s="280">
        <v>17050858.379903026</v>
      </c>
      <c r="U303" s="280">
        <v>-2391362.7285302216</v>
      </c>
      <c r="V303" s="279">
        <v>-2730786</v>
      </c>
      <c r="W303" s="279">
        <v>-494000</v>
      </c>
      <c r="X303" s="279">
        <v>376910.0061212437</v>
      </c>
      <c r="Y303" s="354">
        <v>910618.79542678595</v>
      </c>
      <c r="Z303" s="355">
        <v>31.488599032704656</v>
      </c>
      <c r="AB303" s="366">
        <v>1103809.1305261231</v>
      </c>
      <c r="AC303" s="349">
        <v>38.168993759332032</v>
      </c>
      <c r="AE303" s="374">
        <v>-33.724731698154699</v>
      </c>
      <c r="AF303" s="350">
        <v>-13.168993759332032</v>
      </c>
      <c r="AG303" s="350">
        <v>0</v>
      </c>
      <c r="AH303" s="350">
        <v>0</v>
      </c>
      <c r="AI303" s="350">
        <v>0</v>
      </c>
      <c r="AJ303" s="408">
        <v>-10722</v>
      </c>
      <c r="AK303" s="387">
        <v>-135032</v>
      </c>
      <c r="AL303" s="287">
        <v>0</v>
      </c>
      <c r="AM303" s="287">
        <v>-10722</v>
      </c>
      <c r="AN303" s="287">
        <v>-55941</v>
      </c>
      <c r="AO303" s="287">
        <v>-79091</v>
      </c>
      <c r="AP303" s="287">
        <v>111504</v>
      </c>
      <c r="AQ303" s="287">
        <v>65251</v>
      </c>
      <c r="AR303" s="287">
        <v>46253</v>
      </c>
      <c r="AS303" s="287">
        <v>3082</v>
      </c>
      <c r="AT303" s="287">
        <v>1086</v>
      </c>
      <c r="AU303" s="287">
        <v>1996</v>
      </c>
      <c r="AV303" s="353">
        <f t="shared" si="68"/>
        <v>23839.269038400656</v>
      </c>
      <c r="AW303" s="353">
        <f t="shared" si="69"/>
        <v>12885.844903006788</v>
      </c>
      <c r="AX303" s="353">
        <f t="shared" si="70"/>
        <v>10953.424135393869</v>
      </c>
      <c r="AY303" s="390">
        <v>975286</v>
      </c>
      <c r="AZ303" s="390">
        <v>-975286</v>
      </c>
      <c r="BA303" s="401">
        <f t="shared" si="71"/>
        <v>7512.9985664999995</v>
      </c>
      <c r="BB303" s="401">
        <v>-12795</v>
      </c>
      <c r="BC303" s="401">
        <v>0</v>
      </c>
      <c r="BD303" s="401">
        <v>2700</v>
      </c>
      <c r="BE303" s="401">
        <v>-2329</v>
      </c>
      <c r="BG303" s="426">
        <f t="shared" si="72"/>
        <v>0.7663349713104739</v>
      </c>
      <c r="BH303" s="426">
        <f t="shared" si="73"/>
        <v>2.1185132999398365E-2</v>
      </c>
      <c r="BI303" s="426">
        <f t="shared" si="74"/>
        <v>5.1634777027536924E-2</v>
      </c>
      <c r="BJ303" s="426">
        <f t="shared" si="75"/>
        <v>0.16424024507261561</v>
      </c>
      <c r="BK303" s="426">
        <f t="shared" si="76"/>
        <v>-3.3951264100248835E-3</v>
      </c>
      <c r="BL303" s="425">
        <f t="shared" si="77"/>
        <v>145502682.47490066</v>
      </c>
      <c r="BN303" s="423">
        <f t="shared" si="78"/>
        <v>0.69845473569877903</v>
      </c>
      <c r="BO303" s="423">
        <f t="shared" si="79"/>
        <v>3.0147344469449069E-2</v>
      </c>
      <c r="BP303" s="423">
        <f t="shared" si="80"/>
        <v>0.11345227165352177</v>
      </c>
      <c r="BQ303" s="423">
        <f t="shared" si="81"/>
        <v>0.18013303155387134</v>
      </c>
      <c r="BR303" s="423">
        <f t="shared" si="82"/>
        <v>-7.4597940756627934E-3</v>
      </c>
      <c r="BS303" s="423">
        <f t="shared" si="83"/>
        <v>-1.472758929995829E-2</v>
      </c>
      <c r="BT303" s="425">
        <f t="shared" si="84"/>
        <v>66221667.11164996</v>
      </c>
    </row>
    <row r="304" spans="1:72" x14ac:dyDescent="0.2">
      <c r="A304" s="309">
        <v>925</v>
      </c>
      <c r="B304" s="278" t="s">
        <v>204</v>
      </c>
      <c r="C304" s="278">
        <v>11</v>
      </c>
      <c r="D304" s="279">
        <v>3757</v>
      </c>
      <c r="E304" s="364">
        <v>23684000</v>
      </c>
      <c r="F304" s="279">
        <v>9402894</v>
      </c>
      <c r="G304" s="278">
        <v>2628341.8200000003</v>
      </c>
      <c r="H304" s="279">
        <v>836283.03380000009</v>
      </c>
      <c r="I304" s="279">
        <v>11772934.943766294</v>
      </c>
      <c r="J304" s="279">
        <v>21504</v>
      </c>
      <c r="K304" s="279">
        <v>455000</v>
      </c>
      <c r="L304" s="280">
        <v>-117261.09647988684</v>
      </c>
      <c r="M304" s="369">
        <v>1550218.8940461816</v>
      </c>
      <c r="N304" s="370">
        <v>412.62147831945214</v>
      </c>
      <c r="P304" s="365">
        <v>9331973.0112282317</v>
      </c>
      <c r="Q304" s="283">
        <v>4229120</v>
      </c>
      <c r="R304" s="279">
        <v>836283.03380000009</v>
      </c>
      <c r="S304" s="279">
        <v>1702271.4819709957</v>
      </c>
      <c r="T304" s="280">
        <v>2949466.9719040496</v>
      </c>
      <c r="U304" s="280">
        <v>466678.2886293807</v>
      </c>
      <c r="V304" s="279">
        <v>21504</v>
      </c>
      <c r="W304" s="279">
        <v>455000</v>
      </c>
      <c r="X304" s="279">
        <v>46552.770029942774</v>
      </c>
      <c r="Y304" s="354">
        <v>1374903.5351061374</v>
      </c>
      <c r="Z304" s="355">
        <v>365.95782142830382</v>
      </c>
      <c r="AB304" s="366">
        <v>-175315.35894004419</v>
      </c>
      <c r="AC304" s="349">
        <v>-46.663656891148307</v>
      </c>
      <c r="AE304" s="374">
        <v>51.107918952325633</v>
      </c>
      <c r="AF304" s="350">
        <v>21.663656891148321</v>
      </c>
      <c r="AG304" s="350">
        <v>0</v>
      </c>
      <c r="AH304" s="350">
        <v>0</v>
      </c>
      <c r="AI304" s="350">
        <v>0</v>
      </c>
      <c r="AJ304" s="408">
        <v>-1002</v>
      </c>
      <c r="AK304" s="387">
        <v>-22682</v>
      </c>
      <c r="AL304" s="287">
        <v>0</v>
      </c>
      <c r="AM304" s="287">
        <v>-1002</v>
      </c>
      <c r="AN304" s="287">
        <v>-8330</v>
      </c>
      <c r="AO304" s="287">
        <v>-14352</v>
      </c>
      <c r="AP304" s="287">
        <v>9403</v>
      </c>
      <c r="AQ304" s="287">
        <v>5174</v>
      </c>
      <c r="AR304" s="287">
        <v>4229</v>
      </c>
      <c r="AS304" s="287">
        <v>2628</v>
      </c>
      <c r="AT304" s="287">
        <v>926</v>
      </c>
      <c r="AU304" s="287">
        <v>1702</v>
      </c>
      <c r="AV304" s="353">
        <f t="shared" si="68"/>
        <v>11677.177847286408</v>
      </c>
      <c r="AW304" s="353">
        <f t="shared" si="69"/>
        <v>8047.5161352490904</v>
      </c>
      <c r="AX304" s="353">
        <f t="shared" si="70"/>
        <v>3629.6617120373176</v>
      </c>
      <c r="AY304" s="390">
        <v>192012</v>
      </c>
      <c r="AZ304" s="390">
        <v>192012</v>
      </c>
      <c r="BA304" s="401">
        <f t="shared" si="71"/>
        <v>836.28303380000011</v>
      </c>
      <c r="BB304" s="401">
        <v>-2438</v>
      </c>
      <c r="BC304" s="401">
        <v>0</v>
      </c>
      <c r="BD304" s="401">
        <v>0</v>
      </c>
      <c r="BE304" s="401">
        <v>-997</v>
      </c>
      <c r="BG304" s="426">
        <f t="shared" si="72"/>
        <v>0.37436436672721141</v>
      </c>
      <c r="BH304" s="426">
        <f t="shared" si="73"/>
        <v>0.10464411499129378</v>
      </c>
      <c r="BI304" s="426">
        <f t="shared" si="74"/>
        <v>3.3295554363714848E-2</v>
      </c>
      <c r="BJ304" s="426">
        <f t="shared" si="75"/>
        <v>0.4695807127131103</v>
      </c>
      <c r="BK304" s="426">
        <f t="shared" si="76"/>
        <v>1.8115251204669666E-2</v>
      </c>
      <c r="BL304" s="425">
        <f t="shared" si="77"/>
        <v>25116957.797566295</v>
      </c>
      <c r="BN304" s="423">
        <f t="shared" si="78"/>
        <v>0.38969673545159716</v>
      </c>
      <c r="BO304" s="423">
        <f t="shared" si="79"/>
        <v>0.1568576061630905</v>
      </c>
      <c r="BP304" s="423">
        <f t="shared" si="80"/>
        <v>7.7060184668540435E-2</v>
      </c>
      <c r="BQ304" s="423">
        <f t="shared" si="81"/>
        <v>0.31676582704143524</v>
      </c>
      <c r="BR304" s="423">
        <f t="shared" si="82"/>
        <v>4.192645624396487E-2</v>
      </c>
      <c r="BS304" s="423">
        <f t="shared" si="83"/>
        <v>1.7693190431371783E-2</v>
      </c>
      <c r="BT304" s="425">
        <f t="shared" si="84"/>
        <v>10852336.227808313</v>
      </c>
    </row>
    <row r="305" spans="1:72" x14ac:dyDescent="0.2">
      <c r="A305" s="309">
        <v>931</v>
      </c>
      <c r="B305" s="278" t="s">
        <v>205</v>
      </c>
      <c r="C305" s="278">
        <v>13</v>
      </c>
      <c r="D305" s="279">
        <v>6666</v>
      </c>
      <c r="E305" s="364">
        <v>44133000</v>
      </c>
      <c r="F305" s="279">
        <v>17166896</v>
      </c>
      <c r="G305" s="278">
        <v>1930149.4350000001</v>
      </c>
      <c r="H305" s="279">
        <v>2087604.8981999999</v>
      </c>
      <c r="I305" s="279">
        <v>24577038.492872477</v>
      </c>
      <c r="J305" s="279">
        <v>-676448</v>
      </c>
      <c r="K305" s="279">
        <v>-479000</v>
      </c>
      <c r="L305" s="280">
        <v>-13398.659999999998</v>
      </c>
      <c r="M305" s="369">
        <v>486639.48607247678</v>
      </c>
      <c r="N305" s="370">
        <v>73.003223233194831</v>
      </c>
      <c r="P305" s="365">
        <v>16423482.08527977</v>
      </c>
      <c r="Q305" s="283">
        <v>7809126</v>
      </c>
      <c r="R305" s="279">
        <v>2087604.8981999999</v>
      </c>
      <c r="S305" s="279">
        <v>1250080.3031559</v>
      </c>
      <c r="T305" s="280">
        <v>4261916.8675646298</v>
      </c>
      <c r="U305" s="280">
        <v>1538774.2707141605</v>
      </c>
      <c r="V305" s="279">
        <v>-676448</v>
      </c>
      <c r="W305" s="279">
        <v>-479000</v>
      </c>
      <c r="X305" s="279">
        <v>80713.066891300827</v>
      </c>
      <c r="Y305" s="354">
        <v>-550714.67875377834</v>
      </c>
      <c r="Z305" s="355">
        <v>-82.615463359402696</v>
      </c>
      <c r="AB305" s="366">
        <v>-1037354.1648262551</v>
      </c>
      <c r="AC305" s="349">
        <v>-155.61868659259753</v>
      </c>
      <c r="AE305" s="374">
        <v>160.06294865377487</v>
      </c>
      <c r="AF305" s="350">
        <v>130.61868659259753</v>
      </c>
      <c r="AG305" s="350">
        <v>105.61868659259753</v>
      </c>
      <c r="AH305" s="350">
        <v>80.618686592597527</v>
      </c>
      <c r="AI305" s="350">
        <v>55.618686592597527</v>
      </c>
      <c r="AJ305" s="408">
        <v>-2452</v>
      </c>
      <c r="AK305" s="387">
        <v>-41681</v>
      </c>
      <c r="AL305" s="287">
        <v>-71</v>
      </c>
      <c r="AM305" s="287">
        <v>-2381</v>
      </c>
      <c r="AN305" s="287">
        <v>-14042</v>
      </c>
      <c r="AO305" s="287">
        <v>-27639</v>
      </c>
      <c r="AP305" s="287">
        <v>17167</v>
      </c>
      <c r="AQ305" s="287">
        <v>9358</v>
      </c>
      <c r="AR305" s="287">
        <v>7809</v>
      </c>
      <c r="AS305" s="287">
        <v>1930</v>
      </c>
      <c r="AT305" s="287">
        <v>680</v>
      </c>
      <c r="AU305" s="287">
        <v>1250</v>
      </c>
      <c r="AV305" s="353">
        <f t="shared" si="68"/>
        <v>23887.191832872479</v>
      </c>
      <c r="AW305" s="353">
        <f t="shared" si="69"/>
        <v>17695.969078867623</v>
      </c>
      <c r="AX305" s="353">
        <f t="shared" si="70"/>
        <v>6191.2227540048534</v>
      </c>
      <c r="AY305" s="390">
        <v>1066980</v>
      </c>
      <c r="AZ305" s="390">
        <v>1066980</v>
      </c>
      <c r="BA305" s="401">
        <f t="shared" si="71"/>
        <v>2087.6048982000002</v>
      </c>
      <c r="BB305" s="401">
        <v>-4124</v>
      </c>
      <c r="BC305" s="401">
        <v>0</v>
      </c>
      <c r="BD305" s="401">
        <v>0</v>
      </c>
      <c r="BE305" s="401">
        <v>-2282</v>
      </c>
      <c r="BG305" s="426">
        <f t="shared" si="72"/>
        <v>0.38485412987247064</v>
      </c>
      <c r="BH305" s="426">
        <f t="shared" si="73"/>
        <v>4.3270838323408375E-2</v>
      </c>
      <c r="BI305" s="426">
        <f t="shared" si="74"/>
        <v>4.6800735940514156E-2</v>
      </c>
      <c r="BJ305" s="426">
        <f t="shared" si="75"/>
        <v>0.53581270356462118</v>
      </c>
      <c r="BK305" s="426">
        <f t="shared" si="76"/>
        <v>-1.0738407701014408E-2</v>
      </c>
      <c r="BL305" s="425">
        <f t="shared" si="77"/>
        <v>44606240.826072477</v>
      </c>
      <c r="BN305" s="423">
        <f t="shared" si="78"/>
        <v>0.46320127361253055</v>
      </c>
      <c r="BO305" s="423">
        <f t="shared" si="79"/>
        <v>7.4148987804749364E-2</v>
      </c>
      <c r="BP305" s="423">
        <f t="shared" si="80"/>
        <v>0.12382707714614889</v>
      </c>
      <c r="BQ305" s="423">
        <f t="shared" si="81"/>
        <v>0.30394642728917498</v>
      </c>
      <c r="BR305" s="423">
        <f t="shared" si="82"/>
        <v>-2.8412066863872106E-2</v>
      </c>
      <c r="BS305" s="423">
        <f t="shared" si="83"/>
        <v>6.3288301011268214E-2</v>
      </c>
      <c r="BT305" s="425">
        <f t="shared" si="84"/>
        <v>16859033.955360755</v>
      </c>
    </row>
    <row r="306" spans="1:72" x14ac:dyDescent="0.2">
      <c r="A306" s="309">
        <v>405</v>
      </c>
      <c r="B306" s="278" t="s">
        <v>271</v>
      </c>
      <c r="C306" s="278">
        <v>9</v>
      </c>
      <c r="D306" s="279">
        <v>72875</v>
      </c>
      <c r="E306" s="364">
        <v>401510000</v>
      </c>
      <c r="F306" s="279">
        <v>248861777</v>
      </c>
      <c r="G306" s="278">
        <v>20300000.940000001</v>
      </c>
      <c r="H306" s="279">
        <v>25286266.599499997</v>
      </c>
      <c r="I306" s="279">
        <v>110687142.53610305</v>
      </c>
      <c r="J306" s="279">
        <v>-5756021</v>
      </c>
      <c r="K306" s="279">
        <v>11406000</v>
      </c>
      <c r="L306" s="280">
        <v>-146478.74999999997</v>
      </c>
      <c r="M306" s="369">
        <v>9421644.8256030679</v>
      </c>
      <c r="N306" s="370">
        <v>129.2850061832325</v>
      </c>
      <c r="P306" s="365">
        <v>162545136.00558659</v>
      </c>
      <c r="Q306" s="283">
        <v>108519538</v>
      </c>
      <c r="R306" s="279">
        <v>25286266.599499997</v>
      </c>
      <c r="S306" s="279">
        <v>13147495.664831907</v>
      </c>
      <c r="T306" s="280">
        <v>22516807.967490662</v>
      </c>
      <c r="U306" s="280">
        <v>-5247178.8895980017</v>
      </c>
      <c r="V306" s="279">
        <v>-5756021</v>
      </c>
      <c r="W306" s="279">
        <v>11406000</v>
      </c>
      <c r="X306" s="279">
        <v>925949.38277064427</v>
      </c>
      <c r="Y306" s="354">
        <v>8253721.7194086313</v>
      </c>
      <c r="Z306" s="355">
        <v>113.25861707593319</v>
      </c>
      <c r="AB306" s="366">
        <v>-1167923.1061944366</v>
      </c>
      <c r="AC306" s="349">
        <v>-16.026389107299302</v>
      </c>
      <c r="AE306" s="374">
        <v>20.47065116847665</v>
      </c>
      <c r="AF306" s="350">
        <v>0</v>
      </c>
      <c r="AG306" s="350">
        <v>0</v>
      </c>
      <c r="AH306" s="350">
        <v>0</v>
      </c>
      <c r="AI306" s="350">
        <v>0</v>
      </c>
      <c r="AJ306" s="408">
        <v>-23700</v>
      </c>
      <c r="AK306" s="387">
        <v>-377810</v>
      </c>
      <c r="AL306" s="287">
        <v>-400</v>
      </c>
      <c r="AM306" s="287">
        <v>-23300</v>
      </c>
      <c r="AN306" s="287">
        <v>-139245</v>
      </c>
      <c r="AO306" s="287">
        <v>-238565</v>
      </c>
      <c r="AP306" s="287">
        <v>248862</v>
      </c>
      <c r="AQ306" s="287">
        <v>140342</v>
      </c>
      <c r="AR306" s="287">
        <v>108520</v>
      </c>
      <c r="AS306" s="287">
        <v>20300</v>
      </c>
      <c r="AT306" s="287">
        <v>7153</v>
      </c>
      <c r="AU306" s="287">
        <v>13147</v>
      </c>
      <c r="AV306" s="353">
        <f t="shared" si="68"/>
        <v>104784.64278610305</v>
      </c>
      <c r="AW306" s="353">
        <f t="shared" si="69"/>
        <v>91779.236004307662</v>
      </c>
      <c r="AX306" s="353">
        <f t="shared" si="70"/>
        <v>13005.406781795398</v>
      </c>
      <c r="AY306" s="390">
        <v>1491799</v>
      </c>
      <c r="AZ306" s="390">
        <v>1491799</v>
      </c>
      <c r="BA306" s="401">
        <f t="shared" si="71"/>
        <v>25286.266599499999</v>
      </c>
      <c r="BB306" s="401">
        <v>-26845</v>
      </c>
      <c r="BC306" s="401">
        <v>1818</v>
      </c>
      <c r="BD306" s="401">
        <v>1</v>
      </c>
      <c r="BE306" s="401">
        <v>-2000</v>
      </c>
      <c r="BG306" s="426">
        <f t="shared" si="72"/>
        <v>0.60581977527931996</v>
      </c>
      <c r="BH306" s="426">
        <f t="shared" si="73"/>
        <v>4.9417560848007552E-2</v>
      </c>
      <c r="BI306" s="426">
        <f t="shared" si="74"/>
        <v>6.1555938937790607E-2</v>
      </c>
      <c r="BJ306" s="426">
        <f t="shared" si="75"/>
        <v>0.25544038636680222</v>
      </c>
      <c r="BK306" s="426">
        <f t="shared" si="76"/>
        <v>2.7766338568079599E-2</v>
      </c>
      <c r="BL306" s="425">
        <f t="shared" si="77"/>
        <v>410785166.07560307</v>
      </c>
      <c r="BN306" s="423">
        <f t="shared" si="78"/>
        <v>0.63326655686919908</v>
      </c>
      <c r="BO306" s="423">
        <f t="shared" si="79"/>
        <v>7.6722307010934951E-2</v>
      </c>
      <c r="BP306" s="423">
        <f t="shared" si="80"/>
        <v>0.14755819348901017</v>
      </c>
      <c r="BQ306" s="423">
        <f t="shared" si="81"/>
        <v>6.7187744059769974E-2</v>
      </c>
      <c r="BR306" s="423">
        <f t="shared" si="82"/>
        <v>6.6559796335016505E-2</v>
      </c>
      <c r="BS306" s="423">
        <f t="shared" si="83"/>
        <v>8.7054022360694098E-3</v>
      </c>
      <c r="BT306" s="425">
        <f t="shared" si="84"/>
        <v>171364707.04612729</v>
      </c>
    </row>
    <row r="307" spans="1:72" x14ac:dyDescent="0.2">
      <c r="A307" s="309">
        <v>934</v>
      </c>
      <c r="B307" s="278" t="s">
        <v>206</v>
      </c>
      <c r="C307" s="278">
        <v>14</v>
      </c>
      <c r="D307" s="279">
        <v>3073</v>
      </c>
      <c r="E307" s="364">
        <v>17588000</v>
      </c>
      <c r="F307" s="279">
        <v>9257039</v>
      </c>
      <c r="G307" s="278">
        <v>534993.65999999992</v>
      </c>
      <c r="H307" s="279">
        <v>864381.94199999992</v>
      </c>
      <c r="I307" s="279">
        <v>8897867.1165496539</v>
      </c>
      <c r="J307" s="279">
        <v>-766528</v>
      </c>
      <c r="K307" s="279">
        <v>-71000</v>
      </c>
      <c r="L307" s="280">
        <v>-6176.73</v>
      </c>
      <c r="M307" s="369">
        <v>1134930.4485496539</v>
      </c>
      <c r="N307" s="370">
        <v>369.32328296441716</v>
      </c>
      <c r="P307" s="365">
        <v>5790632.1356239598</v>
      </c>
      <c r="Q307" s="283">
        <v>4447429</v>
      </c>
      <c r="R307" s="279">
        <v>864381.94199999992</v>
      </c>
      <c r="S307" s="279">
        <v>346493.91624917591</v>
      </c>
      <c r="T307" s="280">
        <v>2259841.7730506598</v>
      </c>
      <c r="U307" s="280">
        <v>-24090.136549740895</v>
      </c>
      <c r="V307" s="279">
        <v>-766528</v>
      </c>
      <c r="W307" s="279">
        <v>-71000</v>
      </c>
      <c r="X307" s="279">
        <v>37383.440430985473</v>
      </c>
      <c r="Y307" s="354">
        <v>1303279.7995571196</v>
      </c>
      <c r="Z307" s="355">
        <v>424.10667086141217</v>
      </c>
      <c r="AB307" s="366">
        <v>168349.35100746574</v>
      </c>
      <c r="AC307" s="349">
        <v>54.783387896995031</v>
      </c>
      <c r="AE307" s="374">
        <v>-50.339125835817697</v>
      </c>
      <c r="AF307" s="350">
        <v>-29.783387896995009</v>
      </c>
      <c r="AG307" s="350">
        <v>-4.7833878969950092</v>
      </c>
      <c r="AH307" s="350">
        <v>0</v>
      </c>
      <c r="AI307" s="350">
        <v>0</v>
      </c>
      <c r="AJ307" s="408">
        <v>-831</v>
      </c>
      <c r="AK307" s="387">
        <v>-16757</v>
      </c>
      <c r="AL307" s="287">
        <v>0</v>
      </c>
      <c r="AM307" s="287">
        <v>-831</v>
      </c>
      <c r="AN307" s="287">
        <v>-4960</v>
      </c>
      <c r="AO307" s="287">
        <v>-11797</v>
      </c>
      <c r="AP307" s="287">
        <v>9257</v>
      </c>
      <c r="AQ307" s="287">
        <v>4810</v>
      </c>
      <c r="AR307" s="287">
        <v>4447</v>
      </c>
      <c r="AS307" s="287">
        <v>535</v>
      </c>
      <c r="AT307" s="287">
        <v>189</v>
      </c>
      <c r="AU307" s="287">
        <v>346</v>
      </c>
      <c r="AV307" s="353">
        <f t="shared" si="68"/>
        <v>8125.162386549654</v>
      </c>
      <c r="AW307" s="353">
        <f t="shared" si="69"/>
        <v>6810.630883742203</v>
      </c>
      <c r="AX307" s="353">
        <f t="shared" si="70"/>
        <v>1314.531502807451</v>
      </c>
      <c r="AY307" s="390">
        <v>154692</v>
      </c>
      <c r="AZ307" s="390">
        <v>-154692</v>
      </c>
      <c r="BA307" s="401">
        <f t="shared" si="71"/>
        <v>864.38194199999998</v>
      </c>
      <c r="BB307" s="401">
        <v>-1289</v>
      </c>
      <c r="BC307" s="401">
        <v>120</v>
      </c>
      <c r="BD307" s="401">
        <v>75</v>
      </c>
      <c r="BE307" s="401">
        <v>683</v>
      </c>
      <c r="BG307" s="426">
        <f t="shared" si="72"/>
        <v>0.49458571391178835</v>
      </c>
      <c r="BH307" s="426">
        <f t="shared" si="73"/>
        <v>2.8583677920054191E-2</v>
      </c>
      <c r="BI307" s="426">
        <f t="shared" si="74"/>
        <v>4.6182257617854695E-2</v>
      </c>
      <c r="BJ307" s="426">
        <f t="shared" si="75"/>
        <v>0.43444174341466651</v>
      </c>
      <c r="BK307" s="426">
        <f t="shared" si="76"/>
        <v>-3.7933928643637533E-3</v>
      </c>
      <c r="BL307" s="425">
        <f t="shared" si="77"/>
        <v>18716753.718549654</v>
      </c>
      <c r="BN307" s="423">
        <f t="shared" si="78"/>
        <v>0.64438343179135127</v>
      </c>
      <c r="BO307" s="423">
        <f t="shared" si="79"/>
        <v>5.0203148571336162E-2</v>
      </c>
      <c r="BP307" s="423">
        <f t="shared" si="80"/>
        <v>0.12523941408945094</v>
      </c>
      <c r="BQ307" s="423">
        <f t="shared" si="81"/>
        <v>0.21287430759601353</v>
      </c>
      <c r="BR307" s="423">
        <f t="shared" si="82"/>
        <v>-1.0287117266444486E-2</v>
      </c>
      <c r="BS307" s="423">
        <f t="shared" si="83"/>
        <v>-2.2413184781707205E-2</v>
      </c>
      <c r="BT307" s="425">
        <f t="shared" si="84"/>
        <v>6901836.3610566258</v>
      </c>
    </row>
    <row r="308" spans="1:72" x14ac:dyDescent="0.2">
      <c r="A308" s="309">
        <v>936</v>
      </c>
      <c r="B308" s="278" t="s">
        <v>319</v>
      </c>
      <c r="C308" s="278">
        <v>6</v>
      </c>
      <c r="D308" s="279">
        <v>7002</v>
      </c>
      <c r="E308" s="364">
        <v>45253000</v>
      </c>
      <c r="F308" s="279">
        <v>18656834</v>
      </c>
      <c r="G308" s="278">
        <v>1983623.1950000001</v>
      </c>
      <c r="H308" s="279">
        <v>1910558.2928999998</v>
      </c>
      <c r="I308" s="279">
        <v>23211349.594776675</v>
      </c>
      <c r="J308" s="279">
        <v>244593</v>
      </c>
      <c r="K308" s="279">
        <v>149000</v>
      </c>
      <c r="L308" s="280">
        <v>-14074.019999999999</v>
      </c>
      <c r="M308" s="369">
        <v>917032.10267667891</v>
      </c>
      <c r="N308" s="370">
        <v>130.96716690612382</v>
      </c>
      <c r="P308" s="365">
        <v>18273534.758571427</v>
      </c>
      <c r="Q308" s="283">
        <v>8270746</v>
      </c>
      <c r="R308" s="279">
        <v>1910558.2928999998</v>
      </c>
      <c r="S308" s="279">
        <v>1284713.1108025708</v>
      </c>
      <c r="T308" s="280">
        <v>4063993.3884765361</v>
      </c>
      <c r="U308" s="280">
        <v>2103376.7154261027</v>
      </c>
      <c r="V308" s="279">
        <v>244593</v>
      </c>
      <c r="W308" s="279">
        <v>149000</v>
      </c>
      <c r="X308" s="279">
        <v>85270.704115955421</v>
      </c>
      <c r="Y308" s="354">
        <v>-161283.54685026035</v>
      </c>
      <c r="Z308" s="355">
        <v>-23.033925571302536</v>
      </c>
      <c r="AB308" s="366">
        <v>-1078315.6495269393</v>
      </c>
      <c r="AC308" s="349">
        <v>-154.00109247742634</v>
      </c>
      <c r="AE308" s="374">
        <v>158.44535453860371</v>
      </c>
      <c r="AF308" s="350">
        <v>129.00109247742637</v>
      </c>
      <c r="AG308" s="350">
        <v>104.00109247742637</v>
      </c>
      <c r="AH308" s="350">
        <v>79.001092477426369</v>
      </c>
      <c r="AI308" s="350">
        <v>54.001092477426369</v>
      </c>
      <c r="AJ308" s="408">
        <v>-3638</v>
      </c>
      <c r="AK308" s="387">
        <v>-41615</v>
      </c>
      <c r="AL308" s="287">
        <v>-134</v>
      </c>
      <c r="AM308" s="287">
        <v>-3504</v>
      </c>
      <c r="AN308" s="287">
        <v>-14770</v>
      </c>
      <c r="AO308" s="287">
        <v>-26845</v>
      </c>
      <c r="AP308" s="287">
        <v>18657</v>
      </c>
      <c r="AQ308" s="287">
        <v>10386</v>
      </c>
      <c r="AR308" s="287">
        <v>8271</v>
      </c>
      <c r="AS308" s="287">
        <v>1984</v>
      </c>
      <c r="AT308" s="287">
        <v>699</v>
      </c>
      <c r="AU308" s="287">
        <v>1285</v>
      </c>
      <c r="AV308" s="353">
        <f t="shared" si="68"/>
        <v>23441.868574776676</v>
      </c>
      <c r="AW308" s="353">
        <f t="shared" si="69"/>
        <v>15920.471098394733</v>
      </c>
      <c r="AX308" s="353">
        <f t="shared" si="70"/>
        <v>7521.3974763819424</v>
      </c>
      <c r="AY308" s="390">
        <v>1109434</v>
      </c>
      <c r="AZ308" s="390">
        <v>1109434</v>
      </c>
      <c r="BA308" s="401">
        <f t="shared" si="71"/>
        <v>1910.5582928999997</v>
      </c>
      <c r="BB308" s="401">
        <v>-12536</v>
      </c>
      <c r="BC308" s="401">
        <v>1561</v>
      </c>
      <c r="BD308" s="401">
        <v>0</v>
      </c>
      <c r="BE308" s="401">
        <v>-7232</v>
      </c>
      <c r="BG308" s="426">
        <f t="shared" si="72"/>
        <v>0.40421290717399949</v>
      </c>
      <c r="BH308" s="426">
        <f t="shared" si="73"/>
        <v>4.2976536018315185E-2</v>
      </c>
      <c r="BI308" s="426">
        <f t="shared" si="74"/>
        <v>4.1393535575141124E-2</v>
      </c>
      <c r="BJ308" s="426">
        <f t="shared" si="75"/>
        <v>0.5081888356160067</v>
      </c>
      <c r="BK308" s="426">
        <f t="shared" si="76"/>
        <v>3.2281856165373999E-3</v>
      </c>
      <c r="BL308" s="425">
        <f t="shared" si="77"/>
        <v>46155958.082676679</v>
      </c>
      <c r="BN308" s="423">
        <f t="shared" si="78"/>
        <v>0.43219934621126238</v>
      </c>
      <c r="BO308" s="423">
        <f t="shared" si="79"/>
        <v>6.7134472096943634E-2</v>
      </c>
      <c r="BP308" s="423">
        <f t="shared" si="80"/>
        <v>9.9838883347389148E-2</v>
      </c>
      <c r="BQ308" s="423">
        <f t="shared" si="81"/>
        <v>0.33506605830205122</v>
      </c>
      <c r="BR308" s="423">
        <f t="shared" si="82"/>
        <v>7.7862024278678235E-3</v>
      </c>
      <c r="BS308" s="423">
        <f t="shared" si="83"/>
        <v>5.7975037614485685E-2</v>
      </c>
      <c r="BT308" s="425">
        <f t="shared" si="84"/>
        <v>19136414.880084515</v>
      </c>
    </row>
    <row r="309" spans="1:72" x14ac:dyDescent="0.2">
      <c r="A309" s="309">
        <v>935</v>
      </c>
      <c r="B309" s="278" t="s">
        <v>207</v>
      </c>
      <c r="C309" s="278">
        <v>8</v>
      </c>
      <c r="D309" s="279">
        <v>3347</v>
      </c>
      <c r="E309" s="364">
        <v>20294000</v>
      </c>
      <c r="F309" s="279">
        <v>8571831</v>
      </c>
      <c r="G309" s="278">
        <v>922272.01</v>
      </c>
      <c r="H309" s="279">
        <v>1201161.5774999999</v>
      </c>
      <c r="I309" s="279">
        <v>9481620.8480704296</v>
      </c>
      <c r="J309" s="279">
        <v>-209717</v>
      </c>
      <c r="K309" s="279">
        <v>144000</v>
      </c>
      <c r="L309" s="280">
        <v>-6727.4699999999993</v>
      </c>
      <c r="M309" s="369">
        <v>-176104.09442956999</v>
      </c>
      <c r="N309" s="370">
        <v>-52.615504759357627</v>
      </c>
      <c r="P309" s="365">
        <v>8214224.7047619056</v>
      </c>
      <c r="Q309" s="283">
        <v>3569741</v>
      </c>
      <c r="R309" s="279">
        <v>1201161.5774999999</v>
      </c>
      <c r="S309" s="279">
        <v>597318.55624587997</v>
      </c>
      <c r="T309" s="280">
        <v>1806605.8977718265</v>
      </c>
      <c r="U309" s="280">
        <v>510078.57137740211</v>
      </c>
      <c r="V309" s="279">
        <v>-209717</v>
      </c>
      <c r="W309" s="279">
        <v>144000</v>
      </c>
      <c r="X309" s="279">
        <v>40940.527128901653</v>
      </c>
      <c r="Y309" s="354">
        <v>-554095.57473789528</v>
      </c>
      <c r="Z309" s="355">
        <v>-165.54991775855851</v>
      </c>
      <c r="AB309" s="366">
        <v>-377991.48030832526</v>
      </c>
      <c r="AC309" s="349">
        <v>-112.93441299920086</v>
      </c>
      <c r="AE309" s="374">
        <v>117.37867506037821</v>
      </c>
      <c r="AF309" s="350">
        <v>87.934412999200873</v>
      </c>
      <c r="AG309" s="350">
        <v>62.934412999200873</v>
      </c>
      <c r="AH309" s="350">
        <v>37.934412999200873</v>
      </c>
      <c r="AI309" s="350">
        <v>12.934412999200873</v>
      </c>
      <c r="AJ309" s="408">
        <v>-1257</v>
      </c>
      <c r="AK309" s="387">
        <v>-19037</v>
      </c>
      <c r="AL309" s="287">
        <v>-39</v>
      </c>
      <c r="AM309" s="287">
        <v>-1218</v>
      </c>
      <c r="AN309" s="287">
        <v>-6996</v>
      </c>
      <c r="AO309" s="287">
        <v>-12041</v>
      </c>
      <c r="AP309" s="287">
        <v>8572</v>
      </c>
      <c r="AQ309" s="287">
        <v>5002</v>
      </c>
      <c r="AR309" s="287">
        <v>3570</v>
      </c>
      <c r="AS309" s="287">
        <v>922</v>
      </c>
      <c r="AT309" s="287">
        <v>325</v>
      </c>
      <c r="AU309" s="287">
        <v>597</v>
      </c>
      <c r="AV309" s="353">
        <f t="shared" si="68"/>
        <v>9265.1763780704296</v>
      </c>
      <c r="AW309" s="353">
        <f t="shared" si="69"/>
        <v>6765.3424834941152</v>
      </c>
      <c r="AX309" s="353">
        <f t="shared" si="70"/>
        <v>2499.8338945763144</v>
      </c>
      <c r="AY309" s="390">
        <v>392866</v>
      </c>
      <c r="AZ309" s="390">
        <v>392866</v>
      </c>
      <c r="BA309" s="401">
        <f t="shared" si="71"/>
        <v>1201.1615775</v>
      </c>
      <c r="BB309" s="401">
        <v>-1642</v>
      </c>
      <c r="BC309" s="401">
        <v>30</v>
      </c>
      <c r="BD309" s="401">
        <v>0</v>
      </c>
      <c r="BE309" s="401">
        <v>-489</v>
      </c>
      <c r="BG309" s="426">
        <f t="shared" si="72"/>
        <v>0.42622242598491122</v>
      </c>
      <c r="BH309" s="426">
        <f t="shared" si="73"/>
        <v>4.5858698511459253E-2</v>
      </c>
      <c r="BI309" s="426">
        <f t="shared" si="74"/>
        <v>5.9726096042013996E-2</v>
      </c>
      <c r="BJ309" s="426">
        <f t="shared" si="75"/>
        <v>0.46103257887648647</v>
      </c>
      <c r="BK309" s="426">
        <f t="shared" si="76"/>
        <v>7.1602005851290366E-3</v>
      </c>
      <c r="BL309" s="425">
        <f t="shared" si="77"/>
        <v>20111168.43557043</v>
      </c>
      <c r="BN309" s="423">
        <f t="shared" si="78"/>
        <v>0.44554624093084144</v>
      </c>
      <c r="BO309" s="423">
        <f t="shared" si="79"/>
        <v>7.4552478001510242E-2</v>
      </c>
      <c r="BP309" s="423">
        <f t="shared" si="80"/>
        <v>0.14991928703109961</v>
      </c>
      <c r="BQ309" s="423">
        <f t="shared" si="81"/>
        <v>0.26297466276769305</v>
      </c>
      <c r="BR309" s="423">
        <f t="shared" si="82"/>
        <v>1.7972916997070983E-2</v>
      </c>
      <c r="BS309" s="423">
        <f t="shared" si="83"/>
        <v>4.9034414271784663E-2</v>
      </c>
      <c r="BT309" s="425">
        <f t="shared" si="84"/>
        <v>8012055.0283221947</v>
      </c>
    </row>
    <row r="310" spans="1:72" x14ac:dyDescent="0.2">
      <c r="A310" s="309">
        <v>946</v>
      </c>
      <c r="B310" s="278" t="s">
        <v>320</v>
      </c>
      <c r="C310" s="278">
        <v>15</v>
      </c>
      <c r="D310" s="279">
        <v>6714</v>
      </c>
      <c r="E310" s="364">
        <v>40854000</v>
      </c>
      <c r="F310" s="279">
        <v>19315930</v>
      </c>
      <c r="G310" s="278">
        <v>1763175.22</v>
      </c>
      <c r="H310" s="279">
        <v>1811460.1676000003</v>
      </c>
      <c r="I310" s="279">
        <v>17341225.568116367</v>
      </c>
      <c r="J310" s="279">
        <v>516344</v>
      </c>
      <c r="K310" s="279">
        <v>17000</v>
      </c>
      <c r="L310" s="280">
        <v>-13495.14</v>
      </c>
      <c r="M310" s="369">
        <v>-75369.904283635915</v>
      </c>
      <c r="N310" s="370">
        <v>-11.225782586183485</v>
      </c>
      <c r="P310" s="365">
        <v>17601316.130511463</v>
      </c>
      <c r="Q310" s="283">
        <v>8661720</v>
      </c>
      <c r="R310" s="279">
        <v>1811460.1676000003</v>
      </c>
      <c r="S310" s="279">
        <v>1141937.8072841135</v>
      </c>
      <c r="T310" s="280">
        <v>6336059.4669402651</v>
      </c>
      <c r="U310" s="280">
        <v>-656790.8858855454</v>
      </c>
      <c r="V310" s="279">
        <v>516344</v>
      </c>
      <c r="W310" s="279">
        <v>17000</v>
      </c>
      <c r="X310" s="279">
        <v>82425.411137006435</v>
      </c>
      <c r="Y310" s="354">
        <v>308839.83656437695</v>
      </c>
      <c r="Z310" s="355">
        <v>45.999379887455611</v>
      </c>
      <c r="AB310" s="366">
        <v>384209.74084801285</v>
      </c>
      <c r="AC310" s="349">
        <v>57.225162473639088</v>
      </c>
      <c r="AE310" s="374">
        <v>-52.780900412461762</v>
      </c>
      <c r="AF310" s="350">
        <v>-32.225162473639095</v>
      </c>
      <c r="AG310" s="350">
        <v>-7.2251624736390951</v>
      </c>
      <c r="AH310" s="350">
        <v>0</v>
      </c>
      <c r="AI310" s="350">
        <v>0</v>
      </c>
      <c r="AJ310" s="408">
        <v>-1535</v>
      </c>
      <c r="AK310" s="387">
        <v>-39319</v>
      </c>
      <c r="AL310" s="287">
        <v>-181</v>
      </c>
      <c r="AM310" s="287">
        <v>-1354</v>
      </c>
      <c r="AN310" s="287">
        <v>-16247</v>
      </c>
      <c r="AO310" s="287">
        <v>-23072</v>
      </c>
      <c r="AP310" s="287">
        <v>19316</v>
      </c>
      <c r="AQ310" s="287">
        <v>10654</v>
      </c>
      <c r="AR310" s="287">
        <v>8662</v>
      </c>
      <c r="AS310" s="287">
        <v>1763</v>
      </c>
      <c r="AT310" s="287">
        <v>621</v>
      </c>
      <c r="AU310" s="287">
        <v>1142</v>
      </c>
      <c r="AV310" s="353">
        <f t="shared" si="68"/>
        <v>17844.074428116368</v>
      </c>
      <c r="AW310" s="353">
        <f t="shared" si="69"/>
        <v>12002.832812430916</v>
      </c>
      <c r="AX310" s="353">
        <f t="shared" si="70"/>
        <v>5841.2416156854515</v>
      </c>
      <c r="AY310" s="390">
        <v>354371</v>
      </c>
      <c r="AZ310" s="390">
        <v>-354371</v>
      </c>
      <c r="BA310" s="401">
        <f t="shared" si="71"/>
        <v>1811.4601676000002</v>
      </c>
      <c r="BB310" s="401">
        <v>-3715</v>
      </c>
      <c r="BC310" s="401">
        <v>1400</v>
      </c>
      <c r="BD310" s="401">
        <v>200</v>
      </c>
      <c r="BE310" s="401">
        <v>-662</v>
      </c>
      <c r="BG310" s="426">
        <f t="shared" si="72"/>
        <v>0.47383456527209139</v>
      </c>
      <c r="BH310" s="426">
        <f t="shared" si="73"/>
        <v>4.3252039320251422E-2</v>
      </c>
      <c r="BI310" s="426">
        <f t="shared" si="74"/>
        <v>4.4436506087071961E-2</v>
      </c>
      <c r="BJ310" s="426">
        <f t="shared" si="75"/>
        <v>0.43805986629297927</v>
      </c>
      <c r="BK310" s="426">
        <f t="shared" si="76"/>
        <v>4.170230276059995E-4</v>
      </c>
      <c r="BL310" s="425">
        <f t="shared" si="77"/>
        <v>40765134.955716364</v>
      </c>
      <c r="BN310" s="423">
        <f t="shared" si="78"/>
        <v>0.49571005250042255</v>
      </c>
      <c r="BO310" s="423">
        <f t="shared" si="79"/>
        <v>6.5353076571515276E-2</v>
      </c>
      <c r="BP310" s="423">
        <f t="shared" si="80"/>
        <v>0.10366982709940062</v>
      </c>
      <c r="BQ310" s="423">
        <f t="shared" si="81"/>
        <v>0.35457477704508039</v>
      </c>
      <c r="BR310" s="423">
        <f t="shared" si="82"/>
        <v>9.7290964063802374E-4</v>
      </c>
      <c r="BS310" s="423">
        <f t="shared" si="83"/>
        <v>-2.0280642857056726E-2</v>
      </c>
      <c r="BT310" s="425">
        <f t="shared" si="84"/>
        <v>17473359.590569563</v>
      </c>
    </row>
    <row r="311" spans="1:72" x14ac:dyDescent="0.2">
      <c r="A311" s="309">
        <v>977</v>
      </c>
      <c r="B311" s="278" t="s">
        <v>208</v>
      </c>
      <c r="C311" s="278">
        <v>17</v>
      </c>
      <c r="D311" s="279">
        <v>15039</v>
      </c>
      <c r="E311" s="364">
        <v>86233000</v>
      </c>
      <c r="F311" s="279">
        <v>45402796</v>
      </c>
      <c r="G311" s="278">
        <v>3338554.7649999997</v>
      </c>
      <c r="H311" s="279">
        <v>5045816.585</v>
      </c>
      <c r="I311" s="279">
        <v>35200804.349849552</v>
      </c>
      <c r="J311" s="279">
        <v>-36342</v>
      </c>
      <c r="K311" s="279">
        <v>-395000</v>
      </c>
      <c r="L311" s="280">
        <v>-30228.389999999996</v>
      </c>
      <c r="M311" s="369">
        <v>2353858.0898495461</v>
      </c>
      <c r="N311" s="370">
        <v>156.51692864216676</v>
      </c>
      <c r="P311" s="365">
        <v>37268606.138305083</v>
      </c>
      <c r="Q311" s="283">
        <v>20781136</v>
      </c>
      <c r="R311" s="279">
        <v>5045816.585</v>
      </c>
      <c r="S311" s="279">
        <v>2162247.8949324321</v>
      </c>
      <c r="T311" s="280">
        <v>14495009.110043487</v>
      </c>
      <c r="U311" s="280">
        <v>-1491786.5989713131</v>
      </c>
      <c r="V311" s="279">
        <v>-36342</v>
      </c>
      <c r="W311" s="279">
        <v>-395000</v>
      </c>
      <c r="X311" s="279">
        <v>181422.12033367273</v>
      </c>
      <c r="Y311" s="354">
        <v>3473896.9730331972</v>
      </c>
      <c r="Z311" s="355">
        <v>230.99255090319818</v>
      </c>
      <c r="AB311" s="366">
        <v>1120038.8831836511</v>
      </c>
      <c r="AC311" s="349">
        <v>74.47562226103139</v>
      </c>
      <c r="AE311" s="374">
        <v>-70.031360199854078</v>
      </c>
      <c r="AF311" s="350">
        <v>-49.475622261031418</v>
      </c>
      <c r="AG311" s="350">
        <v>-24.475622261031418</v>
      </c>
      <c r="AH311" s="350">
        <v>0</v>
      </c>
      <c r="AI311" s="350">
        <v>0</v>
      </c>
      <c r="AJ311" s="408">
        <v>-4518</v>
      </c>
      <c r="AK311" s="387">
        <v>-81715</v>
      </c>
      <c r="AL311" s="287">
        <v>-500</v>
      </c>
      <c r="AM311" s="287">
        <v>-4018</v>
      </c>
      <c r="AN311" s="287">
        <v>-33251</v>
      </c>
      <c r="AO311" s="287">
        <v>-48464</v>
      </c>
      <c r="AP311" s="287">
        <v>45403</v>
      </c>
      <c r="AQ311" s="287">
        <v>24622</v>
      </c>
      <c r="AR311" s="287">
        <v>20781</v>
      </c>
      <c r="AS311" s="287">
        <v>3339</v>
      </c>
      <c r="AT311" s="287">
        <v>1177</v>
      </c>
      <c r="AU311" s="287">
        <v>2162</v>
      </c>
      <c r="AV311" s="353">
        <f t="shared" si="68"/>
        <v>35134.233959849553</v>
      </c>
      <c r="AW311" s="353">
        <f t="shared" si="69"/>
        <v>23220.555074822983</v>
      </c>
      <c r="AX311" s="353">
        <f t="shared" si="70"/>
        <v>11913.678885026569</v>
      </c>
      <c r="AY311" s="390">
        <v>1053202</v>
      </c>
      <c r="AZ311" s="390">
        <v>-1053202</v>
      </c>
      <c r="BA311" s="401">
        <f t="shared" si="71"/>
        <v>5045.8165850000005</v>
      </c>
      <c r="BB311" s="401">
        <v>-14069</v>
      </c>
      <c r="BC311" s="401">
        <v>12</v>
      </c>
      <c r="BD311" s="401">
        <v>800</v>
      </c>
      <c r="BE311" s="401">
        <v>-6802</v>
      </c>
      <c r="BG311" s="426">
        <f t="shared" si="72"/>
        <v>0.51269787653263799</v>
      </c>
      <c r="BH311" s="426">
        <f t="shared" si="73"/>
        <v>3.7699659261148141E-2</v>
      </c>
      <c r="BI311" s="426">
        <f t="shared" si="74"/>
        <v>5.6978417111198762E-2</v>
      </c>
      <c r="BJ311" s="426">
        <f t="shared" si="75"/>
        <v>0.3970844697797854</v>
      </c>
      <c r="BK311" s="426">
        <f t="shared" si="76"/>
        <v>-4.4604226847701619E-3</v>
      </c>
      <c r="BL311" s="425">
        <f t="shared" si="77"/>
        <v>88556629.699849546</v>
      </c>
      <c r="BN311" s="423">
        <f t="shared" si="78"/>
        <v>0.52599978368951783</v>
      </c>
      <c r="BO311" s="423">
        <f t="shared" si="79"/>
        <v>5.4729535720163446E-2</v>
      </c>
      <c r="BP311" s="423">
        <f t="shared" si="80"/>
        <v>0.12771671540222737</v>
      </c>
      <c r="BQ311" s="423">
        <f t="shared" si="81"/>
        <v>0.32820998543832192</v>
      </c>
      <c r="BR311" s="423">
        <f t="shared" si="82"/>
        <v>-9.9980056218947587E-3</v>
      </c>
      <c r="BS311" s="423">
        <f t="shared" si="83"/>
        <v>-2.6658014628335856E-2</v>
      </c>
      <c r="BT311" s="425">
        <f t="shared" si="84"/>
        <v>39507879.364959002</v>
      </c>
    </row>
    <row r="312" spans="1:72" x14ac:dyDescent="0.2">
      <c r="A312" s="309">
        <v>980</v>
      </c>
      <c r="B312" s="278" t="s">
        <v>209</v>
      </c>
      <c r="C312" s="278">
        <v>6</v>
      </c>
      <c r="D312" s="279">
        <v>32738</v>
      </c>
      <c r="E312" s="364">
        <v>164310000</v>
      </c>
      <c r="F312" s="279">
        <v>108798610</v>
      </c>
      <c r="G312" s="278">
        <v>5015781.5549999997</v>
      </c>
      <c r="H312" s="279">
        <v>7564992.2888000011</v>
      </c>
      <c r="I312" s="279">
        <v>45163244.660097763</v>
      </c>
      <c r="J312" s="279">
        <v>-4031057</v>
      </c>
      <c r="K312" s="279">
        <v>-672000</v>
      </c>
      <c r="L312" s="280">
        <v>-65803.37999999999</v>
      </c>
      <c r="M312" s="369">
        <v>-2404625.116102214</v>
      </c>
      <c r="N312" s="370">
        <v>-73.450580857175581</v>
      </c>
      <c r="P312" s="365">
        <v>77904001.220856875</v>
      </c>
      <c r="Q312" s="283">
        <v>45595310</v>
      </c>
      <c r="R312" s="279">
        <v>7564992.2888000011</v>
      </c>
      <c r="S312" s="279">
        <v>3248520.3545072507</v>
      </c>
      <c r="T312" s="280">
        <v>28990271.03280469</v>
      </c>
      <c r="U312" s="280">
        <v>-2954438.5483997595</v>
      </c>
      <c r="V312" s="279">
        <v>-4031057</v>
      </c>
      <c r="W312" s="279">
        <v>-672000</v>
      </c>
      <c r="X312" s="279">
        <v>404752.95697401848</v>
      </c>
      <c r="Y312" s="354">
        <v>242349.86382931471</v>
      </c>
      <c r="Z312" s="355">
        <v>7.4027082848468053</v>
      </c>
      <c r="AB312" s="366">
        <v>2646974.9799315287</v>
      </c>
      <c r="AC312" s="349">
        <v>80.853289142022376</v>
      </c>
      <c r="AE312" s="374">
        <v>-76.409027080845064</v>
      </c>
      <c r="AF312" s="350">
        <v>-55.85328914202239</v>
      </c>
      <c r="AG312" s="350">
        <v>-30.85328914202239</v>
      </c>
      <c r="AH312" s="350">
        <v>-5.8532891420223905</v>
      </c>
      <c r="AI312" s="350">
        <v>0</v>
      </c>
      <c r="AJ312" s="408">
        <v>-9981</v>
      </c>
      <c r="AK312" s="387">
        <v>-154329</v>
      </c>
      <c r="AL312" s="287">
        <v>-330</v>
      </c>
      <c r="AM312" s="287">
        <v>-9651</v>
      </c>
      <c r="AN312" s="287">
        <v>-68253</v>
      </c>
      <c r="AO312" s="287">
        <v>-86076</v>
      </c>
      <c r="AP312" s="287">
        <v>108799</v>
      </c>
      <c r="AQ312" s="287">
        <v>63204</v>
      </c>
      <c r="AR312" s="287">
        <v>45595</v>
      </c>
      <c r="AS312" s="287">
        <v>5016</v>
      </c>
      <c r="AT312" s="287">
        <v>1767</v>
      </c>
      <c r="AU312" s="287">
        <v>3249</v>
      </c>
      <c r="AV312" s="353">
        <f t="shared" si="68"/>
        <v>41066.384280097758</v>
      </c>
      <c r="AW312" s="353">
        <f t="shared" si="69"/>
        <v>21563.087524265531</v>
      </c>
      <c r="AX312" s="353">
        <f t="shared" si="70"/>
        <v>19503.296755832227</v>
      </c>
      <c r="AY312" s="390">
        <v>2501479</v>
      </c>
      <c r="AZ312" s="390">
        <v>-2501479</v>
      </c>
      <c r="BA312" s="401">
        <f t="shared" si="71"/>
        <v>7564.992288800001</v>
      </c>
      <c r="BB312" s="401">
        <v>-10570</v>
      </c>
      <c r="BC312" s="401">
        <v>150</v>
      </c>
      <c r="BD312" s="401">
        <v>1600</v>
      </c>
      <c r="BE312" s="401">
        <v>-681</v>
      </c>
      <c r="BG312" s="426">
        <f t="shared" si="72"/>
        <v>0.67226209874993192</v>
      </c>
      <c r="BH312" s="426">
        <f t="shared" si="73"/>
        <v>3.0992306197988161E-2</v>
      </c>
      <c r="BI312" s="426">
        <f t="shared" si="74"/>
        <v>4.6743773593208034E-2</v>
      </c>
      <c r="BJ312" s="426">
        <f t="shared" si="75"/>
        <v>0.25415408158756231</v>
      </c>
      <c r="BK312" s="426">
        <f t="shared" si="76"/>
        <v>-4.1522601286905622E-3</v>
      </c>
      <c r="BL312" s="425">
        <f t="shared" si="77"/>
        <v>161839571.50389779</v>
      </c>
      <c r="BN312" s="423">
        <f t="shared" si="78"/>
        <v>0.60599731053219841</v>
      </c>
      <c r="BO312" s="423">
        <f t="shared" si="79"/>
        <v>4.3175374792725339E-2</v>
      </c>
      <c r="BP312" s="423">
        <f t="shared" si="80"/>
        <v>0.10054466086993641</v>
      </c>
      <c r="BQ312" s="423">
        <f t="shared" si="81"/>
        <v>0.29246066673116683</v>
      </c>
      <c r="BR312" s="423">
        <f t="shared" si="82"/>
        <v>-8.9314052843952E-3</v>
      </c>
      <c r="BS312" s="423">
        <f t="shared" si="83"/>
        <v>-3.324660764163162E-2</v>
      </c>
      <c r="BT312" s="425">
        <f t="shared" si="84"/>
        <v>75240119.399139464</v>
      </c>
    </row>
    <row r="313" spans="1:72" x14ac:dyDescent="0.2">
      <c r="A313" s="309">
        <v>981</v>
      </c>
      <c r="B313" s="278" t="s">
        <v>210</v>
      </c>
      <c r="C313" s="278">
        <v>5</v>
      </c>
      <c r="D313" s="279">
        <v>2411</v>
      </c>
      <c r="E313" s="364">
        <v>12092000</v>
      </c>
      <c r="F313" s="279">
        <v>6834629</v>
      </c>
      <c r="G313" s="278">
        <v>295766.19500000001</v>
      </c>
      <c r="H313" s="279">
        <v>527998.73800000013</v>
      </c>
      <c r="I313" s="279">
        <v>5909379.5237991959</v>
      </c>
      <c r="J313" s="279">
        <v>-528914</v>
      </c>
      <c r="K313" s="279">
        <v>20000</v>
      </c>
      <c r="L313" s="280">
        <v>200163.47577767764</v>
      </c>
      <c r="M313" s="369">
        <v>766695.98102151847</v>
      </c>
      <c r="N313" s="370">
        <v>317.99916259706282</v>
      </c>
      <c r="P313" s="365">
        <v>4068209.0853333334</v>
      </c>
      <c r="Q313" s="283">
        <v>3175091</v>
      </c>
      <c r="R313" s="279">
        <v>527998.73800000013</v>
      </c>
      <c r="S313" s="279">
        <v>191555.89096077788</v>
      </c>
      <c r="T313" s="280">
        <v>1652930.9485953778</v>
      </c>
      <c r="U313" s="280">
        <v>-74032.224431892624</v>
      </c>
      <c r="V313" s="279">
        <v>-528914</v>
      </c>
      <c r="W313" s="279">
        <v>20000</v>
      </c>
      <c r="X313" s="279">
        <v>29313.481741499916</v>
      </c>
      <c r="Y313" s="354">
        <v>925734.7495324295</v>
      </c>
      <c r="Z313" s="355">
        <v>383.96298197114453</v>
      </c>
      <c r="AB313" s="366">
        <v>159038.76851091103</v>
      </c>
      <c r="AC313" s="349">
        <v>65.963819374081723</v>
      </c>
      <c r="AE313" s="374">
        <v>-61.519557312904396</v>
      </c>
      <c r="AF313" s="350">
        <v>-40.963819374081709</v>
      </c>
      <c r="AG313" s="350">
        <v>-15.963819374081709</v>
      </c>
      <c r="AH313" s="350">
        <v>0</v>
      </c>
      <c r="AI313" s="350">
        <v>0</v>
      </c>
      <c r="AJ313" s="408">
        <v>576</v>
      </c>
      <c r="AK313" s="387">
        <v>-12668</v>
      </c>
      <c r="AL313" s="287">
        <v>-2</v>
      </c>
      <c r="AM313" s="287">
        <v>578</v>
      </c>
      <c r="AN313" s="287">
        <v>-4646</v>
      </c>
      <c r="AO313" s="287">
        <v>-8022</v>
      </c>
      <c r="AP313" s="287">
        <v>6835</v>
      </c>
      <c r="AQ313" s="287">
        <v>3660</v>
      </c>
      <c r="AR313" s="287">
        <v>3175</v>
      </c>
      <c r="AS313" s="287">
        <v>296</v>
      </c>
      <c r="AT313" s="287">
        <v>104</v>
      </c>
      <c r="AU313" s="287">
        <v>192</v>
      </c>
      <c r="AV313" s="353">
        <f t="shared" si="68"/>
        <v>5580.628999576873</v>
      </c>
      <c r="AW313" s="353">
        <f t="shared" si="69"/>
        <v>4678.9679280948003</v>
      </c>
      <c r="AX313" s="353">
        <f t="shared" si="70"/>
        <v>901.66107148207277</v>
      </c>
      <c r="AY313" s="390">
        <v>148324</v>
      </c>
      <c r="AZ313" s="390">
        <v>-148324</v>
      </c>
      <c r="BA313" s="401">
        <f t="shared" si="71"/>
        <v>527.99873800000012</v>
      </c>
      <c r="BB313" s="401">
        <v>-1177</v>
      </c>
      <c r="BC313" s="401">
        <v>457</v>
      </c>
      <c r="BD313" s="401">
        <v>50</v>
      </c>
      <c r="BE313" s="401">
        <v>-277</v>
      </c>
      <c r="BG313" s="426">
        <f t="shared" si="72"/>
        <v>0.52337105109447346</v>
      </c>
      <c r="BH313" s="426">
        <f t="shared" si="73"/>
        <v>2.2648700369158736E-2</v>
      </c>
      <c r="BI313" s="426">
        <f t="shared" si="74"/>
        <v>4.0432224555804794E-2</v>
      </c>
      <c r="BJ313" s="426">
        <f t="shared" si="75"/>
        <v>0.41201649666256379</v>
      </c>
      <c r="BK313" s="426">
        <f t="shared" si="76"/>
        <v>1.5315273179991875E-3</v>
      </c>
      <c r="BL313" s="425">
        <f t="shared" si="77"/>
        <v>13058859.456799196</v>
      </c>
      <c r="BN313" s="423">
        <f t="shared" si="78"/>
        <v>0.6592377100295661</v>
      </c>
      <c r="BO313" s="423">
        <f t="shared" si="79"/>
        <v>3.9772361453469039E-2</v>
      </c>
      <c r="BP313" s="423">
        <f t="shared" si="80"/>
        <v>0.10962730798506906</v>
      </c>
      <c r="BQ313" s="423">
        <f t="shared" si="81"/>
        <v>0.21800620049112343</v>
      </c>
      <c r="BR313" s="423">
        <f t="shared" si="82"/>
        <v>4.1525594701352876E-3</v>
      </c>
      <c r="BS313" s="423">
        <f t="shared" si="83"/>
        <v>-3.0796139429362837E-2</v>
      </c>
      <c r="BT313" s="425">
        <f t="shared" si="84"/>
        <v>4816306.7004428506</v>
      </c>
    </row>
    <row r="314" spans="1:72" x14ac:dyDescent="0.2">
      <c r="A314" s="309">
        <v>853</v>
      </c>
      <c r="B314" s="278" t="s">
        <v>310</v>
      </c>
      <c r="C314" s="278">
        <v>2</v>
      </c>
      <c r="D314" s="279">
        <v>185908</v>
      </c>
      <c r="E314" s="364">
        <v>1055810000</v>
      </c>
      <c r="F314" s="279">
        <v>594126671</v>
      </c>
      <c r="G314" s="278">
        <v>78665501.265000001</v>
      </c>
      <c r="H314" s="279">
        <v>54398998.368399993</v>
      </c>
      <c r="I314" s="279">
        <v>218682421.89403984</v>
      </c>
      <c r="J314" s="279">
        <v>37065099</v>
      </c>
      <c r="K314" s="279">
        <v>27242000</v>
      </c>
      <c r="L314" s="280">
        <v>-373675.07999999996</v>
      </c>
      <c r="M314" s="369">
        <v>-45255633.392560169</v>
      </c>
      <c r="N314" s="370">
        <v>-243.43026331604972</v>
      </c>
      <c r="P314" s="365">
        <v>447806526.14317667</v>
      </c>
      <c r="Q314" s="283">
        <v>230668347</v>
      </c>
      <c r="R314" s="279">
        <v>54398998.368399993</v>
      </c>
      <c r="S314" s="279">
        <v>50948487.140977263</v>
      </c>
      <c r="T314" s="280">
        <v>33727835.254344657</v>
      </c>
      <c r="U314" s="280">
        <v>-28088493.946390714</v>
      </c>
      <c r="V314" s="279">
        <v>37065099</v>
      </c>
      <c r="W314" s="279">
        <v>27242000</v>
      </c>
      <c r="X314" s="279">
        <v>2377181.9436423942</v>
      </c>
      <c r="Y314" s="354">
        <v>-39467071.382203102</v>
      </c>
      <c r="Z314" s="355">
        <v>-212.29356123568164</v>
      </c>
      <c r="AB314" s="366">
        <v>5788562.010357067</v>
      </c>
      <c r="AC314" s="349">
        <v>31.136702080368067</v>
      </c>
      <c r="AE314" s="374">
        <v>-26.692440019190741</v>
      </c>
      <c r="AF314" s="350">
        <v>-6.1367020803680816</v>
      </c>
      <c r="AG314" s="350">
        <v>0</v>
      </c>
      <c r="AH314" s="350">
        <v>0</v>
      </c>
      <c r="AI314" s="350">
        <v>0</v>
      </c>
      <c r="AJ314" s="408">
        <v>-52027</v>
      </c>
      <c r="AK314" s="387">
        <v>-1003783</v>
      </c>
      <c r="AL314" s="287">
        <v>0</v>
      </c>
      <c r="AM314" s="287">
        <v>-52027</v>
      </c>
      <c r="AN314" s="287">
        <v>-395780</v>
      </c>
      <c r="AO314" s="287">
        <v>-608003</v>
      </c>
      <c r="AP314" s="287">
        <v>594127</v>
      </c>
      <c r="AQ314" s="287">
        <v>363459</v>
      </c>
      <c r="AR314" s="287">
        <v>230668</v>
      </c>
      <c r="AS314" s="287">
        <v>78666</v>
      </c>
      <c r="AT314" s="287">
        <v>27718</v>
      </c>
      <c r="AU314" s="287">
        <v>50948</v>
      </c>
      <c r="AV314" s="353">
        <f t="shared" si="68"/>
        <v>255373.84581403984</v>
      </c>
      <c r="AW314" s="353">
        <f t="shared" si="69"/>
        <v>217631.74364517361</v>
      </c>
      <c r="AX314" s="353">
        <f t="shared" si="70"/>
        <v>37742.102168866222</v>
      </c>
      <c r="AY314" s="390">
        <v>4962338</v>
      </c>
      <c r="AZ314" s="390">
        <v>-4962338</v>
      </c>
      <c r="BA314" s="401">
        <f t="shared" si="71"/>
        <v>54398.998368399996</v>
      </c>
      <c r="BB314" s="401">
        <v>-112249</v>
      </c>
      <c r="BC314" s="401">
        <v>2171</v>
      </c>
      <c r="BD314" s="401">
        <v>150671</v>
      </c>
      <c r="BE314" s="401">
        <v>28061</v>
      </c>
      <c r="BG314" s="426">
        <f t="shared" si="72"/>
        <v>0.58813900917236206</v>
      </c>
      <c r="BH314" s="426">
        <f t="shared" si="73"/>
        <v>7.787270329435235E-2</v>
      </c>
      <c r="BI314" s="426">
        <f t="shared" si="74"/>
        <v>5.3850760388367939E-2</v>
      </c>
      <c r="BJ314" s="426">
        <f t="shared" si="75"/>
        <v>0.2531700744619636</v>
      </c>
      <c r="BK314" s="426">
        <f t="shared" si="76"/>
        <v>2.6967452682954016E-2</v>
      </c>
      <c r="BL314" s="425">
        <f t="shared" si="77"/>
        <v>1010180691.5274398</v>
      </c>
      <c r="BN314" s="423">
        <f t="shared" si="78"/>
        <v>0.57523287923995536</v>
      </c>
      <c r="BO314" s="423">
        <f t="shared" si="79"/>
        <v>0.12705360458938128</v>
      </c>
      <c r="BP314" s="423">
        <f t="shared" si="80"/>
        <v>0.13565837214424725</v>
      </c>
      <c r="BQ314" s="423">
        <f t="shared" si="81"/>
        <v>0.10649488095857014</v>
      </c>
      <c r="BR314" s="423">
        <f t="shared" si="82"/>
        <v>6.7935173161209075E-2</v>
      </c>
      <c r="BS314" s="423">
        <f t="shared" si="83"/>
        <v>-1.2374910093363034E-2</v>
      </c>
      <c r="BT314" s="425">
        <f t="shared" si="84"/>
        <v>400999934.67824346</v>
      </c>
    </row>
    <row r="315" spans="1:72" x14ac:dyDescent="0.2">
      <c r="A315" s="309">
        <v>992</v>
      </c>
      <c r="B315" s="278" t="s">
        <v>211</v>
      </c>
      <c r="C315" s="278">
        <v>13</v>
      </c>
      <c r="D315" s="279">
        <v>19646</v>
      </c>
      <c r="E315" s="364">
        <v>115975000</v>
      </c>
      <c r="F315" s="279">
        <v>63071402</v>
      </c>
      <c r="G315" s="278">
        <v>7640869.9249999998</v>
      </c>
      <c r="H315" s="279">
        <v>4543853.1825000001</v>
      </c>
      <c r="I315" s="279">
        <v>46231076.894093737</v>
      </c>
      <c r="J315" s="279">
        <v>-1641743</v>
      </c>
      <c r="K315" s="279">
        <v>1417000</v>
      </c>
      <c r="L315" s="280">
        <v>-39488.46</v>
      </c>
      <c r="M315" s="369">
        <v>5326947.4615937388</v>
      </c>
      <c r="N315" s="370">
        <v>271.14666912316699</v>
      </c>
      <c r="P315" s="365">
        <v>50998690.410094634</v>
      </c>
      <c r="Q315" s="283">
        <v>28566341</v>
      </c>
      <c r="R315" s="279">
        <v>4543853.1825000001</v>
      </c>
      <c r="S315" s="279">
        <v>4948684.7075230721</v>
      </c>
      <c r="T315" s="280">
        <v>11058384.817869805</v>
      </c>
      <c r="U315" s="280">
        <v>3803138.292739436</v>
      </c>
      <c r="V315" s="279">
        <v>-1641743</v>
      </c>
      <c r="W315" s="279">
        <v>1417000</v>
      </c>
      <c r="X315" s="279">
        <v>247586.21614454678</v>
      </c>
      <c r="Y315" s="354">
        <v>1944554.806682229</v>
      </c>
      <c r="Z315" s="355">
        <v>98.979680682186142</v>
      </c>
      <c r="AB315" s="366">
        <v>-3382392.6549115097</v>
      </c>
      <c r="AC315" s="349">
        <v>-172.16698844098084</v>
      </c>
      <c r="AE315" s="374">
        <v>176.61125050215816</v>
      </c>
      <c r="AF315" s="350">
        <v>147.16698844098084</v>
      </c>
      <c r="AG315" s="350">
        <v>122.16698844098084</v>
      </c>
      <c r="AH315" s="350">
        <v>97.166988440980845</v>
      </c>
      <c r="AI315" s="350">
        <v>72.166988440980845</v>
      </c>
      <c r="AJ315" s="408">
        <v>-7998</v>
      </c>
      <c r="AK315" s="387">
        <v>-107977</v>
      </c>
      <c r="AL315" s="287">
        <v>-265</v>
      </c>
      <c r="AM315" s="287">
        <v>-7733</v>
      </c>
      <c r="AN315" s="287">
        <v>-43266</v>
      </c>
      <c r="AO315" s="287">
        <v>-64711</v>
      </c>
      <c r="AP315" s="287">
        <v>63071</v>
      </c>
      <c r="AQ315" s="287">
        <v>34505</v>
      </c>
      <c r="AR315" s="287">
        <v>28566</v>
      </c>
      <c r="AS315" s="287">
        <v>7641</v>
      </c>
      <c r="AT315" s="287">
        <v>2692</v>
      </c>
      <c r="AU315" s="287">
        <v>4949</v>
      </c>
      <c r="AV315" s="353">
        <f t="shared" si="68"/>
        <v>44549.845434093739</v>
      </c>
      <c r="AW315" s="353">
        <f t="shared" si="69"/>
        <v>27860.3606961191</v>
      </c>
      <c r="AX315" s="353">
        <f t="shared" si="70"/>
        <v>16689.484737974639</v>
      </c>
      <c r="AY315" s="390">
        <v>3469705</v>
      </c>
      <c r="AZ315" s="390">
        <v>3469705</v>
      </c>
      <c r="BA315" s="401">
        <f t="shared" si="71"/>
        <v>4543.8531825</v>
      </c>
      <c r="BB315" s="401">
        <v>-7815</v>
      </c>
      <c r="BC315" s="401">
        <v>629</v>
      </c>
      <c r="BD315" s="401">
        <v>100</v>
      </c>
      <c r="BE315" s="401">
        <v>3738</v>
      </c>
      <c r="BG315" s="426">
        <f t="shared" si="72"/>
        <v>0.52012306627536775</v>
      </c>
      <c r="BH315" s="426">
        <f t="shared" si="73"/>
        <v>6.3011009243178692E-2</v>
      </c>
      <c r="BI315" s="426">
        <f t="shared" si="74"/>
        <v>3.7471227450865736E-2</v>
      </c>
      <c r="BJ315" s="426">
        <f t="shared" si="75"/>
        <v>0.36770929982137096</v>
      </c>
      <c r="BK315" s="426">
        <f t="shared" si="76"/>
        <v>1.1685397209216882E-2</v>
      </c>
      <c r="BL315" s="425">
        <f t="shared" si="77"/>
        <v>121262459.00159374</v>
      </c>
      <c r="BN315" s="423">
        <f t="shared" si="78"/>
        <v>0.50861134255632323</v>
      </c>
      <c r="BO315" s="423">
        <f t="shared" si="79"/>
        <v>8.8109190217299987E-2</v>
      </c>
      <c r="BP315" s="423">
        <f t="shared" si="80"/>
        <v>8.0901340060673052E-2</v>
      </c>
      <c r="BQ315" s="423">
        <f t="shared" si="81"/>
        <v>0.23537246546053431</v>
      </c>
      <c r="BR315" s="423">
        <f t="shared" si="82"/>
        <v>2.522907194877741E-2</v>
      </c>
      <c r="BS315" s="423">
        <f t="shared" si="83"/>
        <v>6.1776589756392067E-2</v>
      </c>
      <c r="BT315" s="425">
        <f t="shared" si="84"/>
        <v>56165363.627997711</v>
      </c>
    </row>
    <row r="316" spans="1:72" x14ac:dyDescent="0.2">
      <c r="A316" s="309">
        <v>846</v>
      </c>
      <c r="B316" s="278" t="s">
        <v>308</v>
      </c>
      <c r="C316" s="278">
        <v>14</v>
      </c>
      <c r="D316" s="279">
        <v>5482</v>
      </c>
      <c r="E316" s="364">
        <v>35178000</v>
      </c>
      <c r="F316" s="279">
        <v>14862196</v>
      </c>
      <c r="G316" s="278">
        <v>699635.28</v>
      </c>
      <c r="H316" s="279">
        <v>1086876.4424999999</v>
      </c>
      <c r="I316" s="279">
        <v>19111839.337325659</v>
      </c>
      <c r="J316" s="279">
        <v>-347477</v>
      </c>
      <c r="K316" s="279">
        <v>-159000</v>
      </c>
      <c r="L316" s="280">
        <v>-11018.82</v>
      </c>
      <c r="M316" s="369">
        <v>87088.879825658805</v>
      </c>
      <c r="N316" s="370">
        <v>15.886333423140972</v>
      </c>
      <c r="P316" s="365">
        <v>13242514.148737542</v>
      </c>
      <c r="Q316" s="283">
        <v>7140938</v>
      </c>
      <c r="R316" s="279">
        <v>1086876.4424999999</v>
      </c>
      <c r="S316" s="279">
        <v>453125.68398154253</v>
      </c>
      <c r="T316" s="280">
        <v>4532676.5441917917</v>
      </c>
      <c r="U316" s="280">
        <v>653519.49981374992</v>
      </c>
      <c r="V316" s="279">
        <v>-347477</v>
      </c>
      <c r="W316" s="279">
        <v>-159000</v>
      </c>
      <c r="X316" s="279">
        <v>65276.719029840548</v>
      </c>
      <c r="Y316" s="354">
        <v>183421.74077938125</v>
      </c>
      <c r="Z316" s="355">
        <v>33.458909299412852</v>
      </c>
      <c r="AB316" s="366">
        <v>96332.86095372244</v>
      </c>
      <c r="AC316" s="349">
        <v>17.57257587627188</v>
      </c>
      <c r="AE316" s="374">
        <v>-13.128313815094547</v>
      </c>
      <c r="AF316" s="350">
        <v>0</v>
      </c>
      <c r="AG316" s="350">
        <v>0</v>
      </c>
      <c r="AH316" s="350">
        <v>0</v>
      </c>
      <c r="AI316" s="350">
        <v>0</v>
      </c>
      <c r="AJ316" s="408">
        <v>-1700</v>
      </c>
      <c r="AK316" s="387">
        <v>-33478</v>
      </c>
      <c r="AL316" s="287">
        <v>0</v>
      </c>
      <c r="AM316" s="287">
        <v>-1700</v>
      </c>
      <c r="AN316" s="287">
        <v>-11543</v>
      </c>
      <c r="AO316" s="287">
        <v>-21935</v>
      </c>
      <c r="AP316" s="287">
        <v>14862</v>
      </c>
      <c r="AQ316" s="287">
        <v>7721</v>
      </c>
      <c r="AR316" s="287">
        <v>7141</v>
      </c>
      <c r="AS316" s="287">
        <v>700</v>
      </c>
      <c r="AT316" s="287">
        <v>247</v>
      </c>
      <c r="AU316" s="287">
        <v>453</v>
      </c>
      <c r="AV316" s="353">
        <f t="shared" si="68"/>
        <v>18753.343517325658</v>
      </c>
      <c r="AW316" s="353">
        <f t="shared" si="69"/>
        <v>13986.593889654465</v>
      </c>
      <c r="AX316" s="353">
        <f t="shared" si="70"/>
        <v>4766.7496276711927</v>
      </c>
      <c r="AY316" s="390">
        <v>71969</v>
      </c>
      <c r="AZ316" s="390">
        <v>-71969</v>
      </c>
      <c r="BA316" s="401">
        <f t="shared" si="71"/>
        <v>1086.8764424999999</v>
      </c>
      <c r="BB316" s="401">
        <v>-3413</v>
      </c>
      <c r="BC316" s="401">
        <v>0</v>
      </c>
      <c r="BD316" s="401">
        <v>0</v>
      </c>
      <c r="BE316" s="401">
        <v>-2248</v>
      </c>
      <c r="BG316" s="426">
        <f t="shared" si="72"/>
        <v>0.42157390550308271</v>
      </c>
      <c r="BH316" s="426">
        <f t="shared" si="73"/>
        <v>1.9845517944813998E-2</v>
      </c>
      <c r="BI316" s="426">
        <f t="shared" si="74"/>
        <v>3.0829814561994854E-2</v>
      </c>
      <c r="BJ316" s="426">
        <f t="shared" si="75"/>
        <v>0.53226087953767609</v>
      </c>
      <c r="BK316" s="426">
        <f t="shared" si="76"/>
        <v>-4.510117547567678E-3</v>
      </c>
      <c r="BL316" s="425">
        <f t="shared" si="77"/>
        <v>35254070.059825659</v>
      </c>
      <c r="BN316" s="423">
        <f t="shared" si="78"/>
        <v>0.53736960769728603</v>
      </c>
      <c r="BO316" s="423">
        <f t="shared" si="79"/>
        <v>3.4098597556613139E-2</v>
      </c>
      <c r="BP316" s="423">
        <f t="shared" si="80"/>
        <v>8.1789586679179516E-2</v>
      </c>
      <c r="BQ316" s="423">
        <f t="shared" si="81"/>
        <v>0.36412311021810362</v>
      </c>
      <c r="BR316" s="423">
        <f t="shared" si="82"/>
        <v>-1.1965062240264302E-2</v>
      </c>
      <c r="BS316" s="423">
        <f t="shared" si="83"/>
        <v>-5.4158399109180619E-3</v>
      </c>
      <c r="BT316" s="425">
        <f t="shared" si="84"/>
        <v>13288689.754152736</v>
      </c>
    </row>
    <row r="317" spans="1:72" x14ac:dyDescent="0.2">
      <c r="A317" s="309">
        <v>976</v>
      </c>
      <c r="B317" s="278" t="s">
        <v>321</v>
      </c>
      <c r="C317" s="278">
        <v>19</v>
      </c>
      <c r="D317" s="279">
        <v>4291</v>
      </c>
      <c r="E317" s="364">
        <v>31538000</v>
      </c>
      <c r="F317" s="279">
        <v>10808303</v>
      </c>
      <c r="G317" s="278">
        <v>614427.75</v>
      </c>
      <c r="H317" s="279">
        <v>1062765.6455000001</v>
      </c>
      <c r="I317" s="279">
        <v>19349200.324218534</v>
      </c>
      <c r="J317" s="279">
        <v>-710809</v>
      </c>
      <c r="K317" s="279">
        <v>382000</v>
      </c>
      <c r="L317" s="280">
        <v>-8624.91</v>
      </c>
      <c r="M317" s="369">
        <v>-23487.370281465501</v>
      </c>
      <c r="N317" s="370">
        <v>-5.4736355817910747</v>
      </c>
      <c r="P317" s="365">
        <v>10273908.833169974</v>
      </c>
      <c r="Q317" s="283">
        <v>4211775</v>
      </c>
      <c r="R317" s="279">
        <v>1062765.6455000001</v>
      </c>
      <c r="S317" s="279">
        <v>397940.18745880027</v>
      </c>
      <c r="T317" s="280">
        <v>4656953.7714406373</v>
      </c>
      <c r="U317" s="280">
        <v>536823.74004444445</v>
      </c>
      <c r="V317" s="279">
        <v>-710809</v>
      </c>
      <c r="W317" s="279">
        <v>382000</v>
      </c>
      <c r="X317" s="279">
        <v>51713.357670219433</v>
      </c>
      <c r="Y317" s="354">
        <v>315253.86894412898</v>
      </c>
      <c r="Z317" s="355">
        <v>73.468624783064314</v>
      </c>
      <c r="AB317" s="366">
        <v>338741.2392255945</v>
      </c>
      <c r="AC317" s="349">
        <v>78.9422603648554</v>
      </c>
      <c r="AE317" s="377">
        <v>-74.49799830367806</v>
      </c>
      <c r="AF317" s="378">
        <v>-53.942260364855386</v>
      </c>
      <c r="AG317" s="378">
        <v>-28.942260364855386</v>
      </c>
      <c r="AH317" s="378">
        <v>-3.942260364855386</v>
      </c>
      <c r="AI317" s="378">
        <v>0</v>
      </c>
      <c r="AJ317" s="408">
        <v>-1258</v>
      </c>
      <c r="AK317" s="387">
        <v>-30280</v>
      </c>
      <c r="AL317" s="287">
        <v>-146</v>
      </c>
      <c r="AM317" s="287">
        <v>-1112</v>
      </c>
      <c r="AN317" s="287">
        <v>-9162</v>
      </c>
      <c r="AO317" s="287">
        <v>-21118</v>
      </c>
      <c r="AP317" s="287">
        <v>10808</v>
      </c>
      <c r="AQ317" s="287">
        <v>6596</v>
      </c>
      <c r="AR317" s="287">
        <v>4212</v>
      </c>
      <c r="AS317" s="287">
        <v>614</v>
      </c>
      <c r="AT317" s="287">
        <v>216</v>
      </c>
      <c r="AU317" s="287">
        <v>398</v>
      </c>
      <c r="AV317" s="353">
        <f t="shared" si="68"/>
        <v>18629.766414218535</v>
      </c>
      <c r="AW317" s="353">
        <f t="shared" si="69"/>
        <v>14466.468813454536</v>
      </c>
      <c r="AX317" s="353">
        <f t="shared" si="70"/>
        <v>4163.2976007639991</v>
      </c>
      <c r="AY317" s="390">
        <v>319671</v>
      </c>
      <c r="AZ317" s="390">
        <v>-319671</v>
      </c>
      <c r="BA317" s="401">
        <f t="shared" si="71"/>
        <v>1062.7656455000001</v>
      </c>
      <c r="BB317" s="401">
        <v>-1744</v>
      </c>
      <c r="BC317" s="401">
        <v>108</v>
      </c>
      <c r="BD317" s="401">
        <v>0</v>
      </c>
      <c r="BE317" s="401">
        <v>-865</v>
      </c>
      <c r="BG317" s="426">
        <f t="shared" si="72"/>
        <v>0.34305660885204725</v>
      </c>
      <c r="BH317" s="426">
        <f t="shared" si="73"/>
        <v>1.9501997704874992E-2</v>
      </c>
      <c r="BI317" s="426">
        <f t="shared" si="74"/>
        <v>3.3732286960282944E-2</v>
      </c>
      <c r="BJ317" s="426">
        <f t="shared" si="75"/>
        <v>0.59158438860789053</v>
      </c>
      <c r="BK317" s="426">
        <f t="shared" si="76"/>
        <v>1.2124717874904326E-2</v>
      </c>
      <c r="BL317" s="425">
        <f t="shared" si="77"/>
        <v>31505887.719718534</v>
      </c>
      <c r="BN317" s="423">
        <f t="shared" si="78"/>
        <v>0.41220065861865229</v>
      </c>
      <c r="BO317" s="423">
        <f t="shared" si="79"/>
        <v>3.8945861866160329E-2</v>
      </c>
      <c r="BP317" s="423">
        <f t="shared" si="80"/>
        <v>0.10401142013340627</v>
      </c>
      <c r="BQ317" s="423">
        <f t="shared" si="81"/>
        <v>0.43874199666431135</v>
      </c>
      <c r="BR317" s="423">
        <f t="shared" si="82"/>
        <v>3.738581752166846E-2</v>
      </c>
      <c r="BS317" s="423">
        <f t="shared" si="83"/>
        <v>-3.1285754804198852E-2</v>
      </c>
      <c r="BT317" s="425">
        <f t="shared" si="84"/>
        <v>10217778.433722802</v>
      </c>
    </row>
    <row r="318" spans="1:72" x14ac:dyDescent="0.2">
      <c r="BT318" s="425"/>
    </row>
  </sheetData>
  <sortState ref="A23:BE317">
    <sortCondition ref="B23:B317"/>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7"/>
  <sheetViews>
    <sheetView zoomScale="90" zoomScaleNormal="90" workbookViewId="0">
      <pane ySplit="13" topLeftCell="A14" activePane="bottomLeft" state="frozen"/>
      <selection pane="bottomLeft" activeCell="H28" sqref="H28"/>
    </sheetView>
  </sheetViews>
  <sheetFormatPr defaultColWidth="9.140625" defaultRowHeight="12" x14ac:dyDescent="0.2"/>
  <cols>
    <col min="1" max="1" width="9.140625" style="41"/>
    <col min="2" max="2" width="19.42578125" style="41" customWidth="1"/>
    <col min="3" max="3" width="9.5703125" style="6" customWidth="1"/>
    <col min="4" max="4" width="6.5703125" style="39" customWidth="1"/>
    <col min="5" max="5" width="7.42578125" style="39" customWidth="1"/>
    <col min="6" max="6" width="11.42578125" style="40" customWidth="1"/>
    <col min="7" max="7" width="10.140625" style="40" customWidth="1"/>
    <col min="8" max="8" width="9.140625" style="41"/>
    <col min="9" max="10" width="8.42578125" style="41" customWidth="1"/>
    <col min="11" max="11" width="9.140625" style="41"/>
    <col min="12" max="12" width="8.42578125" style="41" customWidth="1"/>
    <col min="13" max="13" width="8.140625" style="41" customWidth="1"/>
    <col min="14" max="17" width="10.5703125" style="40" customWidth="1"/>
    <col min="18" max="18" width="12.5703125" style="41" bestFit="1" customWidth="1"/>
    <col min="19" max="22" width="9.140625" style="41"/>
    <col min="23" max="23" width="10.42578125" style="41" bestFit="1" customWidth="1"/>
    <col min="24" max="16384" width="9.140625" style="41"/>
  </cols>
  <sheetData>
    <row r="1" spans="1:23" ht="14.85" customHeight="1" x14ac:dyDescent="0.2">
      <c r="B1" s="38"/>
    </row>
    <row r="2" spans="1:23" ht="21" customHeight="1" x14ac:dyDescent="0.25">
      <c r="B2" s="42" t="s">
        <v>574</v>
      </c>
    </row>
    <row r="3" spans="1:23" ht="14.85" customHeight="1" x14ac:dyDescent="0.2">
      <c r="B3" s="38" t="s">
        <v>575</v>
      </c>
    </row>
    <row r="4" spans="1:23" ht="14.85" customHeight="1" x14ac:dyDescent="0.2">
      <c r="B4" s="104" t="s">
        <v>576</v>
      </c>
    </row>
    <row r="5" spans="1:23" ht="14.85" customHeight="1" x14ac:dyDescent="0.2">
      <c r="B5" s="104" t="s">
        <v>577</v>
      </c>
    </row>
    <row r="6" spans="1:23" ht="14.85" customHeight="1" x14ac:dyDescent="0.2">
      <c r="B6" s="38"/>
    </row>
    <row r="7" spans="1:23" ht="14.85" customHeight="1" x14ac:dyDescent="0.2">
      <c r="A7" s="41" t="s">
        <v>578</v>
      </c>
      <c r="B7" s="43" t="s">
        <v>579</v>
      </c>
      <c r="C7" s="44" t="s">
        <v>580</v>
      </c>
      <c r="D7" s="45" t="s">
        <v>581</v>
      </c>
      <c r="E7" s="46" t="s">
        <v>582</v>
      </c>
      <c r="F7" s="47" t="s">
        <v>583</v>
      </c>
      <c r="G7" s="47" t="s">
        <v>584</v>
      </c>
      <c r="H7" s="41" t="s">
        <v>585</v>
      </c>
      <c r="N7" s="47" t="s">
        <v>586</v>
      </c>
      <c r="O7" s="41" t="s">
        <v>585</v>
      </c>
      <c r="P7" s="47"/>
      <c r="Q7" s="47"/>
      <c r="R7" s="47" t="s">
        <v>583</v>
      </c>
      <c r="T7" s="43"/>
      <c r="U7" s="43"/>
      <c r="V7" s="43"/>
    </row>
    <row r="8" spans="1:23" ht="14.85" customHeight="1" x14ac:dyDescent="0.2">
      <c r="C8" s="44" t="s">
        <v>587</v>
      </c>
      <c r="D8" s="45" t="s">
        <v>588</v>
      </c>
      <c r="E8" s="46" t="s">
        <v>589</v>
      </c>
      <c r="F8" s="47" t="s">
        <v>590</v>
      </c>
      <c r="G8" s="47" t="s">
        <v>591</v>
      </c>
      <c r="H8" s="49" t="s">
        <v>504</v>
      </c>
      <c r="I8" s="49" t="s">
        <v>505</v>
      </c>
      <c r="J8" s="49" t="s">
        <v>592</v>
      </c>
      <c r="K8" s="41" t="s">
        <v>585</v>
      </c>
      <c r="N8" s="47" t="s">
        <v>593</v>
      </c>
      <c r="O8" s="49" t="s">
        <v>504</v>
      </c>
      <c r="P8" s="49" t="s">
        <v>505</v>
      </c>
      <c r="Q8" s="49" t="s">
        <v>592</v>
      </c>
      <c r="R8" s="47" t="s">
        <v>590</v>
      </c>
      <c r="U8" s="105"/>
      <c r="V8" s="106"/>
    </row>
    <row r="9" spans="1:23" ht="14.85" customHeight="1" x14ac:dyDescent="0.2">
      <c r="C9" s="50" t="s">
        <v>2</v>
      </c>
      <c r="D9" s="45" t="s">
        <v>3</v>
      </c>
      <c r="E9" s="46" t="s">
        <v>594</v>
      </c>
      <c r="F9" s="47" t="s">
        <v>595</v>
      </c>
      <c r="G9" s="47" t="s">
        <v>596</v>
      </c>
      <c r="H9" s="49" t="s">
        <v>597</v>
      </c>
      <c r="I9" s="49" t="s">
        <v>597</v>
      </c>
      <c r="J9" s="49" t="s">
        <v>598</v>
      </c>
      <c r="K9" s="49" t="s">
        <v>599</v>
      </c>
      <c r="L9" s="49" t="s">
        <v>600</v>
      </c>
      <c r="M9" s="49" t="s">
        <v>601</v>
      </c>
      <c r="N9" s="47" t="s">
        <v>602</v>
      </c>
      <c r="O9" s="49" t="s">
        <v>597</v>
      </c>
      <c r="P9" s="49" t="s">
        <v>597</v>
      </c>
      <c r="Q9" s="49" t="s">
        <v>598</v>
      </c>
      <c r="R9" s="47" t="s">
        <v>595</v>
      </c>
      <c r="U9" s="65" t="s">
        <v>516</v>
      </c>
      <c r="V9" s="66" t="s">
        <v>579</v>
      </c>
      <c r="W9" s="49" t="s">
        <v>601</v>
      </c>
    </row>
    <row r="10" spans="1:23" ht="14.85" customHeight="1" x14ac:dyDescent="0.2">
      <c r="C10" s="50">
        <v>2014</v>
      </c>
      <c r="D10" s="46"/>
      <c r="E10" s="46">
        <v>2016</v>
      </c>
      <c r="F10" s="48" t="s">
        <v>603</v>
      </c>
      <c r="G10" s="48" t="s">
        <v>604</v>
      </c>
      <c r="H10" s="49" t="s">
        <v>596</v>
      </c>
      <c r="I10" s="49" t="s">
        <v>596</v>
      </c>
      <c r="J10" s="49" t="s">
        <v>596</v>
      </c>
      <c r="K10" s="49" t="s">
        <v>605</v>
      </c>
      <c r="L10" s="49" t="s">
        <v>606</v>
      </c>
      <c r="M10" s="51" t="s">
        <v>607</v>
      </c>
      <c r="N10" s="48" t="s">
        <v>608</v>
      </c>
      <c r="O10" s="49" t="s">
        <v>596</v>
      </c>
      <c r="P10" s="49" t="s">
        <v>596</v>
      </c>
      <c r="Q10" s="49" t="s">
        <v>596</v>
      </c>
      <c r="R10" s="48" t="s">
        <v>603</v>
      </c>
      <c r="U10" s="69" t="s">
        <v>609</v>
      </c>
      <c r="V10" s="66" t="s">
        <v>610</v>
      </c>
      <c r="W10" s="51" t="s">
        <v>607</v>
      </c>
    </row>
    <row r="11" spans="1:23" ht="14.85" customHeight="1" x14ac:dyDescent="0.2">
      <c r="B11" s="60"/>
      <c r="D11" s="45">
        <v>2016</v>
      </c>
      <c r="E11" s="46" t="s">
        <v>611</v>
      </c>
      <c r="F11" s="48" t="s">
        <v>612</v>
      </c>
      <c r="G11" s="48" t="s">
        <v>612</v>
      </c>
      <c r="H11" s="51" t="s">
        <v>612</v>
      </c>
      <c r="I11" s="51" t="s">
        <v>612</v>
      </c>
      <c r="J11" s="51" t="s">
        <v>604</v>
      </c>
      <c r="K11" s="51" t="s">
        <v>613</v>
      </c>
      <c r="L11" s="51" t="s">
        <v>612</v>
      </c>
      <c r="M11" s="51" t="s">
        <v>608</v>
      </c>
      <c r="N11" s="48" t="s">
        <v>612</v>
      </c>
      <c r="O11" s="51" t="s">
        <v>604</v>
      </c>
      <c r="P11" s="51" t="s">
        <v>604</v>
      </c>
      <c r="Q11" s="51" t="s">
        <v>604</v>
      </c>
      <c r="R11" s="51" t="s">
        <v>604</v>
      </c>
      <c r="U11" s="70">
        <v>2016</v>
      </c>
      <c r="V11" s="70" t="s">
        <v>614</v>
      </c>
      <c r="W11" s="51" t="s">
        <v>608</v>
      </c>
    </row>
    <row r="12" spans="1:23" ht="14.85" customHeight="1" x14ac:dyDescent="0.2">
      <c r="C12" s="52"/>
      <c r="J12" s="51" t="s">
        <v>612</v>
      </c>
      <c r="K12" s="51" t="s">
        <v>596</v>
      </c>
      <c r="M12" s="51" t="s">
        <v>612</v>
      </c>
      <c r="N12" s="48" t="s">
        <v>403</v>
      </c>
      <c r="O12" s="46" t="s">
        <v>474</v>
      </c>
      <c r="P12" s="46" t="s">
        <v>474</v>
      </c>
      <c r="Q12" s="46" t="s">
        <v>474</v>
      </c>
      <c r="R12" s="46" t="s">
        <v>474</v>
      </c>
      <c r="U12" s="69"/>
      <c r="V12" s="70">
        <v>2016</v>
      </c>
      <c r="W12" s="51" t="s">
        <v>547</v>
      </c>
    </row>
    <row r="13" spans="1:23" ht="14.85" customHeight="1" x14ac:dyDescent="0.2">
      <c r="C13" s="52"/>
      <c r="D13" s="53"/>
      <c r="K13" s="51" t="s">
        <v>612</v>
      </c>
      <c r="U13" s="1"/>
      <c r="V13" s="1"/>
    </row>
    <row r="14" spans="1:23" s="134" customFormat="1" x14ac:dyDescent="0.2">
      <c r="B14" s="135" t="s">
        <v>409</v>
      </c>
      <c r="C14" s="136">
        <v>2</v>
      </c>
      <c r="D14" s="136">
        <v>3</v>
      </c>
      <c r="E14" s="136">
        <v>4</v>
      </c>
      <c r="F14" s="136">
        <v>5</v>
      </c>
      <c r="G14" s="136">
        <v>6</v>
      </c>
      <c r="H14" s="136">
        <v>7</v>
      </c>
      <c r="I14" s="136">
        <v>8</v>
      </c>
      <c r="J14" s="136">
        <v>9</v>
      </c>
      <c r="K14" s="136">
        <v>10</v>
      </c>
      <c r="L14" s="136">
        <v>11</v>
      </c>
      <c r="M14" s="136">
        <v>12</v>
      </c>
      <c r="N14" s="136">
        <v>13</v>
      </c>
      <c r="O14" s="136">
        <v>14</v>
      </c>
      <c r="P14" s="136">
        <v>15</v>
      </c>
      <c r="Q14" s="136">
        <v>16</v>
      </c>
      <c r="R14" s="136">
        <v>17</v>
      </c>
      <c r="S14" s="136">
        <v>18</v>
      </c>
      <c r="T14" s="136">
        <v>19</v>
      </c>
      <c r="U14" s="136">
        <v>20</v>
      </c>
      <c r="V14" s="136">
        <v>21</v>
      </c>
      <c r="W14" s="136">
        <v>22</v>
      </c>
    </row>
    <row r="15" spans="1:23" ht="12" customHeight="1" x14ac:dyDescent="0.2">
      <c r="B15" s="41" t="s">
        <v>490</v>
      </c>
      <c r="C15" s="54">
        <f>SUM(C16:C312)</f>
        <v>5442837</v>
      </c>
      <c r="D15" s="53">
        <v>19.874648922726511</v>
      </c>
      <c r="E15" s="55">
        <v>7.5600000000000005</v>
      </c>
      <c r="F15" s="56">
        <v>3255.5298612815945</v>
      </c>
      <c r="G15" s="56">
        <f t="shared" ref="G15" si="0">H15+I15+J15</f>
        <v>-3249.6569464046433</v>
      </c>
      <c r="H15" s="57">
        <v>-2069.7273721406686</v>
      </c>
      <c r="I15" s="57">
        <v>-91.863857028972276</v>
      </c>
      <c r="J15" s="57">
        <f t="shared" ref="J15" si="1">K15+L15+M15</f>
        <v>-1088.0657172350027</v>
      </c>
      <c r="K15" s="57">
        <v>-1088.0657172350027</v>
      </c>
      <c r="L15" s="57">
        <v>-7.7213282667703387E-15</v>
      </c>
      <c r="M15" s="57">
        <v>0</v>
      </c>
      <c r="N15" s="56">
        <f t="shared" ref="N15" si="2">F15+G15</f>
        <v>5.8729148769511994</v>
      </c>
      <c r="O15" s="56">
        <f t="shared" ref="O15" si="3">C15*H15*0.001</f>
        <v>-11265188.721000001</v>
      </c>
      <c r="P15" s="56">
        <f t="shared" ref="P15" si="4">C15*I15*0.001</f>
        <v>-500000.00000000035</v>
      </c>
      <c r="Q15" s="56">
        <f t="shared" ref="Q15:Q78" si="5">C15*J15*0.001</f>
        <v>-5922164.3441982111</v>
      </c>
      <c r="R15" s="95">
        <f t="shared" ref="R15:R78" si="6">F15*C15*0.001</f>
        <v>17719318.383588329</v>
      </c>
      <c r="S15" s="43"/>
      <c r="T15" s="43"/>
      <c r="U15" s="72"/>
      <c r="V15" s="72"/>
      <c r="W15" s="41">
        <f t="shared" ref="W15:W78" si="7">M15*C15</f>
        <v>0</v>
      </c>
    </row>
    <row r="16" spans="1:23" ht="15" customHeight="1" x14ac:dyDescent="0.2">
      <c r="A16" s="41">
        <v>20</v>
      </c>
      <c r="B16" s="75" t="s">
        <v>12</v>
      </c>
      <c r="C16" s="61">
        <v>17052</v>
      </c>
      <c r="D16" s="59">
        <v>21.25</v>
      </c>
      <c r="E16" s="55">
        <v>8.94</v>
      </c>
      <c r="F16" s="56">
        <v>3177.8186007142804</v>
      </c>
      <c r="G16" s="56">
        <f t="shared" ref="G16:G79" si="8">H16+I16+J16</f>
        <v>-3170.4487967896839</v>
      </c>
      <c r="H16" s="57">
        <v>-1797.4485690828055</v>
      </c>
      <c r="I16" s="57">
        <v>-30.339974783016661</v>
      </c>
      <c r="J16" s="57">
        <f t="shared" ref="J16:J79" si="9">K16+L16+M16</f>
        <v>-1342.6602529238617</v>
      </c>
      <c r="K16" s="57">
        <v>-1208.2031283396188</v>
      </c>
      <c r="L16" s="57">
        <v>-65.787427377239752</v>
      </c>
      <c r="M16" s="57">
        <v>-68.669697207003153</v>
      </c>
      <c r="N16" s="56">
        <f t="shared" ref="N16:N79" si="10">F16+G16</f>
        <v>7.3698039245964537</v>
      </c>
      <c r="O16" s="56">
        <f t="shared" ref="O16:O79" si="11">C16*H16*0.001</f>
        <v>-30650.093000000001</v>
      </c>
      <c r="P16" s="56">
        <f t="shared" ref="P16:P79" si="12">C16*I16*0.001</f>
        <v>-517.35725000000014</v>
      </c>
      <c r="Q16" s="56">
        <f t="shared" si="5"/>
        <v>-22895.042632857687</v>
      </c>
      <c r="R16" s="95">
        <f t="shared" si="6"/>
        <v>54188.162779379913</v>
      </c>
      <c r="S16" s="62"/>
      <c r="T16" s="43"/>
      <c r="U16" s="92" t="s">
        <v>215</v>
      </c>
      <c r="V16" s="93">
        <v>4</v>
      </c>
      <c r="W16" s="41">
        <f t="shared" si="7"/>
        <v>-1170955.6767738177</v>
      </c>
    </row>
    <row r="17" spans="1:23" ht="15" customHeight="1" x14ac:dyDescent="0.2">
      <c r="A17" s="41">
        <v>5</v>
      </c>
      <c r="B17" s="75" t="s">
        <v>6</v>
      </c>
      <c r="C17" s="61">
        <v>10171</v>
      </c>
      <c r="D17" s="59">
        <v>22</v>
      </c>
      <c r="E17" s="55">
        <v>9.69</v>
      </c>
      <c r="F17" s="56">
        <v>3475.7691304619061</v>
      </c>
      <c r="G17" s="56">
        <f t="shared" si="8"/>
        <v>-3468.4266826967769</v>
      </c>
      <c r="H17" s="57">
        <v>-1329.7065185330844</v>
      </c>
      <c r="I17" s="57">
        <v>-64.983880641038269</v>
      </c>
      <c r="J17" s="57">
        <f t="shared" si="9"/>
        <v>-2073.736283522654</v>
      </c>
      <c r="K17" s="57">
        <v>-2482.4840537431678</v>
      </c>
      <c r="L17" s="57">
        <v>282.29454404120372</v>
      </c>
      <c r="M17" s="57">
        <v>126.45322617931004</v>
      </c>
      <c r="N17" s="56">
        <f t="shared" si="10"/>
        <v>7.3424477651292364</v>
      </c>
      <c r="O17" s="56">
        <f t="shared" si="11"/>
        <v>-13524.445000000002</v>
      </c>
      <c r="P17" s="56">
        <f t="shared" si="12"/>
        <v>-660.95105000000024</v>
      </c>
      <c r="Q17" s="56">
        <f t="shared" si="5"/>
        <v>-21091.971739708915</v>
      </c>
      <c r="R17" s="95">
        <f t="shared" si="6"/>
        <v>35352.04782592805</v>
      </c>
      <c r="S17" s="63"/>
      <c r="T17" s="43"/>
      <c r="U17" s="92" t="s">
        <v>216</v>
      </c>
      <c r="V17" s="93">
        <v>2</v>
      </c>
      <c r="W17" s="41">
        <f t="shared" si="7"/>
        <v>1286155.7634697624</v>
      </c>
    </row>
    <row r="18" spans="1:23" ht="15" customHeight="1" x14ac:dyDescent="0.2">
      <c r="A18" s="41">
        <v>9</v>
      </c>
      <c r="B18" s="75" t="s">
        <v>7</v>
      </c>
      <c r="C18" s="61">
        <v>2687</v>
      </c>
      <c r="D18" s="59">
        <v>21.5</v>
      </c>
      <c r="E18" s="55">
        <v>9.19</v>
      </c>
      <c r="F18" s="56">
        <v>3818.5852401734651</v>
      </c>
      <c r="G18" s="56">
        <f t="shared" si="8"/>
        <v>-3811.1964967609856</v>
      </c>
      <c r="H18" s="57">
        <v>-1422.4990695943432</v>
      </c>
      <c r="I18" s="57">
        <v>-32.620803870487542</v>
      </c>
      <c r="J18" s="57">
        <f t="shared" si="9"/>
        <v>-2356.076623296155</v>
      </c>
      <c r="K18" s="57">
        <v>-2346.9512797643729</v>
      </c>
      <c r="L18" s="57">
        <v>49.968892793463411</v>
      </c>
      <c r="M18" s="57">
        <v>-59.094236325245731</v>
      </c>
      <c r="N18" s="56">
        <f t="shared" si="10"/>
        <v>7.3887434124794709</v>
      </c>
      <c r="O18" s="56">
        <f t="shared" si="11"/>
        <v>-3822.2550000000001</v>
      </c>
      <c r="P18" s="56">
        <f t="shared" si="12"/>
        <v>-87.652100000000019</v>
      </c>
      <c r="Q18" s="56">
        <f t="shared" si="5"/>
        <v>-6330.7778867967691</v>
      </c>
      <c r="R18" s="95">
        <f t="shared" si="6"/>
        <v>10260.5385403461</v>
      </c>
      <c r="S18" s="63"/>
      <c r="T18" s="43"/>
      <c r="U18" s="92" t="s">
        <v>215</v>
      </c>
      <c r="V18" s="93">
        <v>4</v>
      </c>
      <c r="W18" s="41">
        <f t="shared" si="7"/>
        <v>-158786.21300593528</v>
      </c>
    </row>
    <row r="19" spans="1:23" ht="15" customHeight="1" x14ac:dyDescent="0.2">
      <c r="A19" s="41">
        <v>10</v>
      </c>
      <c r="B19" s="75" t="s">
        <v>8</v>
      </c>
      <c r="C19" s="61">
        <v>12103</v>
      </c>
      <c r="D19" s="59">
        <v>21.25</v>
      </c>
      <c r="E19" s="55">
        <v>8.94</v>
      </c>
      <c r="F19" s="56">
        <v>3802.0022908264855</v>
      </c>
      <c r="G19" s="56">
        <f t="shared" si="8"/>
        <v>-3794.6321124812143</v>
      </c>
      <c r="H19" s="57">
        <v>-1361.9457159381971</v>
      </c>
      <c r="I19" s="57">
        <v>-60.339919854581531</v>
      </c>
      <c r="J19" s="57">
        <f t="shared" si="9"/>
        <v>-2372.3464766884358</v>
      </c>
      <c r="K19" s="57">
        <v>-2343.4596308266905</v>
      </c>
      <c r="L19" s="57">
        <v>24.856810717711436</v>
      </c>
      <c r="M19" s="57">
        <v>-53.743656579456768</v>
      </c>
      <c r="N19" s="56">
        <f t="shared" si="10"/>
        <v>7.3701783452711425</v>
      </c>
      <c r="O19" s="56">
        <f t="shared" si="11"/>
        <v>-16483.628999999997</v>
      </c>
      <c r="P19" s="56">
        <f t="shared" si="12"/>
        <v>-730.29405000000031</v>
      </c>
      <c r="Q19" s="56">
        <f t="shared" si="5"/>
        <v>-28712.509407360139</v>
      </c>
      <c r="R19" s="95">
        <f t="shared" si="6"/>
        <v>46015.633725872955</v>
      </c>
      <c r="S19" s="63"/>
      <c r="T19" s="43"/>
      <c r="U19" s="92" t="s">
        <v>217</v>
      </c>
      <c r="V19" s="93">
        <v>3</v>
      </c>
      <c r="W19" s="41">
        <f t="shared" si="7"/>
        <v>-650459.47558116529</v>
      </c>
    </row>
    <row r="20" spans="1:23" ht="15" customHeight="1" x14ac:dyDescent="0.2">
      <c r="A20" s="41">
        <v>16</v>
      </c>
      <c r="B20" s="75" t="s">
        <v>9</v>
      </c>
      <c r="C20" s="61">
        <v>8374</v>
      </c>
      <c r="D20" s="59">
        <v>20.75</v>
      </c>
      <c r="E20" s="55">
        <v>8.44</v>
      </c>
      <c r="F20" s="56">
        <v>3430.2779198121466</v>
      </c>
      <c r="G20" s="56">
        <f t="shared" si="8"/>
        <v>-3422.9076345101685</v>
      </c>
      <c r="H20" s="57">
        <v>-1769.6278958681633</v>
      </c>
      <c r="I20" s="57">
        <v>-55.826498686410332</v>
      </c>
      <c r="J20" s="57">
        <f t="shared" si="9"/>
        <v>-1597.4532399555947</v>
      </c>
      <c r="K20" s="57">
        <v>-1710.0060413674853</v>
      </c>
      <c r="L20" s="57">
        <v>42.171857116050219</v>
      </c>
      <c r="M20" s="57">
        <v>70.380944295840493</v>
      </c>
      <c r="N20" s="56">
        <f t="shared" si="10"/>
        <v>7.3702853019781287</v>
      </c>
      <c r="O20" s="56">
        <f t="shared" si="11"/>
        <v>-14818.863999999998</v>
      </c>
      <c r="P20" s="56">
        <f t="shared" si="12"/>
        <v>-467.49110000000013</v>
      </c>
      <c r="Q20" s="56">
        <f t="shared" si="5"/>
        <v>-13377.073431388149</v>
      </c>
      <c r="R20" s="95">
        <f t="shared" si="6"/>
        <v>28725.147300506917</v>
      </c>
      <c r="S20" s="63"/>
      <c r="T20" s="43"/>
      <c r="U20" s="92" t="s">
        <v>218</v>
      </c>
      <c r="V20" s="93">
        <v>3</v>
      </c>
      <c r="W20" s="41">
        <f t="shared" si="7"/>
        <v>589370.02753336832</v>
      </c>
    </row>
    <row r="21" spans="1:23" ht="15" customHeight="1" x14ac:dyDescent="0.2">
      <c r="A21" s="41">
        <v>18</v>
      </c>
      <c r="B21" s="75" t="s">
        <v>10</v>
      </c>
      <c r="C21" s="61">
        <v>5064</v>
      </c>
      <c r="D21" s="59">
        <v>20.25</v>
      </c>
      <c r="E21" s="55">
        <v>7.9399999999999995</v>
      </c>
      <c r="F21" s="56">
        <v>2988.4238877630064</v>
      </c>
      <c r="G21" s="56">
        <f t="shared" si="8"/>
        <v>-2981.0877639553455</v>
      </c>
      <c r="H21" s="57">
        <v>-1898.2478278041074</v>
      </c>
      <c r="I21" s="57">
        <v>-55.806477093206972</v>
      </c>
      <c r="J21" s="57">
        <f t="shared" si="9"/>
        <v>-1027.033459058031</v>
      </c>
      <c r="K21" s="57">
        <v>-651.42885921682227</v>
      </c>
      <c r="L21" s="57">
        <v>-212.12961620108851</v>
      </c>
      <c r="M21" s="57">
        <v>-163.4749836401202</v>
      </c>
      <c r="N21" s="56">
        <f t="shared" si="10"/>
        <v>7.336123807660897</v>
      </c>
      <c r="O21" s="56">
        <f t="shared" si="11"/>
        <v>-9612.7270000000008</v>
      </c>
      <c r="P21" s="56">
        <f t="shared" si="12"/>
        <v>-282.6040000000001</v>
      </c>
      <c r="Q21" s="56">
        <f t="shared" si="5"/>
        <v>-5200.8974366698694</v>
      </c>
      <c r="R21" s="95">
        <f t="shared" si="6"/>
        <v>15133.378567631866</v>
      </c>
      <c r="S21" s="63"/>
      <c r="T21" s="43"/>
      <c r="U21" s="92" t="s">
        <v>219</v>
      </c>
      <c r="V21" s="93">
        <v>2</v>
      </c>
      <c r="W21" s="41">
        <f t="shared" si="7"/>
        <v>-827837.31715356873</v>
      </c>
    </row>
    <row r="22" spans="1:23" ht="15" customHeight="1" x14ac:dyDescent="0.2">
      <c r="A22" s="41">
        <v>19</v>
      </c>
      <c r="B22" s="75" t="s">
        <v>11</v>
      </c>
      <c r="C22" s="61">
        <v>3982</v>
      </c>
      <c r="D22" s="59">
        <v>21.75</v>
      </c>
      <c r="E22" s="55">
        <v>9.44</v>
      </c>
      <c r="F22" s="56">
        <v>2929.7887670890273</v>
      </c>
      <c r="G22" s="56">
        <f t="shared" si="8"/>
        <v>-2922.4285324528296</v>
      </c>
      <c r="H22" s="57">
        <v>-1810.1609743847314</v>
      </c>
      <c r="I22" s="57">
        <v>-32.651946258161736</v>
      </c>
      <c r="J22" s="57">
        <f t="shared" si="9"/>
        <v>-1079.6156118099364</v>
      </c>
      <c r="K22" s="57">
        <v>-793.62904082071361</v>
      </c>
      <c r="L22" s="57">
        <v>-128.41540823516186</v>
      </c>
      <c r="M22" s="57">
        <v>-157.57116275406079</v>
      </c>
      <c r="N22" s="56">
        <f t="shared" si="10"/>
        <v>7.3602346361976743</v>
      </c>
      <c r="O22" s="56">
        <f t="shared" si="11"/>
        <v>-7208.0610000000006</v>
      </c>
      <c r="P22" s="56">
        <f t="shared" si="12"/>
        <v>-130.02005000000003</v>
      </c>
      <c r="Q22" s="56">
        <f t="shared" si="5"/>
        <v>-4299.029366227167</v>
      </c>
      <c r="R22" s="95">
        <f t="shared" si="6"/>
        <v>11666.418870548507</v>
      </c>
      <c r="S22" s="63"/>
      <c r="T22" s="43"/>
      <c r="U22" s="92" t="s">
        <v>214</v>
      </c>
      <c r="V22" s="93">
        <v>4</v>
      </c>
      <c r="W22" s="41">
        <f t="shared" si="7"/>
        <v>-627448.37008667004</v>
      </c>
    </row>
    <row r="23" spans="1:23" ht="15" customHeight="1" x14ac:dyDescent="0.2">
      <c r="A23" s="41">
        <v>604</v>
      </c>
      <c r="B23" s="75" t="s">
        <v>292</v>
      </c>
      <c r="C23" s="61">
        <v>18689</v>
      </c>
      <c r="D23" s="59">
        <v>20</v>
      </c>
      <c r="E23" s="55">
        <v>7.6899999999999995</v>
      </c>
      <c r="F23" s="56">
        <v>2489.7822718396092</v>
      </c>
      <c r="G23" s="56">
        <f t="shared" si="8"/>
        <v>-2483.3795386615616</v>
      </c>
      <c r="H23" s="57">
        <v>-2401.6823265022203</v>
      </c>
      <c r="I23" s="57">
        <v>-51.541198030927291</v>
      </c>
      <c r="J23" s="57">
        <f t="shared" si="9"/>
        <v>-30.156014128414164</v>
      </c>
      <c r="K23" s="57">
        <v>-142.57172811457551</v>
      </c>
      <c r="L23" s="57">
        <v>77.364240461008848</v>
      </c>
      <c r="M23" s="57">
        <v>35.051473525152495</v>
      </c>
      <c r="N23" s="56">
        <f t="shared" si="10"/>
        <v>6.4027331780475834</v>
      </c>
      <c r="O23" s="56">
        <f t="shared" si="11"/>
        <v>-44885.04099999999</v>
      </c>
      <c r="P23" s="56">
        <f t="shared" si="12"/>
        <v>-963.25345000000016</v>
      </c>
      <c r="Q23" s="56">
        <f t="shared" si="5"/>
        <v>-563.58574804593229</v>
      </c>
      <c r="R23" s="95">
        <f t="shared" si="6"/>
        <v>46531.540878410458</v>
      </c>
      <c r="S23" s="63"/>
      <c r="T23" s="90"/>
      <c r="U23" s="92" t="s">
        <v>214</v>
      </c>
      <c r="V23" s="93">
        <v>4</v>
      </c>
      <c r="W23" s="41">
        <f t="shared" si="7"/>
        <v>655076.98871157493</v>
      </c>
    </row>
    <row r="24" spans="1:23" ht="15" customHeight="1" x14ac:dyDescent="0.2">
      <c r="A24" s="41">
        <v>609</v>
      </c>
      <c r="B24" s="75" t="s">
        <v>294</v>
      </c>
      <c r="C24" s="61">
        <v>85418</v>
      </c>
      <c r="D24" s="59">
        <v>19.75</v>
      </c>
      <c r="E24" s="55">
        <v>7.4399999999999995</v>
      </c>
      <c r="F24" s="56">
        <v>3411.5887128768991</v>
      </c>
      <c r="G24" s="56">
        <f t="shared" si="8"/>
        <v>-3404.7301160129409</v>
      </c>
      <c r="H24" s="57">
        <v>-1941.2851623779532</v>
      </c>
      <c r="I24" s="57">
        <v>-53.208659767262198</v>
      </c>
      <c r="J24" s="57">
        <f t="shared" si="9"/>
        <v>-1410.2362938677259</v>
      </c>
      <c r="K24" s="57">
        <v>-1334.7484517028545</v>
      </c>
      <c r="L24" s="57">
        <v>-91.840044766891765</v>
      </c>
      <c r="M24" s="57">
        <v>16.352202602020256</v>
      </c>
      <c r="N24" s="56">
        <f t="shared" si="10"/>
        <v>6.8585968639581552</v>
      </c>
      <c r="O24" s="56">
        <f t="shared" si="11"/>
        <v>-165820.696</v>
      </c>
      <c r="P24" s="56">
        <f t="shared" si="12"/>
        <v>-4544.9773000000023</v>
      </c>
      <c r="Q24" s="56">
        <f t="shared" si="5"/>
        <v>-120459.56374959341</v>
      </c>
      <c r="R24" s="95">
        <f t="shared" si="6"/>
        <v>291411.08467651898</v>
      </c>
      <c r="S24" s="63"/>
      <c r="T24" s="90"/>
      <c r="U24" s="92" t="s">
        <v>224</v>
      </c>
      <c r="V24" s="93">
        <v>6</v>
      </c>
      <c r="W24" s="41">
        <f t="shared" si="7"/>
        <v>1396772.4418593661</v>
      </c>
    </row>
    <row r="25" spans="1:23" ht="15" customHeight="1" x14ac:dyDescent="0.2">
      <c r="A25" s="41">
        <v>611</v>
      </c>
      <c r="B25" s="75" t="s">
        <v>295</v>
      </c>
      <c r="C25" s="61">
        <v>5148</v>
      </c>
      <c r="D25" s="59">
        <v>20.5</v>
      </c>
      <c r="E25" s="55">
        <v>8.19</v>
      </c>
      <c r="F25" s="56">
        <v>2278.1569650356782</v>
      </c>
      <c r="G25" s="56">
        <f t="shared" si="8"/>
        <v>-2270.7916156909837</v>
      </c>
      <c r="H25" s="57">
        <v>-2013.4275446775446</v>
      </c>
      <c r="I25" s="57">
        <v>-21.865481740481748</v>
      </c>
      <c r="J25" s="57">
        <f t="shared" si="9"/>
        <v>-235.49858927295725</v>
      </c>
      <c r="K25" s="57">
        <v>-397.12110702146646</v>
      </c>
      <c r="L25" s="57">
        <v>129.91491010619765</v>
      </c>
      <c r="M25" s="57">
        <v>31.707607642311586</v>
      </c>
      <c r="N25" s="56">
        <f t="shared" si="10"/>
        <v>7.3653493446945504</v>
      </c>
      <c r="O25" s="56">
        <f t="shared" si="11"/>
        <v>-10365.125</v>
      </c>
      <c r="P25" s="56">
        <f t="shared" si="12"/>
        <v>-112.56350000000005</v>
      </c>
      <c r="Q25" s="56">
        <f t="shared" si="5"/>
        <v>-1212.3467375771838</v>
      </c>
      <c r="R25" s="95">
        <f t="shared" si="6"/>
        <v>11727.952056003671</v>
      </c>
      <c r="S25" s="63"/>
      <c r="T25" s="90"/>
      <c r="U25" s="92" t="s">
        <v>218</v>
      </c>
      <c r="V25" s="93">
        <v>3</v>
      </c>
      <c r="W25" s="41">
        <f t="shared" si="7"/>
        <v>163230.76414262006</v>
      </c>
    </row>
    <row r="26" spans="1:23" ht="15" customHeight="1" x14ac:dyDescent="0.2">
      <c r="A26" s="41">
        <v>638</v>
      </c>
      <c r="B26" s="75" t="s">
        <v>296</v>
      </c>
      <c r="C26" s="61">
        <v>49728</v>
      </c>
      <c r="D26" s="59">
        <v>19.75</v>
      </c>
      <c r="E26" s="55">
        <v>7.4399999999999995</v>
      </c>
      <c r="F26" s="56">
        <v>2962.1163874179892</v>
      </c>
      <c r="G26" s="56">
        <f t="shared" si="8"/>
        <v>-2955.7481098783505</v>
      </c>
      <c r="H26" s="57">
        <v>-2322.5907738095239</v>
      </c>
      <c r="I26" s="57">
        <v>-96.514903072715597</v>
      </c>
      <c r="J26" s="57">
        <f t="shared" si="9"/>
        <v>-536.64243299611087</v>
      </c>
      <c r="K26" s="57">
        <v>-566.83118005279687</v>
      </c>
      <c r="L26" s="57">
        <v>28.657458067348177</v>
      </c>
      <c r="M26" s="57">
        <v>1.5312889893377521</v>
      </c>
      <c r="N26" s="56">
        <f t="shared" si="10"/>
        <v>6.3682775396387115</v>
      </c>
      <c r="O26" s="56">
        <f t="shared" si="11"/>
        <v>-115497.79400000001</v>
      </c>
      <c r="P26" s="56">
        <f t="shared" si="12"/>
        <v>-4799.4931000000015</v>
      </c>
      <c r="Q26" s="56">
        <f t="shared" si="5"/>
        <v>-26686.154908030603</v>
      </c>
      <c r="R26" s="95">
        <f t="shared" si="6"/>
        <v>147300.12371352178</v>
      </c>
      <c r="S26" s="63"/>
      <c r="T26" s="43"/>
      <c r="U26" s="92" t="s">
        <v>222</v>
      </c>
      <c r="V26" s="93">
        <v>2</v>
      </c>
      <c r="W26" s="41">
        <f t="shared" si="7"/>
        <v>76147.938861787741</v>
      </c>
    </row>
    <row r="27" spans="1:23" ht="15" customHeight="1" x14ac:dyDescent="0.2">
      <c r="A27" s="41">
        <v>678</v>
      </c>
      <c r="B27" s="75" t="s">
        <v>298</v>
      </c>
      <c r="C27" s="61">
        <v>25383</v>
      </c>
      <c r="D27" s="59">
        <v>21</v>
      </c>
      <c r="E27" s="55">
        <v>8.69</v>
      </c>
      <c r="F27" s="56">
        <v>3293.91631283998</v>
      </c>
      <c r="G27" s="56">
        <f t="shared" si="8"/>
        <v>-3286.5446644630329</v>
      </c>
      <c r="H27" s="57">
        <v>-1907.4665327187488</v>
      </c>
      <c r="I27" s="57">
        <v>-36.328255131387159</v>
      </c>
      <c r="J27" s="57">
        <f t="shared" si="9"/>
        <v>-1342.749876612897</v>
      </c>
      <c r="K27" s="57">
        <v>-1573.2508454183621</v>
      </c>
      <c r="L27" s="57">
        <v>129.86208762305017</v>
      </c>
      <c r="M27" s="57">
        <v>100.63888118241488</v>
      </c>
      <c r="N27" s="56">
        <f t="shared" si="10"/>
        <v>7.3716483769471779</v>
      </c>
      <c r="O27" s="56">
        <f t="shared" si="11"/>
        <v>-48417.222999999998</v>
      </c>
      <c r="P27" s="56">
        <f t="shared" si="12"/>
        <v>-922.12010000000021</v>
      </c>
      <c r="Q27" s="56">
        <f t="shared" si="5"/>
        <v>-34083.020118065164</v>
      </c>
      <c r="R27" s="95">
        <f t="shared" si="6"/>
        <v>83609.477768817218</v>
      </c>
      <c r="S27" s="63"/>
      <c r="T27" s="90"/>
      <c r="U27" s="92" t="s">
        <v>216</v>
      </c>
      <c r="V27" s="93">
        <v>5</v>
      </c>
      <c r="W27" s="41">
        <f t="shared" si="7"/>
        <v>2554516.7210532366</v>
      </c>
    </row>
    <row r="28" spans="1:23" ht="15" customHeight="1" x14ac:dyDescent="0.2">
      <c r="A28" s="41">
        <v>218</v>
      </c>
      <c r="B28" s="75" t="s">
        <v>255</v>
      </c>
      <c r="C28" s="61">
        <v>1409</v>
      </c>
      <c r="D28" s="59">
        <v>22</v>
      </c>
      <c r="E28" s="55">
        <v>9.69</v>
      </c>
      <c r="F28" s="56">
        <v>3963.364650201826</v>
      </c>
      <c r="G28" s="56">
        <f t="shared" si="8"/>
        <v>-3955.9552966682768</v>
      </c>
      <c r="H28" s="57">
        <v>-1395.999290276792</v>
      </c>
      <c r="I28" s="57">
        <v>-61.082860184528052</v>
      </c>
      <c r="J28" s="57">
        <f t="shared" si="9"/>
        <v>-2498.8731462069568</v>
      </c>
      <c r="K28" s="57">
        <v>-3032.1657094986863</v>
      </c>
      <c r="L28" s="57">
        <v>338.76497659944653</v>
      </c>
      <c r="M28" s="57">
        <v>194.52758669228302</v>
      </c>
      <c r="N28" s="56">
        <f t="shared" si="10"/>
        <v>7.4093535335491651</v>
      </c>
      <c r="O28" s="56">
        <f t="shared" si="11"/>
        <v>-1966.9629999999997</v>
      </c>
      <c r="P28" s="56">
        <f t="shared" si="12"/>
        <v>-86.065750000000037</v>
      </c>
      <c r="Q28" s="56">
        <f t="shared" si="5"/>
        <v>-3520.9122630056022</v>
      </c>
      <c r="R28" s="95">
        <f t="shared" si="6"/>
        <v>5584.3807921343723</v>
      </c>
      <c r="S28" s="63"/>
      <c r="T28" s="43"/>
      <c r="U28" s="92" t="s">
        <v>228</v>
      </c>
      <c r="V28" s="93">
        <v>3</v>
      </c>
      <c r="W28" s="41">
        <f t="shared" si="7"/>
        <v>274089.36964942678</v>
      </c>
    </row>
    <row r="29" spans="1:23" ht="15" customHeight="1" x14ac:dyDescent="0.2">
      <c r="A29" s="41">
        <v>148</v>
      </c>
      <c r="B29" s="75" t="s">
        <v>244</v>
      </c>
      <c r="C29" s="61">
        <v>6814</v>
      </c>
      <c r="D29" s="59">
        <v>19</v>
      </c>
      <c r="E29" s="55">
        <v>6.6899999999999995</v>
      </c>
      <c r="F29" s="56">
        <v>3984.5412091029507</v>
      </c>
      <c r="G29" s="56">
        <f t="shared" si="8"/>
        <v>-3978.5577099952916</v>
      </c>
      <c r="H29" s="57">
        <v>-1779.4864983856764</v>
      </c>
      <c r="I29" s="57">
        <v>-103.3358086292927</v>
      </c>
      <c r="J29" s="57">
        <f t="shared" si="9"/>
        <v>-2095.7354029803228</v>
      </c>
      <c r="K29" s="57">
        <v>-2115.4104841038338</v>
      </c>
      <c r="L29" s="57">
        <v>26.487358168750589</v>
      </c>
      <c r="M29" s="57">
        <v>-6.8122770452393979</v>
      </c>
      <c r="N29" s="56">
        <f t="shared" si="10"/>
        <v>5.9834991076590995</v>
      </c>
      <c r="O29" s="56">
        <f t="shared" si="11"/>
        <v>-12125.421</v>
      </c>
      <c r="P29" s="56">
        <f t="shared" si="12"/>
        <v>-704.1302000000004</v>
      </c>
      <c r="Q29" s="56">
        <f t="shared" si="5"/>
        <v>-14280.341035907919</v>
      </c>
      <c r="R29" s="95">
        <f t="shared" si="6"/>
        <v>27150.663798827507</v>
      </c>
      <c r="S29" s="63"/>
      <c r="T29" s="90"/>
      <c r="U29" s="92" t="s">
        <v>222</v>
      </c>
      <c r="V29" s="93">
        <v>3</v>
      </c>
      <c r="W29" s="41">
        <f t="shared" si="7"/>
        <v>-46418.855786261258</v>
      </c>
    </row>
    <row r="30" spans="1:23" ht="15" customHeight="1" x14ac:dyDescent="0.2">
      <c r="A30" s="41">
        <v>46</v>
      </c>
      <c r="B30" s="75" t="s">
        <v>13</v>
      </c>
      <c r="C30" s="61">
        <v>1503</v>
      </c>
      <c r="D30" s="59">
        <v>21</v>
      </c>
      <c r="E30" s="55">
        <v>8.69</v>
      </c>
      <c r="F30" s="56">
        <v>4254.0134946112066</v>
      </c>
      <c r="G30" s="56">
        <f t="shared" si="8"/>
        <v>-4246.6329110635907</v>
      </c>
      <c r="H30" s="57">
        <v>-1409.8722554890219</v>
      </c>
      <c r="I30" s="57">
        <v>-117.95535595475721</v>
      </c>
      <c r="J30" s="57">
        <f t="shared" si="9"/>
        <v>-2718.8052996198112</v>
      </c>
      <c r="K30" s="57">
        <v>-2851.1481726767911</v>
      </c>
      <c r="L30" s="57">
        <v>39.76583870185668</v>
      </c>
      <c r="M30" s="57">
        <v>92.577034355123146</v>
      </c>
      <c r="N30" s="56">
        <f t="shared" si="10"/>
        <v>7.38058354761597</v>
      </c>
      <c r="O30" s="56">
        <f t="shared" si="11"/>
        <v>-2119.038</v>
      </c>
      <c r="P30" s="56">
        <f t="shared" si="12"/>
        <v>-177.28690000000009</v>
      </c>
      <c r="Q30" s="56">
        <f t="shared" si="5"/>
        <v>-4086.3643653285767</v>
      </c>
      <c r="R30" s="95">
        <f t="shared" si="6"/>
        <v>6393.7822824006435</v>
      </c>
      <c r="S30" s="63"/>
      <c r="T30" s="43"/>
      <c r="U30" s="92" t="s">
        <v>220</v>
      </c>
      <c r="V30" s="93">
        <v>1</v>
      </c>
      <c r="W30" s="41">
        <f t="shared" si="7"/>
        <v>139143.28263575007</v>
      </c>
    </row>
    <row r="31" spans="1:23" ht="15" customHeight="1" x14ac:dyDescent="0.2">
      <c r="A31" s="41">
        <v>47</v>
      </c>
      <c r="B31" s="75" t="s">
        <v>221</v>
      </c>
      <c r="C31" s="61">
        <v>1890</v>
      </c>
      <c r="D31" s="59">
        <v>21.25</v>
      </c>
      <c r="E31" s="55">
        <v>8.94</v>
      </c>
      <c r="F31" s="56">
        <v>4557.3527197328649</v>
      </c>
      <c r="G31" s="56">
        <f t="shared" si="8"/>
        <v>-4549.9860895356896</v>
      </c>
      <c r="H31" s="57">
        <v>-1462.0253968253969</v>
      </c>
      <c r="I31" s="57">
        <v>-56.93896825396827</v>
      </c>
      <c r="J31" s="57">
        <f t="shared" si="9"/>
        <v>-3031.0217244563246</v>
      </c>
      <c r="K31" s="57">
        <v>-2905.4180274923801</v>
      </c>
      <c r="L31" s="57">
        <v>-112.77708604852988</v>
      </c>
      <c r="M31" s="57">
        <v>-12.826610915414705</v>
      </c>
      <c r="N31" s="56">
        <f t="shared" si="10"/>
        <v>7.3666301971752546</v>
      </c>
      <c r="O31" s="56">
        <f t="shared" si="11"/>
        <v>-2763.2280000000001</v>
      </c>
      <c r="P31" s="56">
        <f t="shared" si="12"/>
        <v>-107.61465000000003</v>
      </c>
      <c r="Q31" s="56">
        <f t="shared" si="5"/>
        <v>-5728.6310592224536</v>
      </c>
      <c r="R31" s="95">
        <f t="shared" si="6"/>
        <v>8613.3966402951137</v>
      </c>
      <c r="S31" s="63"/>
      <c r="T31" s="90"/>
      <c r="U31" s="92" t="s">
        <v>222</v>
      </c>
      <c r="V31" s="93">
        <v>1</v>
      </c>
      <c r="W31" s="41">
        <f t="shared" si="7"/>
        <v>-24242.294630133791</v>
      </c>
    </row>
    <row r="32" spans="1:23" ht="15" customHeight="1" x14ac:dyDescent="0.2">
      <c r="A32" s="41">
        <v>49</v>
      </c>
      <c r="B32" s="75" t="s">
        <v>223</v>
      </c>
      <c r="C32" s="61">
        <v>265543</v>
      </c>
      <c r="D32" s="59">
        <v>18</v>
      </c>
      <c r="E32" s="55">
        <v>5.6899999999999995</v>
      </c>
      <c r="F32" s="56">
        <v>2675.5386233156978</v>
      </c>
      <c r="G32" s="56">
        <f t="shared" si="8"/>
        <v>-2669.136054810278</v>
      </c>
      <c r="H32" s="57">
        <v>-2982.0411571760505</v>
      </c>
      <c r="I32" s="57">
        <v>-147.98346350685208</v>
      </c>
      <c r="J32" s="57">
        <f t="shared" si="9"/>
        <v>460.88856587262444</v>
      </c>
      <c r="K32" s="57">
        <v>303.44511034441302</v>
      </c>
      <c r="L32" s="57">
        <v>160.05445206663254</v>
      </c>
      <c r="M32" s="57">
        <v>-2.610996538421098</v>
      </c>
      <c r="N32" s="56">
        <f t="shared" si="10"/>
        <v>6.402568505419822</v>
      </c>
      <c r="O32" s="56">
        <f t="shared" si="11"/>
        <v>-791860.15500000003</v>
      </c>
      <c r="P32" s="56">
        <f t="shared" si="12"/>
        <v>-39295.972850000027</v>
      </c>
      <c r="Q32" s="56">
        <f t="shared" si="5"/>
        <v>122385.73244751431</v>
      </c>
      <c r="R32" s="95">
        <f t="shared" si="6"/>
        <v>710470.55265112035</v>
      </c>
      <c r="S32" s="63"/>
      <c r="T32" s="90"/>
      <c r="U32" s="92" t="s">
        <v>218</v>
      </c>
      <c r="V32" s="93">
        <v>7</v>
      </c>
      <c r="W32" s="41">
        <f t="shared" si="7"/>
        <v>-693331.85380195361</v>
      </c>
    </row>
    <row r="33" spans="1:23" ht="15" customHeight="1" x14ac:dyDescent="0.2">
      <c r="A33" s="41">
        <v>989</v>
      </c>
      <c r="B33" s="75" t="s">
        <v>322</v>
      </c>
      <c r="C33" s="61">
        <v>6178</v>
      </c>
      <c r="D33" s="59">
        <v>22</v>
      </c>
      <c r="E33" s="55">
        <v>9.69</v>
      </c>
      <c r="F33" s="56">
        <v>4097.0453155365794</v>
      </c>
      <c r="G33" s="56">
        <f t="shared" si="8"/>
        <v>-4089.7242168549183</v>
      </c>
      <c r="H33" s="57">
        <v>-1609.634185820654</v>
      </c>
      <c r="I33" s="57">
        <v>-60.168298802201377</v>
      </c>
      <c r="J33" s="57">
        <f t="shared" si="9"/>
        <v>-2419.9217322320628</v>
      </c>
      <c r="K33" s="57">
        <v>-2394.8374569358734</v>
      </c>
      <c r="L33" s="57">
        <v>-21.108660050472892</v>
      </c>
      <c r="M33" s="57">
        <v>-3.9756152457166536</v>
      </c>
      <c r="N33" s="56">
        <f t="shared" si="10"/>
        <v>7.3210986816611694</v>
      </c>
      <c r="O33" s="56">
        <f t="shared" si="11"/>
        <v>-9944.32</v>
      </c>
      <c r="P33" s="56">
        <f t="shared" si="12"/>
        <v>-371.71975000000015</v>
      </c>
      <c r="Q33" s="56">
        <f t="shared" si="5"/>
        <v>-14950.276461729685</v>
      </c>
      <c r="R33" s="95">
        <f t="shared" si="6"/>
        <v>25311.545959384988</v>
      </c>
      <c r="S33" s="63"/>
      <c r="T33" s="90"/>
      <c r="U33" s="92" t="s">
        <v>215</v>
      </c>
      <c r="V33" s="93">
        <v>3</v>
      </c>
      <c r="W33" s="41">
        <f t="shared" si="7"/>
        <v>-24561.350988037484</v>
      </c>
    </row>
    <row r="34" spans="1:23" ht="15" customHeight="1" x14ac:dyDescent="0.2">
      <c r="A34" s="41">
        <v>50</v>
      </c>
      <c r="B34" s="75" t="s">
        <v>14</v>
      </c>
      <c r="C34" s="61">
        <v>12314</v>
      </c>
      <c r="D34" s="59">
        <v>20.5</v>
      </c>
      <c r="E34" s="55">
        <v>8.19</v>
      </c>
      <c r="F34" s="56">
        <v>3526.945530352134</v>
      </c>
      <c r="G34" s="56">
        <f t="shared" si="8"/>
        <v>-3519.813304227273</v>
      </c>
      <c r="H34" s="57">
        <v>-1909.2281143414</v>
      </c>
      <c r="I34" s="57">
        <v>-56.233831411401688</v>
      </c>
      <c r="J34" s="57">
        <f t="shared" si="9"/>
        <v>-1554.351358474471</v>
      </c>
      <c r="K34" s="57">
        <v>-1532.8973587248913</v>
      </c>
      <c r="L34" s="57">
        <v>-0.36278843415991652</v>
      </c>
      <c r="M34" s="57">
        <v>-21.091211315419805</v>
      </c>
      <c r="N34" s="56">
        <f t="shared" si="10"/>
        <v>7.132226124861063</v>
      </c>
      <c r="O34" s="56">
        <f t="shared" si="11"/>
        <v>-23510.235000000001</v>
      </c>
      <c r="P34" s="56">
        <f t="shared" si="12"/>
        <v>-692.46340000000043</v>
      </c>
      <c r="Q34" s="56">
        <f t="shared" si="5"/>
        <v>-19140.282628254638</v>
      </c>
      <c r="R34" s="95">
        <f t="shared" si="6"/>
        <v>43430.807260756177</v>
      </c>
      <c r="S34" s="62"/>
      <c r="T34" s="43"/>
      <c r="U34" s="92" t="s">
        <v>224</v>
      </c>
      <c r="V34" s="93">
        <v>4</v>
      </c>
      <c r="W34" s="41">
        <f t="shared" si="7"/>
        <v>-259717.17613807949</v>
      </c>
    </row>
    <row r="35" spans="1:23" ht="15" customHeight="1" x14ac:dyDescent="0.2">
      <c r="A35" s="41">
        <v>51</v>
      </c>
      <c r="B35" s="75" t="s">
        <v>225</v>
      </c>
      <c r="C35" s="61">
        <v>5954</v>
      </c>
      <c r="D35" s="59">
        <v>18</v>
      </c>
      <c r="E35" s="55">
        <v>5.6899999999999995</v>
      </c>
      <c r="F35" s="56">
        <v>3327.9760488762759</v>
      </c>
      <c r="G35" s="56">
        <f t="shared" si="8"/>
        <v>-3321.574589521525</v>
      </c>
      <c r="H35" s="57">
        <v>-2010.0759153510246</v>
      </c>
      <c r="I35" s="57">
        <v>-81.862949277796474</v>
      </c>
      <c r="J35" s="57">
        <f t="shared" si="9"/>
        <v>-1229.635724892704</v>
      </c>
      <c r="K35" s="57">
        <v>-677.41297433775128</v>
      </c>
      <c r="L35" s="57">
        <v>-143.41762589541221</v>
      </c>
      <c r="M35" s="57">
        <v>-408.80512465954052</v>
      </c>
      <c r="N35" s="56">
        <f t="shared" si="10"/>
        <v>6.4014593547508412</v>
      </c>
      <c r="O35" s="56">
        <f t="shared" si="11"/>
        <v>-11967.992</v>
      </c>
      <c r="P35" s="56">
        <f t="shared" si="12"/>
        <v>-487.41200000000026</v>
      </c>
      <c r="Q35" s="56">
        <f t="shared" si="5"/>
        <v>-7321.2511060111601</v>
      </c>
      <c r="R35" s="95">
        <f t="shared" si="6"/>
        <v>19814.769395009345</v>
      </c>
      <c r="S35" s="63"/>
      <c r="T35" s="90"/>
      <c r="U35" s="92" t="s">
        <v>224</v>
      </c>
      <c r="V35" s="93">
        <v>3</v>
      </c>
      <c r="W35" s="41">
        <f t="shared" si="7"/>
        <v>-2434025.7122229044</v>
      </c>
    </row>
    <row r="36" spans="1:23" ht="15" customHeight="1" x14ac:dyDescent="0.2">
      <c r="A36" s="41">
        <v>52</v>
      </c>
      <c r="B36" s="75" t="s">
        <v>15</v>
      </c>
      <c r="C36" s="61">
        <v>2651</v>
      </c>
      <c r="D36" s="59">
        <v>21.5</v>
      </c>
      <c r="E36" s="55">
        <v>9.19</v>
      </c>
      <c r="F36" s="56">
        <v>4025.362534722507</v>
      </c>
      <c r="G36" s="56">
        <f t="shared" si="8"/>
        <v>-4022.2411101232242</v>
      </c>
      <c r="H36" s="57">
        <v>-1491.8992832893248</v>
      </c>
      <c r="I36" s="57">
        <v>-113.44424745379105</v>
      </c>
      <c r="J36" s="57">
        <f t="shared" si="9"/>
        <v>-2416.8975793801083</v>
      </c>
      <c r="K36" s="57">
        <v>-2516.058842483329</v>
      </c>
      <c r="L36" s="57">
        <v>73.408206204923687</v>
      </c>
      <c r="M36" s="57">
        <v>25.753056898297245</v>
      </c>
      <c r="N36" s="56">
        <f t="shared" si="10"/>
        <v>3.1214245992828182</v>
      </c>
      <c r="O36" s="56">
        <f t="shared" si="11"/>
        <v>-3955.0250000000001</v>
      </c>
      <c r="P36" s="56">
        <f t="shared" si="12"/>
        <v>-300.74070000000006</v>
      </c>
      <c r="Q36" s="56">
        <f t="shared" si="5"/>
        <v>-6407.1954829366678</v>
      </c>
      <c r="R36" s="95">
        <f t="shared" si="6"/>
        <v>10671.236079549366</v>
      </c>
      <c r="S36" s="63"/>
      <c r="T36" s="43"/>
      <c r="U36" s="92" t="s">
        <v>215</v>
      </c>
      <c r="V36" s="93">
        <v>2</v>
      </c>
      <c r="W36" s="41">
        <f t="shared" si="7"/>
        <v>68271.353837385992</v>
      </c>
    </row>
    <row r="37" spans="1:23" ht="15" customHeight="1" x14ac:dyDescent="0.2">
      <c r="A37" s="41">
        <v>61</v>
      </c>
      <c r="B37" s="75" t="s">
        <v>16</v>
      </c>
      <c r="C37" s="61">
        <v>17521</v>
      </c>
      <c r="D37" s="59">
        <v>20</v>
      </c>
      <c r="E37" s="55">
        <v>7.6899999999999995</v>
      </c>
      <c r="F37" s="56">
        <v>3414.3852166261208</v>
      </c>
      <c r="G37" s="56">
        <f t="shared" si="8"/>
        <v>-3408.6875284860698</v>
      </c>
      <c r="H37" s="57">
        <v>-1777.3143085440329</v>
      </c>
      <c r="I37" s="57">
        <v>-58.735677187375167</v>
      </c>
      <c r="J37" s="57">
        <f t="shared" si="9"/>
        <v>-1572.6375427546616</v>
      </c>
      <c r="K37" s="57">
        <v>-1961.2255582531525</v>
      </c>
      <c r="L37" s="57">
        <v>186.21110458287649</v>
      </c>
      <c r="M37" s="57">
        <v>202.3769109156145</v>
      </c>
      <c r="N37" s="56">
        <f t="shared" si="10"/>
        <v>5.6976881400510138</v>
      </c>
      <c r="O37" s="56">
        <f t="shared" si="11"/>
        <v>-31140.324000000001</v>
      </c>
      <c r="P37" s="56">
        <f t="shared" si="12"/>
        <v>-1029.1078000000002</v>
      </c>
      <c r="Q37" s="56">
        <f t="shared" si="5"/>
        <v>-27554.182386604425</v>
      </c>
      <c r="R37" s="95">
        <f t="shared" si="6"/>
        <v>59823.443380506265</v>
      </c>
      <c r="S37" s="63"/>
      <c r="T37" s="43"/>
      <c r="U37" s="92" t="s">
        <v>226</v>
      </c>
      <c r="V37" s="93">
        <v>4</v>
      </c>
      <c r="W37" s="41">
        <f t="shared" si="7"/>
        <v>3545845.8561524819</v>
      </c>
    </row>
    <row r="38" spans="1:23" ht="15" customHeight="1" x14ac:dyDescent="0.2">
      <c r="A38" s="41">
        <v>75</v>
      </c>
      <c r="B38" s="75" t="s">
        <v>229</v>
      </c>
      <c r="C38" s="61">
        <v>21061</v>
      </c>
      <c r="D38" s="59">
        <v>21</v>
      </c>
      <c r="E38" s="55">
        <v>8.69</v>
      </c>
      <c r="F38" s="56">
        <v>3619.3259811052735</v>
      </c>
      <c r="G38" s="56">
        <f t="shared" si="8"/>
        <v>-3611.9739909552854</v>
      </c>
      <c r="H38" s="57">
        <v>-1977.4747637813969</v>
      </c>
      <c r="I38" s="57">
        <v>-65.898392763876402</v>
      </c>
      <c r="J38" s="57">
        <f t="shared" si="9"/>
        <v>-1568.6008344100119</v>
      </c>
      <c r="K38" s="57">
        <v>-1499.3977817877956</v>
      </c>
      <c r="L38" s="57">
        <v>-66.627844344578392</v>
      </c>
      <c r="M38" s="57">
        <v>-2.5752082776378984</v>
      </c>
      <c r="N38" s="56">
        <f t="shared" si="10"/>
        <v>7.3519901499880689</v>
      </c>
      <c r="O38" s="56">
        <f t="shared" si="11"/>
        <v>-41647.595999999998</v>
      </c>
      <c r="P38" s="56">
        <f t="shared" si="12"/>
        <v>-1387.886050000001</v>
      </c>
      <c r="Q38" s="56">
        <f t="shared" si="5"/>
        <v>-33036.302173509263</v>
      </c>
      <c r="R38" s="95">
        <f t="shared" si="6"/>
        <v>76226.624488058165</v>
      </c>
      <c r="S38" s="63"/>
      <c r="T38" s="90"/>
      <c r="U38" s="92" t="s">
        <v>230</v>
      </c>
      <c r="V38" s="93">
        <v>5</v>
      </c>
      <c r="W38" s="41">
        <f t="shared" si="7"/>
        <v>-54236.461535331779</v>
      </c>
    </row>
    <row r="39" spans="1:23" ht="15" customHeight="1" x14ac:dyDescent="0.2">
      <c r="A39" s="41">
        <v>235</v>
      </c>
      <c r="B39" s="75" t="s">
        <v>258</v>
      </c>
      <c r="C39" s="61">
        <v>9357</v>
      </c>
      <c r="D39" s="59">
        <v>16.5</v>
      </c>
      <c r="E39" s="55">
        <v>4.1899999999999995</v>
      </c>
      <c r="F39" s="56">
        <v>3097.1265994686178</v>
      </c>
      <c r="G39" s="56">
        <f t="shared" si="8"/>
        <v>-3090.7258317609458</v>
      </c>
      <c r="H39" s="57">
        <v>-4402.6042535000533</v>
      </c>
      <c r="I39" s="57">
        <v>-49.549385486801334</v>
      </c>
      <c r="J39" s="57">
        <f t="shared" si="9"/>
        <v>1361.4278072259083</v>
      </c>
      <c r="K39" s="57">
        <v>549.69116693583589</v>
      </c>
      <c r="L39" s="57">
        <v>670.33944496994093</v>
      </c>
      <c r="M39" s="57">
        <v>141.3971953201314</v>
      </c>
      <c r="N39" s="56">
        <f t="shared" si="10"/>
        <v>6.4007677076720029</v>
      </c>
      <c r="O39" s="56">
        <f t="shared" si="11"/>
        <v>-41195.167999999998</v>
      </c>
      <c r="P39" s="56">
        <f t="shared" si="12"/>
        <v>-463.63360000000011</v>
      </c>
      <c r="Q39" s="56">
        <f t="shared" si="5"/>
        <v>12738.879992212826</v>
      </c>
      <c r="R39" s="95">
        <f t="shared" si="6"/>
        <v>28979.813591227856</v>
      </c>
      <c r="S39" s="62"/>
      <c r="T39" s="43"/>
      <c r="U39" s="92" t="s">
        <v>215</v>
      </c>
      <c r="V39" s="93">
        <v>4</v>
      </c>
      <c r="W39" s="41">
        <f t="shared" si="7"/>
        <v>1323053.5566104695</v>
      </c>
    </row>
    <row r="40" spans="1:23" ht="15" customHeight="1" x14ac:dyDescent="0.2">
      <c r="A40" s="41">
        <v>304</v>
      </c>
      <c r="B40" s="75" t="s">
        <v>267</v>
      </c>
      <c r="C40" s="61">
        <v>892</v>
      </c>
      <c r="D40" s="59">
        <v>19.25</v>
      </c>
      <c r="E40" s="55">
        <v>6.9399999999999995</v>
      </c>
      <c r="F40" s="56">
        <v>4681.7557545013733</v>
      </c>
      <c r="G40" s="56">
        <f t="shared" si="8"/>
        <v>-4675.354684500654</v>
      </c>
      <c r="H40" s="57">
        <v>-1713.8307174887893</v>
      </c>
      <c r="I40" s="57">
        <v>-54.139517937219743</v>
      </c>
      <c r="J40" s="57">
        <f t="shared" si="9"/>
        <v>-2907.3844490746451</v>
      </c>
      <c r="K40" s="57">
        <v>-2584.3497702126151</v>
      </c>
      <c r="L40" s="57">
        <v>-375.3051854849204</v>
      </c>
      <c r="M40" s="57">
        <v>52.270506622890494</v>
      </c>
      <c r="N40" s="56">
        <f t="shared" si="10"/>
        <v>6.4010700007193009</v>
      </c>
      <c r="O40" s="56">
        <f t="shared" si="11"/>
        <v>-1528.7370000000001</v>
      </c>
      <c r="P40" s="56">
        <f t="shared" si="12"/>
        <v>-48.292450000000009</v>
      </c>
      <c r="Q40" s="56">
        <f t="shared" si="5"/>
        <v>-2593.3869285745836</v>
      </c>
      <c r="R40" s="95">
        <f t="shared" si="6"/>
        <v>4176.1261330152256</v>
      </c>
      <c r="S40" s="63"/>
      <c r="T40" s="43"/>
      <c r="U40" s="92" t="s">
        <v>216</v>
      </c>
      <c r="V40" s="93">
        <v>4</v>
      </c>
      <c r="W40" s="41">
        <f t="shared" si="7"/>
        <v>46625.291907618317</v>
      </c>
    </row>
    <row r="41" spans="1:23" ht="15" customHeight="1" x14ac:dyDescent="0.2">
      <c r="A41" s="41">
        <v>69</v>
      </c>
      <c r="B41" s="75" t="s">
        <v>17</v>
      </c>
      <c r="C41" s="61">
        <v>7479</v>
      </c>
      <c r="D41" s="59">
        <v>22</v>
      </c>
      <c r="E41" s="55">
        <v>9.69</v>
      </c>
      <c r="F41" s="56">
        <v>3670.8266604623209</v>
      </c>
      <c r="G41" s="56">
        <f t="shared" si="8"/>
        <v>-3664.8078341253804</v>
      </c>
      <c r="H41" s="57">
        <v>-1460.4610242010965</v>
      </c>
      <c r="I41" s="57">
        <v>-61.566071667335223</v>
      </c>
      <c r="J41" s="57">
        <f t="shared" si="9"/>
        <v>-2142.7807382569486</v>
      </c>
      <c r="K41" s="57">
        <v>-1993.0352579124678</v>
      </c>
      <c r="L41" s="57">
        <v>-37.59166522809506</v>
      </c>
      <c r="M41" s="57">
        <v>-112.15381511638549</v>
      </c>
      <c r="N41" s="56">
        <f t="shared" si="10"/>
        <v>6.0188263369404922</v>
      </c>
      <c r="O41" s="56">
        <f t="shared" si="11"/>
        <v>-10922.788</v>
      </c>
      <c r="P41" s="56">
        <f t="shared" si="12"/>
        <v>-460.45265000000018</v>
      </c>
      <c r="Q41" s="56">
        <f t="shared" si="5"/>
        <v>-16025.857141423719</v>
      </c>
      <c r="R41" s="95">
        <f t="shared" si="6"/>
        <v>27454.1125935977</v>
      </c>
      <c r="S41" s="63"/>
      <c r="T41" s="43"/>
      <c r="U41" s="92" t="s">
        <v>216</v>
      </c>
      <c r="V41" s="93">
        <v>3</v>
      </c>
      <c r="W41" s="41">
        <f t="shared" si="7"/>
        <v>-838798.38325544703</v>
      </c>
    </row>
    <row r="42" spans="1:23" ht="15" customHeight="1" x14ac:dyDescent="0.2">
      <c r="A42" s="41">
        <v>71</v>
      </c>
      <c r="B42" s="75" t="s">
        <v>18</v>
      </c>
      <c r="C42" s="61">
        <v>7175</v>
      </c>
      <c r="D42" s="59">
        <v>22</v>
      </c>
      <c r="E42" s="55">
        <v>9.69</v>
      </c>
      <c r="F42" s="56">
        <v>3587.3447773339444</v>
      </c>
      <c r="G42" s="56">
        <f t="shared" si="8"/>
        <v>-3580.6878150197572</v>
      </c>
      <c r="H42" s="57">
        <v>-1444.3027177700349</v>
      </c>
      <c r="I42" s="57">
        <v>-52.540216027874585</v>
      </c>
      <c r="J42" s="57">
        <f t="shared" si="9"/>
        <v>-2083.8448812218476</v>
      </c>
      <c r="K42" s="57">
        <v>-1993.9950388345703</v>
      </c>
      <c r="L42" s="57">
        <v>3.2614080797487</v>
      </c>
      <c r="M42" s="57">
        <v>-93.111250467026082</v>
      </c>
      <c r="N42" s="56">
        <f t="shared" si="10"/>
        <v>6.6569623141872398</v>
      </c>
      <c r="O42" s="56">
        <f t="shared" si="11"/>
        <v>-10362.871999999999</v>
      </c>
      <c r="P42" s="56">
        <f t="shared" si="12"/>
        <v>-376.97605000000016</v>
      </c>
      <c r="Q42" s="56">
        <f t="shared" si="5"/>
        <v>-14951.587022766756</v>
      </c>
      <c r="R42" s="95">
        <f t="shared" si="6"/>
        <v>25739.198777371053</v>
      </c>
      <c r="S42" s="63"/>
      <c r="T42" s="43"/>
      <c r="U42" s="92" t="s">
        <v>216</v>
      </c>
      <c r="V42" s="93">
        <v>3</v>
      </c>
      <c r="W42" s="41">
        <f t="shared" si="7"/>
        <v>-668073.22210091213</v>
      </c>
    </row>
    <row r="43" spans="1:23" ht="15" customHeight="1" x14ac:dyDescent="0.2">
      <c r="A43" s="41">
        <v>74</v>
      </c>
      <c r="B43" s="75" t="s">
        <v>19</v>
      </c>
      <c r="C43" s="61">
        <v>1222</v>
      </c>
      <c r="D43" s="59">
        <v>21.5</v>
      </c>
      <c r="E43" s="55">
        <v>9.19</v>
      </c>
      <c r="F43" s="56">
        <v>4249.899594781722</v>
      </c>
      <c r="G43" s="56">
        <f t="shared" si="8"/>
        <v>-4242.5269750903535</v>
      </c>
      <c r="H43" s="57">
        <v>-1452.7528641571196</v>
      </c>
      <c r="I43" s="57">
        <v>-121.25822422258601</v>
      </c>
      <c r="J43" s="57">
        <f t="shared" si="9"/>
        <v>-2668.5158867106475</v>
      </c>
      <c r="K43" s="57">
        <v>-2586.4746061736628</v>
      </c>
      <c r="L43" s="57">
        <v>0.19631890711326613</v>
      </c>
      <c r="M43" s="57">
        <v>-82.237599444098009</v>
      </c>
      <c r="N43" s="56">
        <f t="shared" si="10"/>
        <v>7.3726196913685271</v>
      </c>
      <c r="O43" s="56">
        <f t="shared" si="11"/>
        <v>-1775.2640000000004</v>
      </c>
      <c r="P43" s="56">
        <f t="shared" si="12"/>
        <v>-148.17755000000011</v>
      </c>
      <c r="Q43" s="56">
        <f t="shared" si="5"/>
        <v>-3260.9264135604117</v>
      </c>
      <c r="R43" s="95">
        <f t="shared" si="6"/>
        <v>5193.3773048232642</v>
      </c>
      <c r="S43" s="63"/>
      <c r="T43" s="43"/>
      <c r="U43" s="92" t="s">
        <v>228</v>
      </c>
      <c r="V43" s="93">
        <v>1</v>
      </c>
      <c r="W43" s="41">
        <f t="shared" si="7"/>
        <v>-100494.34652068777</v>
      </c>
    </row>
    <row r="44" spans="1:23" ht="15" customHeight="1" x14ac:dyDescent="0.2">
      <c r="A44" s="41">
        <v>78</v>
      </c>
      <c r="B44" s="75" t="s">
        <v>232</v>
      </c>
      <c r="C44" s="61">
        <v>9021</v>
      </c>
      <c r="D44" s="59">
        <v>21.75</v>
      </c>
      <c r="E44" s="55">
        <v>9.44</v>
      </c>
      <c r="F44" s="56">
        <v>3916.6490845578564</v>
      </c>
      <c r="G44" s="56">
        <f t="shared" si="8"/>
        <v>-3910.2411909214061</v>
      </c>
      <c r="H44" s="57">
        <v>-2165.3603813324467</v>
      </c>
      <c r="I44" s="57">
        <v>-76.679381443298993</v>
      </c>
      <c r="J44" s="57">
        <f t="shared" si="9"/>
        <v>-1668.2014281456604</v>
      </c>
      <c r="K44" s="57">
        <v>-1165.0910744443615</v>
      </c>
      <c r="L44" s="57">
        <v>-355.57058889184054</v>
      </c>
      <c r="M44" s="57">
        <v>-147.5397648094584</v>
      </c>
      <c r="N44" s="56">
        <f t="shared" si="10"/>
        <v>6.4078936364503534</v>
      </c>
      <c r="O44" s="56">
        <f t="shared" si="11"/>
        <v>-19533.716</v>
      </c>
      <c r="P44" s="56">
        <f t="shared" si="12"/>
        <v>-691.72470000000021</v>
      </c>
      <c r="Q44" s="56">
        <f t="shared" si="5"/>
        <v>-15048.845083302003</v>
      </c>
      <c r="R44" s="95">
        <f t="shared" si="6"/>
        <v>35332.091391796428</v>
      </c>
      <c r="S44" s="63"/>
      <c r="T44" s="90"/>
      <c r="U44" s="92" t="s">
        <v>218</v>
      </c>
      <c r="V44" s="93">
        <v>3</v>
      </c>
      <c r="W44" s="41">
        <f t="shared" si="7"/>
        <v>-1330956.2183461243</v>
      </c>
    </row>
    <row r="45" spans="1:23" ht="15" customHeight="1" x14ac:dyDescent="0.2">
      <c r="A45" s="41">
        <v>77</v>
      </c>
      <c r="B45" s="75" t="s">
        <v>20</v>
      </c>
      <c r="C45" s="61">
        <v>5307</v>
      </c>
      <c r="D45" s="59">
        <v>22</v>
      </c>
      <c r="E45" s="55">
        <v>9.69</v>
      </c>
      <c r="F45" s="56">
        <v>4095.8541407113626</v>
      </c>
      <c r="G45" s="56">
        <f t="shared" si="8"/>
        <v>-4088.4670640741751</v>
      </c>
      <c r="H45" s="57">
        <v>-1370.991709063501</v>
      </c>
      <c r="I45" s="57">
        <v>-43.320237422272491</v>
      </c>
      <c r="J45" s="57">
        <f t="shared" si="9"/>
        <v>-2674.1551175884019</v>
      </c>
      <c r="K45" s="57">
        <v>-2877.8488854333923</v>
      </c>
      <c r="L45" s="57">
        <v>121.49568774211482</v>
      </c>
      <c r="M45" s="57">
        <v>82.198080102875167</v>
      </c>
      <c r="N45" s="56">
        <f t="shared" si="10"/>
        <v>7.3870766371874197</v>
      </c>
      <c r="O45" s="56">
        <f t="shared" si="11"/>
        <v>-7275.8530000000001</v>
      </c>
      <c r="P45" s="56">
        <f t="shared" si="12"/>
        <v>-229.90050000000011</v>
      </c>
      <c r="Q45" s="56">
        <f t="shared" si="5"/>
        <v>-14191.741209041649</v>
      </c>
      <c r="R45" s="95">
        <f t="shared" si="6"/>
        <v>21736.697924755201</v>
      </c>
      <c r="S45" s="63"/>
      <c r="T45" s="43"/>
      <c r="U45" s="92" t="s">
        <v>231</v>
      </c>
      <c r="V45" s="93">
        <v>3</v>
      </c>
      <c r="W45" s="41">
        <f t="shared" si="7"/>
        <v>436225.2111059585</v>
      </c>
    </row>
    <row r="46" spans="1:23" ht="15" customHeight="1" x14ac:dyDescent="0.2">
      <c r="A46" s="41">
        <v>79</v>
      </c>
      <c r="B46" s="75" t="s">
        <v>21</v>
      </c>
      <c r="C46" s="61">
        <v>7366</v>
      </c>
      <c r="D46" s="59">
        <v>19.75</v>
      </c>
      <c r="E46" s="55">
        <v>7.4399999999999995</v>
      </c>
      <c r="F46" s="56">
        <v>3851.2457422642424</v>
      </c>
      <c r="G46" s="56">
        <f t="shared" si="8"/>
        <v>-3845.0406396367644</v>
      </c>
      <c r="H46" s="57">
        <v>-1977.0678794461037</v>
      </c>
      <c r="I46" s="57">
        <v>-228.64056475699164</v>
      </c>
      <c r="J46" s="57">
        <f t="shared" si="9"/>
        <v>-1639.3321954336689</v>
      </c>
      <c r="K46" s="57">
        <v>-1480.8705757093528</v>
      </c>
      <c r="L46" s="57">
        <v>-108.68330247824993</v>
      </c>
      <c r="M46" s="57">
        <v>-49.778317246066081</v>
      </c>
      <c r="N46" s="56">
        <f t="shared" si="10"/>
        <v>6.205102627478027</v>
      </c>
      <c r="O46" s="56">
        <f t="shared" si="11"/>
        <v>-14563.082</v>
      </c>
      <c r="P46" s="56">
        <f t="shared" si="12"/>
        <v>-1684.1664000000003</v>
      </c>
      <c r="Q46" s="56">
        <f t="shared" si="5"/>
        <v>-12075.320951564405</v>
      </c>
      <c r="R46" s="95">
        <f t="shared" si="6"/>
        <v>28368.276137518409</v>
      </c>
      <c r="S46" s="63"/>
      <c r="T46" s="43"/>
      <c r="U46" s="92" t="s">
        <v>224</v>
      </c>
      <c r="V46" s="93">
        <v>3</v>
      </c>
      <c r="W46" s="41">
        <f t="shared" si="7"/>
        <v>-366667.08483452274</v>
      </c>
    </row>
    <row r="47" spans="1:23" ht="15" customHeight="1" x14ac:dyDescent="0.2">
      <c r="A47" s="41">
        <v>81</v>
      </c>
      <c r="B47" s="75" t="s">
        <v>22</v>
      </c>
      <c r="C47" s="61">
        <v>3071</v>
      </c>
      <c r="D47" s="59">
        <v>21.5</v>
      </c>
      <c r="E47" s="55">
        <v>9.19</v>
      </c>
      <c r="F47" s="56">
        <v>4079.7103038281152</v>
      </c>
      <c r="G47" s="56">
        <f t="shared" si="8"/>
        <v>-4072.3341548577773</v>
      </c>
      <c r="H47" s="57">
        <v>-1356.7274503419083</v>
      </c>
      <c r="I47" s="57">
        <v>-132.48207424291769</v>
      </c>
      <c r="J47" s="57">
        <f t="shared" si="9"/>
        <v>-2583.1246302729514</v>
      </c>
      <c r="K47" s="57">
        <v>-2669.909341790009</v>
      </c>
      <c r="L47" s="57">
        <v>31.565480813593457</v>
      </c>
      <c r="M47" s="57">
        <v>55.219230703464177</v>
      </c>
      <c r="N47" s="56">
        <f t="shared" si="10"/>
        <v>7.3761489703379084</v>
      </c>
      <c r="O47" s="56">
        <f t="shared" si="11"/>
        <v>-4166.51</v>
      </c>
      <c r="P47" s="56">
        <f t="shared" si="12"/>
        <v>-406.85245000000026</v>
      </c>
      <c r="Q47" s="56">
        <f t="shared" si="5"/>
        <v>-7932.7757395682338</v>
      </c>
      <c r="R47" s="95">
        <f t="shared" si="6"/>
        <v>12528.790343056142</v>
      </c>
      <c r="S47" s="63"/>
      <c r="T47" s="43"/>
      <c r="U47" s="92" t="s">
        <v>217</v>
      </c>
      <c r="V47" s="93">
        <v>2</v>
      </c>
      <c r="W47" s="41">
        <f t="shared" si="7"/>
        <v>169578.2574903385</v>
      </c>
    </row>
    <row r="48" spans="1:23" ht="15" customHeight="1" x14ac:dyDescent="0.2">
      <c r="A48" s="41">
        <v>82</v>
      </c>
      <c r="B48" s="75" t="s">
        <v>23</v>
      </c>
      <c r="C48" s="61">
        <v>9738</v>
      </c>
      <c r="D48" s="59">
        <v>20</v>
      </c>
      <c r="E48" s="55">
        <v>7.6899999999999995</v>
      </c>
      <c r="F48" s="56">
        <v>2607.3437245467558</v>
      </c>
      <c r="G48" s="56">
        <f t="shared" si="8"/>
        <v>-2599.9840920434453</v>
      </c>
      <c r="H48" s="57">
        <v>-2047.4253440131445</v>
      </c>
      <c r="I48" s="57">
        <v>-38.356988087903069</v>
      </c>
      <c r="J48" s="57">
        <f t="shared" si="9"/>
        <v>-514.20175994239776</v>
      </c>
      <c r="K48" s="57">
        <v>-589.34823448388511</v>
      </c>
      <c r="L48" s="57">
        <v>61.111766277149115</v>
      </c>
      <c r="M48" s="57">
        <v>14.03470826433815</v>
      </c>
      <c r="N48" s="56">
        <f t="shared" si="10"/>
        <v>7.3596325033104222</v>
      </c>
      <c r="O48" s="56">
        <f t="shared" si="11"/>
        <v>-19937.828000000001</v>
      </c>
      <c r="P48" s="56">
        <f t="shared" si="12"/>
        <v>-373.52035000000012</v>
      </c>
      <c r="Q48" s="56">
        <f t="shared" si="5"/>
        <v>-5007.2967383190689</v>
      </c>
      <c r="R48" s="95">
        <f t="shared" si="6"/>
        <v>25390.313189636308</v>
      </c>
      <c r="S48" s="63"/>
      <c r="T48" s="43"/>
      <c r="U48" s="92" t="s">
        <v>226</v>
      </c>
      <c r="V48" s="93">
        <v>3</v>
      </c>
      <c r="W48" s="41">
        <f t="shared" si="7"/>
        <v>136669.9890781249</v>
      </c>
    </row>
    <row r="49" spans="1:23" ht="15" customHeight="1" x14ac:dyDescent="0.2">
      <c r="A49" s="41">
        <v>86</v>
      </c>
      <c r="B49" s="75" t="s">
        <v>24</v>
      </c>
      <c r="C49" s="61">
        <v>8815</v>
      </c>
      <c r="D49" s="59">
        <v>21.5</v>
      </c>
      <c r="E49" s="55">
        <v>9.19</v>
      </c>
      <c r="F49" s="56">
        <v>3031.3154248364453</v>
      </c>
      <c r="G49" s="56">
        <f t="shared" si="8"/>
        <v>-3023.9503189673906</v>
      </c>
      <c r="H49" s="57">
        <v>-1899.3140102098696</v>
      </c>
      <c r="I49" s="57">
        <v>-38.770499149177546</v>
      </c>
      <c r="J49" s="57">
        <f t="shared" si="9"/>
        <v>-1085.8658096083436</v>
      </c>
      <c r="K49" s="57">
        <v>-902.84740338365441</v>
      </c>
      <c r="L49" s="57">
        <v>-88.312222055541255</v>
      </c>
      <c r="M49" s="57">
        <v>-94.706184169148059</v>
      </c>
      <c r="N49" s="56">
        <f t="shared" si="10"/>
        <v>7.365105869054787</v>
      </c>
      <c r="O49" s="56">
        <f t="shared" si="11"/>
        <v>-16742.453000000001</v>
      </c>
      <c r="P49" s="56">
        <f t="shared" si="12"/>
        <v>-341.76195000000007</v>
      </c>
      <c r="Q49" s="56">
        <f t="shared" si="5"/>
        <v>-9571.9071116975483</v>
      </c>
      <c r="R49" s="95">
        <f t="shared" si="6"/>
        <v>26721.045469933266</v>
      </c>
      <c r="S49" s="63"/>
      <c r="T49" s="43"/>
      <c r="U49" s="92" t="s">
        <v>226</v>
      </c>
      <c r="V49" s="93">
        <v>3</v>
      </c>
      <c r="W49" s="41">
        <f t="shared" si="7"/>
        <v>-834835.01345104014</v>
      </c>
    </row>
    <row r="50" spans="1:23" ht="15" customHeight="1" x14ac:dyDescent="0.2">
      <c r="A50" s="41">
        <v>111</v>
      </c>
      <c r="B50" s="75" t="s">
        <v>32</v>
      </c>
      <c r="C50" s="61">
        <v>19695</v>
      </c>
      <c r="D50" s="59">
        <v>20.5</v>
      </c>
      <c r="E50" s="55">
        <v>8.19</v>
      </c>
      <c r="F50" s="56">
        <v>3631.8761283065137</v>
      </c>
      <c r="G50" s="56">
        <f t="shared" si="8"/>
        <v>-3624.5052275655589</v>
      </c>
      <c r="H50" s="57">
        <v>-1871.1521198273674</v>
      </c>
      <c r="I50" s="57">
        <v>-48.752000507743098</v>
      </c>
      <c r="J50" s="57">
        <f t="shared" si="9"/>
        <v>-1704.6011072304482</v>
      </c>
      <c r="K50" s="57">
        <v>-1901.7599280383256</v>
      </c>
      <c r="L50" s="57">
        <v>63.027132898798463</v>
      </c>
      <c r="M50" s="57">
        <v>134.13168790907881</v>
      </c>
      <c r="N50" s="56">
        <f t="shared" si="10"/>
        <v>7.3709007409547667</v>
      </c>
      <c r="O50" s="56">
        <f t="shared" si="11"/>
        <v>-36852.341</v>
      </c>
      <c r="P50" s="56">
        <f t="shared" si="12"/>
        <v>-960.17065000000036</v>
      </c>
      <c r="Q50" s="56">
        <f t="shared" si="5"/>
        <v>-33572.118806903673</v>
      </c>
      <c r="R50" s="95">
        <f t="shared" si="6"/>
        <v>71529.800346996781</v>
      </c>
      <c r="S50" s="63"/>
      <c r="T50" s="43"/>
      <c r="U50" s="92" t="s">
        <v>220</v>
      </c>
      <c r="V50" s="93">
        <v>2</v>
      </c>
      <c r="W50" s="41">
        <f t="shared" si="7"/>
        <v>2641723.593369307</v>
      </c>
    </row>
    <row r="51" spans="1:23" ht="15" customHeight="1" x14ac:dyDescent="0.2">
      <c r="A51" s="41">
        <v>90</v>
      </c>
      <c r="B51" s="75" t="s">
        <v>25</v>
      </c>
      <c r="C51" s="61">
        <v>3638</v>
      </c>
      <c r="D51" s="59">
        <v>20.75</v>
      </c>
      <c r="E51" s="55">
        <v>8.44</v>
      </c>
      <c r="F51" s="56">
        <v>5040.7511798119367</v>
      </c>
      <c r="G51" s="56">
        <f t="shared" si="8"/>
        <v>-5039.557364632743</v>
      </c>
      <c r="H51" s="57">
        <v>-1378.3881253435954</v>
      </c>
      <c r="I51" s="57">
        <v>-182.59197361187469</v>
      </c>
      <c r="J51" s="57">
        <f t="shared" si="9"/>
        <v>-3478.5772656772729</v>
      </c>
      <c r="K51" s="57">
        <v>-3356.909521878662</v>
      </c>
      <c r="L51" s="57">
        <v>-41.673328919748016</v>
      </c>
      <c r="M51" s="57">
        <v>-79.994414878862841</v>
      </c>
      <c r="N51" s="56">
        <f t="shared" si="10"/>
        <v>1.1938151791937344</v>
      </c>
      <c r="O51" s="56">
        <f t="shared" si="11"/>
        <v>-5014.576</v>
      </c>
      <c r="P51" s="56">
        <f t="shared" si="12"/>
        <v>-664.26960000000008</v>
      </c>
      <c r="Q51" s="56">
        <f t="shared" si="5"/>
        <v>-12655.064092533918</v>
      </c>
      <c r="R51" s="95">
        <f t="shared" si="6"/>
        <v>18338.252792155825</v>
      </c>
      <c r="S51" s="63"/>
      <c r="T51" s="90"/>
      <c r="U51" s="92" t="s">
        <v>218</v>
      </c>
      <c r="V51" s="93">
        <v>7</v>
      </c>
      <c r="W51" s="41">
        <f t="shared" si="7"/>
        <v>-291019.68132930301</v>
      </c>
    </row>
    <row r="52" spans="1:23" ht="15" customHeight="1" x14ac:dyDescent="0.2">
      <c r="A52" s="41">
        <v>91</v>
      </c>
      <c r="B52" s="75" t="s">
        <v>233</v>
      </c>
      <c r="C52" s="61">
        <v>620715</v>
      </c>
      <c r="D52" s="59">
        <v>18.5</v>
      </c>
      <c r="E52" s="55">
        <v>6.1899999999999995</v>
      </c>
      <c r="F52" s="56">
        <v>3150.2019844892784</v>
      </c>
      <c r="G52" s="56">
        <f t="shared" si="8"/>
        <v>-3143.7984541568903</v>
      </c>
      <c r="H52" s="57">
        <v>-2657.4181887017389</v>
      </c>
      <c r="I52" s="57">
        <v>-215.10268682084381</v>
      </c>
      <c r="J52" s="57">
        <f t="shared" si="9"/>
        <v>-271.27757863430759</v>
      </c>
      <c r="K52" s="57">
        <v>-246.87255723776184</v>
      </c>
      <c r="L52" s="57">
        <v>19.876496053079016</v>
      </c>
      <c r="M52" s="57">
        <v>-44.281517449624758</v>
      </c>
      <c r="N52" s="56">
        <f t="shared" si="10"/>
        <v>6.4035303323880726</v>
      </c>
      <c r="O52" s="56">
        <f t="shared" si="11"/>
        <v>-1649499.3309999998</v>
      </c>
      <c r="P52" s="56">
        <f t="shared" si="12"/>
        <v>-133517.46425000008</v>
      </c>
      <c r="Q52" s="56">
        <f t="shared" si="5"/>
        <v>-168386.06222199422</v>
      </c>
      <c r="R52" s="95">
        <f t="shared" si="6"/>
        <v>1955377.6248022625</v>
      </c>
      <c r="S52" s="63"/>
      <c r="T52" s="90"/>
      <c r="U52" s="92" t="s">
        <v>218</v>
      </c>
      <c r="V52" s="93">
        <v>7</v>
      </c>
      <c r="W52" s="41">
        <f t="shared" si="7"/>
        <v>-27486202.103743833</v>
      </c>
    </row>
    <row r="53" spans="1:23" ht="15" customHeight="1" x14ac:dyDescent="0.2">
      <c r="A53" s="41">
        <v>97</v>
      </c>
      <c r="B53" s="75" t="s">
        <v>26</v>
      </c>
      <c r="C53" s="61">
        <v>2326</v>
      </c>
      <c r="D53" s="59">
        <v>19.5</v>
      </c>
      <c r="E53" s="55">
        <v>7.1899999999999995</v>
      </c>
      <c r="F53" s="56">
        <v>3819.1797185112841</v>
      </c>
      <c r="G53" s="56">
        <f t="shared" si="8"/>
        <v>-3811.8077545877031</v>
      </c>
      <c r="H53" s="57">
        <v>-1438.1487532244196</v>
      </c>
      <c r="I53" s="57">
        <v>-114.89619518486677</v>
      </c>
      <c r="J53" s="57">
        <f t="shared" si="9"/>
        <v>-2258.7628061784167</v>
      </c>
      <c r="K53" s="57">
        <v>-2604.2559718942875</v>
      </c>
      <c r="L53" s="57">
        <v>239.44547025276222</v>
      </c>
      <c r="M53" s="57">
        <v>106.04769546310865</v>
      </c>
      <c r="N53" s="56">
        <f t="shared" si="10"/>
        <v>7.3719639235810064</v>
      </c>
      <c r="O53" s="56">
        <f t="shared" si="11"/>
        <v>-3345.134</v>
      </c>
      <c r="P53" s="56">
        <f t="shared" si="12"/>
        <v>-267.24855000000014</v>
      </c>
      <c r="Q53" s="56">
        <f t="shared" si="5"/>
        <v>-5253.8822871709972</v>
      </c>
      <c r="R53" s="95">
        <f t="shared" si="6"/>
        <v>8883.4120252572466</v>
      </c>
      <c r="S53" s="63"/>
      <c r="T53" s="43"/>
      <c r="U53" s="92" t="s">
        <v>220</v>
      </c>
      <c r="V53" s="93">
        <v>2</v>
      </c>
      <c r="W53" s="41">
        <f t="shared" si="7"/>
        <v>246666.93964719074</v>
      </c>
    </row>
    <row r="54" spans="1:23" ht="15" customHeight="1" x14ac:dyDescent="0.2">
      <c r="A54" s="41">
        <v>98</v>
      </c>
      <c r="B54" s="75" t="s">
        <v>27</v>
      </c>
      <c r="C54" s="61">
        <v>23996</v>
      </c>
      <c r="D54" s="59">
        <v>21</v>
      </c>
      <c r="E54" s="55">
        <v>8.69</v>
      </c>
      <c r="F54" s="56">
        <v>2991.6139817965941</v>
      </c>
      <c r="G54" s="56">
        <f t="shared" si="8"/>
        <v>-2984.244264507126</v>
      </c>
      <c r="H54" s="57">
        <v>-1977.8041340223372</v>
      </c>
      <c r="I54" s="57">
        <v>-35.804302800466758</v>
      </c>
      <c r="J54" s="57">
        <f t="shared" si="9"/>
        <v>-970.63582768432207</v>
      </c>
      <c r="K54" s="57">
        <v>-996.15501331562336</v>
      </c>
      <c r="L54" s="57">
        <v>15.284888256841745</v>
      </c>
      <c r="M54" s="57">
        <v>10.234297374459484</v>
      </c>
      <c r="N54" s="56">
        <f t="shared" si="10"/>
        <v>7.3697172894680989</v>
      </c>
      <c r="O54" s="56">
        <f t="shared" si="11"/>
        <v>-47459.387999999999</v>
      </c>
      <c r="P54" s="56">
        <f t="shared" si="12"/>
        <v>-859.1600500000003</v>
      </c>
      <c r="Q54" s="56">
        <f t="shared" si="5"/>
        <v>-23291.377321112996</v>
      </c>
      <c r="R54" s="95">
        <f t="shared" si="6"/>
        <v>71786.769107191067</v>
      </c>
      <c r="S54" s="63"/>
      <c r="T54" s="43"/>
      <c r="U54" s="92" t="s">
        <v>217</v>
      </c>
      <c r="V54" s="93">
        <v>5</v>
      </c>
      <c r="W54" s="41">
        <f t="shared" si="7"/>
        <v>245582.19979752976</v>
      </c>
    </row>
    <row r="55" spans="1:23" ht="15" customHeight="1" x14ac:dyDescent="0.2">
      <c r="A55" s="41">
        <v>99</v>
      </c>
      <c r="B55" s="75" t="s">
        <v>28</v>
      </c>
      <c r="C55" s="61">
        <v>1788</v>
      </c>
      <c r="D55" s="59">
        <v>21.5</v>
      </c>
      <c r="E55" s="55">
        <v>9.19</v>
      </c>
      <c r="F55" s="56">
        <v>3643.3957824203985</v>
      </c>
      <c r="G55" s="56">
        <f t="shared" si="8"/>
        <v>-3636.0097885926707</v>
      </c>
      <c r="H55" s="57">
        <v>-1410.2762863534676</v>
      </c>
      <c r="I55" s="57">
        <v>-149.43551454138711</v>
      </c>
      <c r="J55" s="57">
        <f t="shared" si="9"/>
        <v>-2076.2979876978156</v>
      </c>
      <c r="K55" s="57">
        <v>-2042.4468065879096</v>
      </c>
      <c r="L55" s="57">
        <v>-57.991231656280171</v>
      </c>
      <c r="M55" s="57">
        <v>24.140050546373885</v>
      </c>
      <c r="N55" s="56">
        <f t="shared" si="10"/>
        <v>7.3859938277278161</v>
      </c>
      <c r="O55" s="56">
        <f t="shared" si="11"/>
        <v>-2521.5740000000001</v>
      </c>
      <c r="P55" s="56">
        <f t="shared" si="12"/>
        <v>-267.19070000000011</v>
      </c>
      <c r="Q55" s="56">
        <f t="shared" si="5"/>
        <v>-3712.4208020036945</v>
      </c>
      <c r="R55" s="95">
        <f t="shared" si="6"/>
        <v>6514.3916589676728</v>
      </c>
      <c r="S55" s="63"/>
      <c r="T55" s="43"/>
      <c r="U55" s="92" t="s">
        <v>224</v>
      </c>
      <c r="V55" s="93">
        <v>1</v>
      </c>
      <c r="W55" s="41">
        <f t="shared" si="7"/>
        <v>43162.410376916509</v>
      </c>
    </row>
    <row r="56" spans="1:23" ht="15" customHeight="1" x14ac:dyDescent="0.2">
      <c r="A56" s="41">
        <v>102</v>
      </c>
      <c r="B56" s="75" t="s">
        <v>29</v>
      </c>
      <c r="C56" s="61">
        <v>10487</v>
      </c>
      <c r="D56" s="59">
        <v>20.5</v>
      </c>
      <c r="E56" s="55">
        <v>8.19</v>
      </c>
      <c r="F56" s="56">
        <v>3366.5620315458859</v>
      </c>
      <c r="G56" s="56">
        <f t="shared" si="8"/>
        <v>-3359.7832848009466</v>
      </c>
      <c r="H56" s="57">
        <v>-1620.8702202727186</v>
      </c>
      <c r="I56" s="57">
        <v>-53.069991417946049</v>
      </c>
      <c r="J56" s="57">
        <f t="shared" si="9"/>
        <v>-1685.8430731102821</v>
      </c>
      <c r="K56" s="57">
        <v>-1785.9479507559306</v>
      </c>
      <c r="L56" s="57">
        <v>75.637823336592731</v>
      </c>
      <c r="M56" s="57">
        <v>24.467054309055783</v>
      </c>
      <c r="N56" s="56">
        <f t="shared" si="10"/>
        <v>6.7787467449393262</v>
      </c>
      <c r="O56" s="56">
        <f t="shared" si="11"/>
        <v>-16998.065999999999</v>
      </c>
      <c r="P56" s="56">
        <f t="shared" si="12"/>
        <v>-556.5450000000003</v>
      </c>
      <c r="Q56" s="56">
        <f t="shared" si="5"/>
        <v>-17679.436307707529</v>
      </c>
      <c r="R56" s="95">
        <f t="shared" si="6"/>
        <v>35305.13602482171</v>
      </c>
      <c r="S56" s="62"/>
      <c r="T56" s="43"/>
      <c r="U56" s="92" t="s">
        <v>224</v>
      </c>
      <c r="V56" s="93">
        <v>4</v>
      </c>
      <c r="W56" s="41">
        <f t="shared" si="7"/>
        <v>256585.99853906801</v>
      </c>
    </row>
    <row r="57" spans="1:23" ht="15" customHeight="1" x14ac:dyDescent="0.2">
      <c r="A57" s="41">
        <v>103</v>
      </c>
      <c r="B57" s="75" t="s">
        <v>30</v>
      </c>
      <c r="C57" s="61">
        <v>2440</v>
      </c>
      <c r="D57" s="59">
        <v>21.5</v>
      </c>
      <c r="E57" s="55">
        <v>9.19</v>
      </c>
      <c r="F57" s="56">
        <v>3372.2765484625083</v>
      </c>
      <c r="G57" s="56">
        <f t="shared" si="8"/>
        <v>-3364.8996687727495</v>
      </c>
      <c r="H57" s="57">
        <v>-1500.7073770491804</v>
      </c>
      <c r="I57" s="57">
        <v>-54.398258196721336</v>
      </c>
      <c r="J57" s="57">
        <f t="shared" si="9"/>
        <v>-1809.7940335268477</v>
      </c>
      <c r="K57" s="57">
        <v>-1762.4617214071388</v>
      </c>
      <c r="L57" s="57">
        <v>-11.486379270061345</v>
      </c>
      <c r="M57" s="57">
        <v>-35.845932849647369</v>
      </c>
      <c r="N57" s="56">
        <f t="shared" si="10"/>
        <v>7.37687968975888</v>
      </c>
      <c r="O57" s="56">
        <f t="shared" si="11"/>
        <v>-3661.7260000000001</v>
      </c>
      <c r="P57" s="56">
        <f t="shared" si="12"/>
        <v>-132.73175000000006</v>
      </c>
      <c r="Q57" s="56">
        <f t="shared" si="5"/>
        <v>-4415.8974418055077</v>
      </c>
      <c r="R57" s="95">
        <f t="shared" si="6"/>
        <v>8228.3547782485202</v>
      </c>
      <c r="S57" s="63"/>
      <c r="T57" s="43"/>
      <c r="U57" s="92" t="s">
        <v>226</v>
      </c>
      <c r="V57" s="93">
        <v>2</v>
      </c>
      <c r="W57" s="41">
        <f t="shared" si="7"/>
        <v>-87464.076153139584</v>
      </c>
    </row>
    <row r="58" spans="1:23" ht="15" customHeight="1" x14ac:dyDescent="0.2">
      <c r="A58" s="41">
        <v>105</v>
      </c>
      <c r="B58" s="75" t="s">
        <v>31</v>
      </c>
      <c r="C58" s="61">
        <v>2490</v>
      </c>
      <c r="D58" s="59">
        <v>21.75</v>
      </c>
      <c r="E58" s="55">
        <v>9.44</v>
      </c>
      <c r="F58" s="56">
        <v>4759.4931448533816</v>
      </c>
      <c r="G58" s="56">
        <f t="shared" si="8"/>
        <v>-4761.9175947242211</v>
      </c>
      <c r="H58" s="57">
        <v>-1443.9164658634538</v>
      </c>
      <c r="I58" s="57">
        <v>-91.599919678714883</v>
      </c>
      <c r="J58" s="57">
        <f t="shared" si="9"/>
        <v>-3226.4012091820523</v>
      </c>
      <c r="K58" s="57">
        <v>-3348.3400475530607</v>
      </c>
      <c r="L58" s="57">
        <v>114.84925752029255</v>
      </c>
      <c r="M58" s="57">
        <v>7.0895808507159188</v>
      </c>
      <c r="N58" s="56">
        <f t="shared" si="10"/>
        <v>-2.4244498708394531</v>
      </c>
      <c r="O58" s="56">
        <f t="shared" si="11"/>
        <v>-3595.3519999999999</v>
      </c>
      <c r="P58" s="56">
        <f t="shared" si="12"/>
        <v>-228.08380000000005</v>
      </c>
      <c r="Q58" s="56">
        <f t="shared" si="5"/>
        <v>-8033.7390108633108</v>
      </c>
      <c r="R58" s="95">
        <f t="shared" si="6"/>
        <v>11851.137930684921</v>
      </c>
      <c r="S58" s="63"/>
      <c r="T58" s="43"/>
      <c r="U58" s="92" t="s">
        <v>234</v>
      </c>
      <c r="V58" s="93">
        <v>2</v>
      </c>
      <c r="W58" s="41">
        <f t="shared" si="7"/>
        <v>17653.056318282637</v>
      </c>
    </row>
    <row r="59" spans="1:23" ht="15" customHeight="1" x14ac:dyDescent="0.2">
      <c r="A59" s="41">
        <v>106</v>
      </c>
      <c r="B59" s="75" t="s">
        <v>235</v>
      </c>
      <c r="C59" s="61">
        <v>46366</v>
      </c>
      <c r="D59" s="59">
        <v>19.75</v>
      </c>
      <c r="E59" s="55">
        <v>7.4399999999999995</v>
      </c>
      <c r="F59" s="56">
        <v>3147.6119013174866</v>
      </c>
      <c r="G59" s="56">
        <f t="shared" si="8"/>
        <v>-3141.2066177359566</v>
      </c>
      <c r="H59" s="57">
        <v>-2248.7829012638572</v>
      </c>
      <c r="I59" s="57">
        <v>-76.886423241168131</v>
      </c>
      <c r="J59" s="57">
        <f t="shared" si="9"/>
        <v>-815.5372932309308</v>
      </c>
      <c r="K59" s="57">
        <v>-877.73358718923009</v>
      </c>
      <c r="L59" s="57">
        <v>13.114030143573165</v>
      </c>
      <c r="M59" s="57">
        <v>49.082263814726126</v>
      </c>
      <c r="N59" s="56">
        <f t="shared" si="10"/>
        <v>6.4052835815300568</v>
      </c>
      <c r="O59" s="56">
        <f t="shared" si="11"/>
        <v>-104267.068</v>
      </c>
      <c r="P59" s="56">
        <f t="shared" si="12"/>
        <v>-3564.9159000000018</v>
      </c>
      <c r="Q59" s="56">
        <f t="shared" si="5"/>
        <v>-37813.202137945336</v>
      </c>
      <c r="R59" s="95">
        <f t="shared" si="6"/>
        <v>145942.17341648659</v>
      </c>
      <c r="S59" s="63"/>
      <c r="T59" s="90"/>
      <c r="U59" s="92" t="s">
        <v>218</v>
      </c>
      <c r="V59" s="93">
        <v>5</v>
      </c>
      <c r="W59" s="41">
        <f t="shared" si="7"/>
        <v>2275748.2440335914</v>
      </c>
    </row>
    <row r="60" spans="1:23" ht="15" customHeight="1" x14ac:dyDescent="0.2">
      <c r="A60" s="41">
        <v>224</v>
      </c>
      <c r="B60" s="75" t="s">
        <v>256</v>
      </c>
      <c r="C60" s="61">
        <v>8977</v>
      </c>
      <c r="D60" s="59">
        <v>20.75</v>
      </c>
      <c r="E60" s="55">
        <v>8.44</v>
      </c>
      <c r="F60" s="56">
        <v>3335.0682774452866</v>
      </c>
      <c r="G60" s="56">
        <f t="shared" si="8"/>
        <v>-3327.7819209371974</v>
      </c>
      <c r="H60" s="57">
        <v>-1862.7258549626824</v>
      </c>
      <c r="I60" s="57">
        <v>-41.278522891834697</v>
      </c>
      <c r="J60" s="57">
        <f t="shared" si="9"/>
        <v>-1423.7775430826805</v>
      </c>
      <c r="K60" s="57">
        <v>-1371.4772178032777</v>
      </c>
      <c r="L60" s="57">
        <v>-18.139604794115318</v>
      </c>
      <c r="M60" s="57">
        <v>-34.160720485287698</v>
      </c>
      <c r="N60" s="56">
        <f t="shared" si="10"/>
        <v>7.286356508089284</v>
      </c>
      <c r="O60" s="56">
        <f t="shared" si="11"/>
        <v>-16721.689999999999</v>
      </c>
      <c r="P60" s="56">
        <f t="shared" si="12"/>
        <v>-370.55730000000011</v>
      </c>
      <c r="Q60" s="56">
        <f t="shared" si="5"/>
        <v>-12781.251004253223</v>
      </c>
      <c r="R60" s="95">
        <f t="shared" si="6"/>
        <v>29938.90792662634</v>
      </c>
      <c r="S60" s="63"/>
      <c r="T60" s="90"/>
      <c r="U60" s="92" t="s">
        <v>215</v>
      </c>
      <c r="V60" s="93">
        <v>1</v>
      </c>
      <c r="W60" s="41">
        <f t="shared" si="7"/>
        <v>-306660.78779642767</v>
      </c>
    </row>
    <row r="61" spans="1:23" ht="15" customHeight="1" x14ac:dyDescent="0.2">
      <c r="A61" s="41">
        <v>140</v>
      </c>
      <c r="B61" s="75" t="s">
        <v>238</v>
      </c>
      <c r="C61" s="61">
        <v>22115</v>
      </c>
      <c r="D61" s="59">
        <v>20.5</v>
      </c>
      <c r="E61" s="55">
        <v>8.19</v>
      </c>
      <c r="F61" s="56">
        <v>3403.2859856214473</v>
      </c>
      <c r="G61" s="56">
        <f t="shared" si="8"/>
        <v>-3396.1906070577224</v>
      </c>
      <c r="H61" s="57">
        <v>-1747.431697942573</v>
      </c>
      <c r="I61" s="57">
        <v>-64.839925390006812</v>
      </c>
      <c r="J61" s="57">
        <f t="shared" si="9"/>
        <v>-1583.9189837251427</v>
      </c>
      <c r="K61" s="57">
        <v>-1922.9825986500075</v>
      </c>
      <c r="L61" s="57">
        <v>200.60777929576773</v>
      </c>
      <c r="M61" s="57">
        <v>138.45583562909709</v>
      </c>
      <c r="N61" s="56">
        <f t="shared" si="10"/>
        <v>7.0953785637248075</v>
      </c>
      <c r="O61" s="56">
        <f t="shared" si="11"/>
        <v>-38644.451999999997</v>
      </c>
      <c r="P61" s="56">
        <f t="shared" si="12"/>
        <v>-1433.9349500000008</v>
      </c>
      <c r="Q61" s="56">
        <f t="shared" si="5"/>
        <v>-35028.36832508153</v>
      </c>
      <c r="R61" s="95">
        <f t="shared" si="6"/>
        <v>75263.669572018305</v>
      </c>
      <c r="S61" s="63"/>
      <c r="T61" s="43"/>
      <c r="U61" s="92" t="s">
        <v>216</v>
      </c>
      <c r="V61" s="93">
        <v>3</v>
      </c>
      <c r="W61" s="41">
        <f t="shared" si="7"/>
        <v>3061950.8049374823</v>
      </c>
    </row>
    <row r="62" spans="1:23" ht="15" customHeight="1" x14ac:dyDescent="0.2">
      <c r="A62" s="41">
        <v>139</v>
      </c>
      <c r="B62" s="75" t="s">
        <v>33</v>
      </c>
      <c r="C62" s="61">
        <v>9666</v>
      </c>
      <c r="D62" s="59">
        <v>21.25</v>
      </c>
      <c r="E62" s="55">
        <v>8.94</v>
      </c>
      <c r="F62" s="56">
        <v>3268.0983255787637</v>
      </c>
      <c r="G62" s="56">
        <f t="shared" si="8"/>
        <v>-3278.9242760598072</v>
      </c>
      <c r="H62" s="57">
        <v>-1542.4567556383199</v>
      </c>
      <c r="I62" s="57">
        <v>-45.21693047796402</v>
      </c>
      <c r="J62" s="57">
        <f t="shared" si="9"/>
        <v>-1691.250589943523</v>
      </c>
      <c r="K62" s="57">
        <v>-1522.3548987872584</v>
      </c>
      <c r="L62" s="57">
        <v>-68.481054832130084</v>
      </c>
      <c r="M62" s="57">
        <v>-100.41463632413463</v>
      </c>
      <c r="N62" s="56">
        <f t="shared" si="10"/>
        <v>-10.825950481043492</v>
      </c>
      <c r="O62" s="56">
        <f t="shared" si="11"/>
        <v>-14909.387000000001</v>
      </c>
      <c r="P62" s="56">
        <f t="shared" si="12"/>
        <v>-437.06685000000022</v>
      </c>
      <c r="Q62" s="56">
        <f t="shared" si="5"/>
        <v>-16347.628202394093</v>
      </c>
      <c r="R62" s="95">
        <f t="shared" si="6"/>
        <v>31589.438415044329</v>
      </c>
      <c r="S62" s="63"/>
      <c r="T62" s="43"/>
      <c r="U62" s="92" t="s">
        <v>217</v>
      </c>
      <c r="V62" s="93">
        <v>4</v>
      </c>
      <c r="W62" s="41">
        <f t="shared" si="7"/>
        <v>-970607.87470908533</v>
      </c>
    </row>
    <row r="63" spans="1:23" ht="15" customHeight="1" x14ac:dyDescent="0.2">
      <c r="A63" s="41">
        <v>142</v>
      </c>
      <c r="B63" s="75" t="s">
        <v>34</v>
      </c>
      <c r="C63" s="61">
        <v>6950</v>
      </c>
      <c r="D63" s="59">
        <v>20.25</v>
      </c>
      <c r="E63" s="55">
        <v>7.9399999999999995</v>
      </c>
      <c r="F63" s="56">
        <v>3456.1334842666261</v>
      </c>
      <c r="G63" s="56">
        <f t="shared" si="8"/>
        <v>-3459.8251916712316</v>
      </c>
      <c r="H63" s="57">
        <v>-1694.8247482014388</v>
      </c>
      <c r="I63" s="57">
        <v>-57.056762589928077</v>
      </c>
      <c r="J63" s="57">
        <f t="shared" si="9"/>
        <v>-1707.9436808798648</v>
      </c>
      <c r="K63" s="57">
        <v>-1757.2258169111597</v>
      </c>
      <c r="L63" s="57">
        <v>23.348915963681655</v>
      </c>
      <c r="M63" s="57">
        <v>25.933220067613178</v>
      </c>
      <c r="N63" s="56">
        <f t="shared" si="10"/>
        <v>-3.691707404605495</v>
      </c>
      <c r="O63" s="56">
        <f t="shared" si="11"/>
        <v>-11779.032000000001</v>
      </c>
      <c r="P63" s="56">
        <f t="shared" si="12"/>
        <v>-396.54450000000014</v>
      </c>
      <c r="Q63" s="56">
        <f t="shared" si="5"/>
        <v>-11870.208582115059</v>
      </c>
      <c r="R63" s="95">
        <f t="shared" si="6"/>
        <v>24020.127715653052</v>
      </c>
      <c r="S63" s="63"/>
      <c r="T63" s="90"/>
      <c r="U63" s="92" t="s">
        <v>239</v>
      </c>
      <c r="V63" s="93">
        <v>5</v>
      </c>
      <c r="W63" s="41">
        <f t="shared" si="7"/>
        <v>180235.8794699116</v>
      </c>
    </row>
    <row r="64" spans="1:23" ht="15" customHeight="1" x14ac:dyDescent="0.2">
      <c r="A64" s="41">
        <v>143</v>
      </c>
      <c r="B64" s="75" t="s">
        <v>240</v>
      </c>
      <c r="C64" s="61">
        <v>7298</v>
      </c>
      <c r="D64" s="59">
        <v>21.25</v>
      </c>
      <c r="E64" s="55">
        <v>8.94</v>
      </c>
      <c r="F64" s="56">
        <v>3556.9529245241156</v>
      </c>
      <c r="G64" s="56">
        <f t="shared" si="8"/>
        <v>-3549.8446773355058</v>
      </c>
      <c r="H64" s="57">
        <v>-1609.2632228007674</v>
      </c>
      <c r="I64" s="57">
        <v>-67.172095094546478</v>
      </c>
      <c r="J64" s="57">
        <f t="shared" si="9"/>
        <v>-1873.409359440192</v>
      </c>
      <c r="K64" s="57">
        <v>-1940.410469900118</v>
      </c>
      <c r="L64" s="57">
        <v>13.582838211975131</v>
      </c>
      <c r="M64" s="57">
        <v>53.418272247950782</v>
      </c>
      <c r="N64" s="56">
        <f t="shared" si="10"/>
        <v>7.1082471886097665</v>
      </c>
      <c r="O64" s="56">
        <f t="shared" si="11"/>
        <v>-11744.403</v>
      </c>
      <c r="P64" s="56">
        <f t="shared" si="12"/>
        <v>-490.22195000000022</v>
      </c>
      <c r="Q64" s="56">
        <f t="shared" si="5"/>
        <v>-13672.141505194521</v>
      </c>
      <c r="R64" s="95">
        <f t="shared" si="6"/>
        <v>25958.642443176996</v>
      </c>
      <c r="S64" s="63"/>
      <c r="T64" s="43"/>
      <c r="U64" s="92" t="s">
        <v>230</v>
      </c>
      <c r="V64" s="93">
        <v>3</v>
      </c>
      <c r="W64" s="41">
        <f t="shared" si="7"/>
        <v>389846.55086554482</v>
      </c>
    </row>
    <row r="65" spans="1:23" ht="15" customHeight="1" x14ac:dyDescent="0.2">
      <c r="A65" s="41">
        <v>145</v>
      </c>
      <c r="B65" s="75" t="s">
        <v>35</v>
      </c>
      <c r="C65" s="61">
        <v>12181</v>
      </c>
      <c r="D65" s="59">
        <v>20.25</v>
      </c>
      <c r="E65" s="55">
        <v>7.9399999999999995</v>
      </c>
      <c r="F65" s="56">
        <v>3202.7317772228594</v>
      </c>
      <c r="G65" s="56">
        <f t="shared" si="8"/>
        <v>-3195.373511710407</v>
      </c>
      <c r="H65" s="57">
        <v>-1705.6950168294886</v>
      </c>
      <c r="I65" s="57">
        <v>-30.082279779985232</v>
      </c>
      <c r="J65" s="57">
        <f t="shared" si="9"/>
        <v>-1459.596215100933</v>
      </c>
      <c r="K65" s="57">
        <v>-1486.5828412987335</v>
      </c>
      <c r="L65" s="57">
        <v>64.740169659643158</v>
      </c>
      <c r="M65" s="57">
        <v>-37.753543461842838</v>
      </c>
      <c r="N65" s="56">
        <f t="shared" si="10"/>
        <v>7.3582655124523626</v>
      </c>
      <c r="O65" s="56">
        <f t="shared" si="11"/>
        <v>-20777.071</v>
      </c>
      <c r="P65" s="56">
        <f t="shared" si="12"/>
        <v>-366.43225000000012</v>
      </c>
      <c r="Q65" s="56">
        <f t="shared" si="5"/>
        <v>-17779.341496144465</v>
      </c>
      <c r="R65" s="95">
        <f t="shared" si="6"/>
        <v>39012.475778351647</v>
      </c>
      <c r="S65" s="63"/>
      <c r="T65" s="90"/>
      <c r="U65" s="92" t="s">
        <v>214</v>
      </c>
      <c r="V65" s="93">
        <v>3</v>
      </c>
      <c r="W65" s="41">
        <f t="shared" si="7"/>
        <v>-459875.91290870763</v>
      </c>
    </row>
    <row r="66" spans="1:23" ht="15" customHeight="1" x14ac:dyDescent="0.2">
      <c r="A66" s="41">
        <v>146</v>
      </c>
      <c r="B66" s="75" t="s">
        <v>241</v>
      </c>
      <c r="C66" s="61">
        <v>5504</v>
      </c>
      <c r="D66" s="59">
        <v>20.75</v>
      </c>
      <c r="E66" s="55">
        <v>8.44</v>
      </c>
      <c r="F66" s="56">
        <v>4854.8214549746099</v>
      </c>
      <c r="G66" s="56">
        <f t="shared" si="8"/>
        <v>-4851.4572845162393</v>
      </c>
      <c r="H66" s="57">
        <v>-1481.6984011627908</v>
      </c>
      <c r="I66" s="57">
        <v>-176.54566678779079</v>
      </c>
      <c r="J66" s="57">
        <f t="shared" si="9"/>
        <v>-3193.2132165656576</v>
      </c>
      <c r="K66" s="57">
        <v>-3451.7517820483713</v>
      </c>
      <c r="L66" s="57">
        <v>187.58898349341931</v>
      </c>
      <c r="M66" s="57">
        <v>70.949581989294444</v>
      </c>
      <c r="N66" s="56">
        <f t="shared" si="10"/>
        <v>3.3641704583706087</v>
      </c>
      <c r="O66" s="56">
        <f t="shared" si="11"/>
        <v>-8155.2680000000009</v>
      </c>
      <c r="P66" s="56">
        <f t="shared" si="12"/>
        <v>-971.70735000000059</v>
      </c>
      <c r="Q66" s="56">
        <f t="shared" si="5"/>
        <v>-17575.445543977381</v>
      </c>
      <c r="R66" s="95">
        <f t="shared" si="6"/>
        <v>26720.937288180256</v>
      </c>
      <c r="S66" s="63"/>
      <c r="T66" s="43"/>
      <c r="U66" s="92" t="s">
        <v>215</v>
      </c>
      <c r="V66" s="93">
        <v>4</v>
      </c>
      <c r="W66" s="41">
        <f t="shared" si="7"/>
        <v>390506.49926907662</v>
      </c>
    </row>
    <row r="67" spans="1:23" ht="15" customHeight="1" x14ac:dyDescent="0.2">
      <c r="A67" s="41">
        <v>153</v>
      </c>
      <c r="B67" s="75" t="s">
        <v>36</v>
      </c>
      <c r="C67" s="61">
        <v>28037</v>
      </c>
      <c r="D67" s="59">
        <v>20</v>
      </c>
      <c r="E67" s="55">
        <v>7.6899999999999995</v>
      </c>
      <c r="F67" s="56">
        <v>3167.2531872979212</v>
      </c>
      <c r="G67" s="56">
        <f t="shared" si="8"/>
        <v>-3165.2781026876864</v>
      </c>
      <c r="H67" s="57">
        <v>-2040.7760816064485</v>
      </c>
      <c r="I67" s="57">
        <v>-44.674421300424456</v>
      </c>
      <c r="J67" s="57">
        <f t="shared" si="9"/>
        <v>-1079.8275997808134</v>
      </c>
      <c r="K67" s="57">
        <v>-1784.0182028024492</v>
      </c>
      <c r="L67" s="57">
        <v>397.99317684400239</v>
      </c>
      <c r="M67" s="57">
        <v>306.1974261776333</v>
      </c>
      <c r="N67" s="56">
        <f t="shared" si="10"/>
        <v>1.9750846102347168</v>
      </c>
      <c r="O67" s="56">
        <f t="shared" si="11"/>
        <v>-57217.239000000001</v>
      </c>
      <c r="P67" s="56">
        <f t="shared" si="12"/>
        <v>-1252.5367500000004</v>
      </c>
      <c r="Q67" s="56">
        <f t="shared" si="5"/>
        <v>-30275.126415054667</v>
      </c>
      <c r="R67" s="95">
        <f t="shared" si="6"/>
        <v>88800.277612271821</v>
      </c>
      <c r="S67" s="63"/>
      <c r="T67" s="90"/>
      <c r="U67" s="92" t="s">
        <v>242</v>
      </c>
      <c r="V67" s="93">
        <v>3</v>
      </c>
      <c r="W67" s="41">
        <f t="shared" si="7"/>
        <v>8584857.2377423048</v>
      </c>
    </row>
    <row r="68" spans="1:23" ht="15" customHeight="1" x14ac:dyDescent="0.2">
      <c r="A68" s="41">
        <v>149</v>
      </c>
      <c r="B68" s="75" t="s">
        <v>245</v>
      </c>
      <c r="C68" s="61">
        <v>5560</v>
      </c>
      <c r="D68" s="59">
        <v>20.75</v>
      </c>
      <c r="E68" s="55">
        <v>8.44</v>
      </c>
      <c r="F68" s="56">
        <v>2989.5046434629639</v>
      </c>
      <c r="G68" s="56">
        <f t="shared" si="8"/>
        <v>-2984.0000465042431</v>
      </c>
      <c r="H68" s="57">
        <v>-2249.6697841726618</v>
      </c>
      <c r="I68" s="57">
        <v>-76.670593525179882</v>
      </c>
      <c r="J68" s="57">
        <f t="shared" si="9"/>
        <v>-657.65966880640167</v>
      </c>
      <c r="K68" s="57">
        <v>-618.34826061148954</v>
      </c>
      <c r="L68" s="57">
        <v>15.282392091690788</v>
      </c>
      <c r="M68" s="57">
        <v>-54.593800286602942</v>
      </c>
      <c r="N68" s="56">
        <f t="shared" si="10"/>
        <v>5.5045969587208674</v>
      </c>
      <c r="O68" s="56">
        <f t="shared" si="11"/>
        <v>-12508.164000000001</v>
      </c>
      <c r="P68" s="56">
        <f t="shared" si="12"/>
        <v>-426.28850000000011</v>
      </c>
      <c r="Q68" s="56">
        <f t="shared" si="5"/>
        <v>-3656.5877585635935</v>
      </c>
      <c r="R68" s="95">
        <f t="shared" si="6"/>
        <v>16621.64581765408</v>
      </c>
      <c r="S68" s="63"/>
      <c r="T68" s="90"/>
      <c r="U68" s="92" t="s">
        <v>218</v>
      </c>
      <c r="V68" s="93">
        <v>3</v>
      </c>
      <c r="W68" s="41">
        <f t="shared" si="7"/>
        <v>-303541.52959351236</v>
      </c>
    </row>
    <row r="69" spans="1:23" ht="15" customHeight="1" x14ac:dyDescent="0.2">
      <c r="A69" s="41">
        <v>598</v>
      </c>
      <c r="B69" s="75" t="s">
        <v>291</v>
      </c>
      <c r="C69" s="61">
        <v>19577</v>
      </c>
      <c r="D69" s="59">
        <v>21.25</v>
      </c>
      <c r="E69" s="55">
        <v>8.94</v>
      </c>
      <c r="F69" s="56">
        <v>3728.5971393423674</v>
      </c>
      <c r="G69" s="56">
        <f t="shared" si="8"/>
        <v>-3723.9860745011174</v>
      </c>
      <c r="H69" s="57">
        <v>-1990.4649333401439</v>
      </c>
      <c r="I69" s="57">
        <v>-86.434979823262026</v>
      </c>
      <c r="J69" s="57">
        <f t="shared" si="9"/>
        <v>-1647.0861613377117</v>
      </c>
      <c r="K69" s="57">
        <v>-1386.3443506222575</v>
      </c>
      <c r="L69" s="57">
        <v>-166.10461830518355</v>
      </c>
      <c r="M69" s="57">
        <v>-94.637192410270757</v>
      </c>
      <c r="N69" s="56">
        <f t="shared" si="10"/>
        <v>4.6110648412500268</v>
      </c>
      <c r="O69" s="56">
        <f t="shared" si="11"/>
        <v>-38967.332000000002</v>
      </c>
      <c r="P69" s="56">
        <f t="shared" si="12"/>
        <v>-1692.1376000000009</v>
      </c>
      <c r="Q69" s="56">
        <f t="shared" si="5"/>
        <v>-32245.005780508382</v>
      </c>
      <c r="R69" s="95">
        <f t="shared" si="6"/>
        <v>72994.746196905529</v>
      </c>
      <c r="S69" s="63"/>
      <c r="T69" s="90"/>
      <c r="U69" s="92" t="s">
        <v>248</v>
      </c>
      <c r="V69" s="93">
        <v>4</v>
      </c>
      <c r="W69" s="41">
        <f t="shared" si="7"/>
        <v>-1852712.3158158707</v>
      </c>
    </row>
    <row r="70" spans="1:23" ht="15" customHeight="1" x14ac:dyDescent="0.2">
      <c r="A70" s="41">
        <v>165</v>
      </c>
      <c r="B70" s="75" t="s">
        <v>37</v>
      </c>
      <c r="C70" s="61">
        <v>16840</v>
      </c>
      <c r="D70" s="59">
        <v>20.5</v>
      </c>
      <c r="E70" s="55">
        <v>8.19</v>
      </c>
      <c r="F70" s="56">
        <v>3054.617927254742</v>
      </c>
      <c r="G70" s="56">
        <f t="shared" si="8"/>
        <v>-3047.2517697642743</v>
      </c>
      <c r="H70" s="57">
        <v>-1994.0027909738717</v>
      </c>
      <c r="I70" s="57">
        <v>-44.546015439429951</v>
      </c>
      <c r="J70" s="57">
        <f t="shared" si="9"/>
        <v>-1008.7029633509727</v>
      </c>
      <c r="K70" s="57">
        <v>-1010.9196891519748</v>
      </c>
      <c r="L70" s="57">
        <v>21.900172034701644</v>
      </c>
      <c r="M70" s="57">
        <v>-19.683446233699513</v>
      </c>
      <c r="N70" s="56">
        <f t="shared" si="10"/>
        <v>7.3661574904676854</v>
      </c>
      <c r="O70" s="56">
        <f t="shared" si="11"/>
        <v>-33579.006999999998</v>
      </c>
      <c r="P70" s="56">
        <f t="shared" si="12"/>
        <v>-750.15490000000034</v>
      </c>
      <c r="Q70" s="56">
        <f t="shared" si="5"/>
        <v>-16986.55790283038</v>
      </c>
      <c r="R70" s="95">
        <f t="shared" si="6"/>
        <v>51439.76589496986</v>
      </c>
      <c r="S70" s="63"/>
      <c r="T70" s="43"/>
      <c r="U70" s="92" t="s">
        <v>243</v>
      </c>
      <c r="V70" s="93">
        <v>5</v>
      </c>
      <c r="W70" s="41">
        <f t="shared" si="7"/>
        <v>-331469.23457549978</v>
      </c>
    </row>
    <row r="71" spans="1:23" ht="15" customHeight="1" x14ac:dyDescent="0.2">
      <c r="A71" s="41">
        <v>169</v>
      </c>
      <c r="B71" s="75" t="s">
        <v>249</v>
      </c>
      <c r="C71" s="61">
        <v>5516</v>
      </c>
      <c r="D71" s="59">
        <v>20.5</v>
      </c>
      <c r="E71" s="55">
        <v>8.19</v>
      </c>
      <c r="F71" s="56">
        <v>2787.5309502141572</v>
      </c>
      <c r="G71" s="56">
        <f t="shared" si="8"/>
        <v>-2780.5301072082539</v>
      </c>
      <c r="H71" s="57">
        <v>-1862.2345902828135</v>
      </c>
      <c r="I71" s="57">
        <v>-48.985333575054405</v>
      </c>
      <c r="J71" s="57">
        <f t="shared" si="9"/>
        <v>-869.31018335038561</v>
      </c>
      <c r="K71" s="57">
        <v>-1293.895924470517</v>
      </c>
      <c r="L71" s="57">
        <v>251.91691038255132</v>
      </c>
      <c r="M71" s="57">
        <v>172.66883073758001</v>
      </c>
      <c r="N71" s="56">
        <f t="shared" si="10"/>
        <v>7.0008430059033344</v>
      </c>
      <c r="O71" s="56">
        <f t="shared" si="11"/>
        <v>-10272.085999999999</v>
      </c>
      <c r="P71" s="56">
        <f t="shared" si="12"/>
        <v>-270.20310000000012</v>
      </c>
      <c r="Q71" s="56">
        <f t="shared" si="5"/>
        <v>-4795.1149713607274</v>
      </c>
      <c r="R71" s="95">
        <f t="shared" si="6"/>
        <v>15376.020721381292</v>
      </c>
      <c r="S71" s="62"/>
      <c r="T71" s="43"/>
      <c r="U71" s="92" t="s">
        <v>242</v>
      </c>
      <c r="V71" s="93">
        <v>6</v>
      </c>
      <c r="W71" s="41">
        <f t="shared" si="7"/>
        <v>952441.27034849138</v>
      </c>
    </row>
    <row r="72" spans="1:23" ht="15" customHeight="1" x14ac:dyDescent="0.2">
      <c r="A72" s="41">
        <v>167</v>
      </c>
      <c r="B72" s="75" t="s">
        <v>38</v>
      </c>
      <c r="C72" s="61">
        <v>75041</v>
      </c>
      <c r="D72" s="59">
        <v>20.5</v>
      </c>
      <c r="E72" s="55">
        <v>8.19</v>
      </c>
      <c r="F72" s="56">
        <v>3181.4015011948882</v>
      </c>
      <c r="G72" s="56">
        <f t="shared" si="8"/>
        <v>-3175.9185499243281</v>
      </c>
      <c r="H72" s="57">
        <v>-1726.8426193680789</v>
      </c>
      <c r="I72" s="57">
        <v>-74.776109726682762</v>
      </c>
      <c r="J72" s="57">
        <f t="shared" si="9"/>
        <v>-1374.2998208295664</v>
      </c>
      <c r="K72" s="57">
        <v>-1475.61898066091</v>
      </c>
      <c r="L72" s="57">
        <v>32.281614162720004</v>
      </c>
      <c r="M72" s="57">
        <v>69.037545668623579</v>
      </c>
      <c r="N72" s="56">
        <f t="shared" si="10"/>
        <v>5.4829512705600791</v>
      </c>
      <c r="O72" s="56">
        <f t="shared" si="11"/>
        <v>-129583.99700000002</v>
      </c>
      <c r="P72" s="56">
        <f t="shared" si="12"/>
        <v>-5611.2740500000009</v>
      </c>
      <c r="Q72" s="56">
        <f t="shared" si="5"/>
        <v>-103128.83285487149</v>
      </c>
      <c r="R72" s="95">
        <f t="shared" si="6"/>
        <v>238735.55005116563</v>
      </c>
      <c r="S72" s="63"/>
      <c r="T72" s="43"/>
      <c r="U72" s="92" t="s">
        <v>226</v>
      </c>
      <c r="V72" s="93">
        <v>4</v>
      </c>
      <c r="W72" s="41">
        <f t="shared" si="7"/>
        <v>5180646.4645191822</v>
      </c>
    </row>
    <row r="73" spans="1:23" ht="15" customHeight="1" x14ac:dyDescent="0.2">
      <c r="A73" s="41">
        <v>171</v>
      </c>
      <c r="B73" s="75" t="s">
        <v>250</v>
      </c>
      <c r="C73" s="61">
        <v>5178</v>
      </c>
      <c r="D73" s="59">
        <v>20.25</v>
      </c>
      <c r="E73" s="55">
        <v>7.9399999999999995</v>
      </c>
      <c r="F73" s="56">
        <v>3568.3547797247056</v>
      </c>
      <c r="G73" s="56">
        <f t="shared" si="8"/>
        <v>-3560.9809722610744</v>
      </c>
      <c r="H73" s="57">
        <v>-1673.0928930088837</v>
      </c>
      <c r="I73" s="57">
        <v>-82.807908458864446</v>
      </c>
      <c r="J73" s="57">
        <f t="shared" si="9"/>
        <v>-1805.080170793326</v>
      </c>
      <c r="K73" s="57">
        <v>-1956.8484257559671</v>
      </c>
      <c r="L73" s="57">
        <v>122.60950295357826</v>
      </c>
      <c r="M73" s="57">
        <v>29.158752009063051</v>
      </c>
      <c r="N73" s="56">
        <f t="shared" si="10"/>
        <v>7.3738074636312376</v>
      </c>
      <c r="O73" s="56">
        <f t="shared" si="11"/>
        <v>-8663.2749999999996</v>
      </c>
      <c r="P73" s="56">
        <f t="shared" si="12"/>
        <v>-428.77935000000008</v>
      </c>
      <c r="Q73" s="56">
        <f t="shared" si="5"/>
        <v>-9346.7051243678434</v>
      </c>
      <c r="R73" s="95">
        <f t="shared" si="6"/>
        <v>18476.941049414527</v>
      </c>
      <c r="S73" s="63"/>
      <c r="T73" s="90"/>
      <c r="U73" s="92" t="s">
        <v>226</v>
      </c>
      <c r="V73" s="93">
        <v>3</v>
      </c>
      <c r="W73" s="41">
        <f t="shared" si="7"/>
        <v>150984.01790292846</v>
      </c>
    </row>
    <row r="74" spans="1:23" ht="15" customHeight="1" x14ac:dyDescent="0.2">
      <c r="A74" s="41">
        <v>172</v>
      </c>
      <c r="B74" s="75" t="s">
        <v>39</v>
      </c>
      <c r="C74" s="61">
        <v>4782</v>
      </c>
      <c r="D74" s="59">
        <v>21</v>
      </c>
      <c r="E74" s="55">
        <v>8.69</v>
      </c>
      <c r="F74" s="56">
        <v>3805.2303157990946</v>
      </c>
      <c r="G74" s="56">
        <f t="shared" si="8"/>
        <v>-3797.8462273716514</v>
      </c>
      <c r="H74" s="57">
        <v>-1451.3101212881641</v>
      </c>
      <c r="I74" s="57">
        <v>-84.926913425345091</v>
      </c>
      <c r="J74" s="57">
        <f t="shared" si="9"/>
        <v>-2261.6091926581421</v>
      </c>
      <c r="K74" s="57">
        <v>-2753.1047560064485</v>
      </c>
      <c r="L74" s="57">
        <v>304.36217361201039</v>
      </c>
      <c r="M74" s="57">
        <v>187.13338973629607</v>
      </c>
      <c r="N74" s="56">
        <f t="shared" si="10"/>
        <v>7.3840884274432028</v>
      </c>
      <c r="O74" s="56">
        <f t="shared" si="11"/>
        <v>-6940.1650000000009</v>
      </c>
      <c r="P74" s="56">
        <f t="shared" si="12"/>
        <v>-406.12050000000022</v>
      </c>
      <c r="Q74" s="56">
        <f t="shared" si="5"/>
        <v>-10815.015159291235</v>
      </c>
      <c r="R74" s="95">
        <f t="shared" si="6"/>
        <v>18196.61137015127</v>
      </c>
      <c r="S74" s="63"/>
      <c r="T74" s="90"/>
      <c r="U74" s="92" t="s">
        <v>220</v>
      </c>
      <c r="V74" s="93">
        <v>3</v>
      </c>
      <c r="W74" s="41">
        <f t="shared" si="7"/>
        <v>894871.86971896782</v>
      </c>
    </row>
    <row r="75" spans="1:23" ht="15" customHeight="1" x14ac:dyDescent="0.2">
      <c r="A75" s="41">
        <v>174</v>
      </c>
      <c r="B75" s="75" t="s">
        <v>40</v>
      </c>
      <c r="C75" s="61">
        <v>4882</v>
      </c>
      <c r="D75" s="59">
        <v>21.5</v>
      </c>
      <c r="E75" s="55">
        <v>9.19</v>
      </c>
      <c r="F75" s="56">
        <v>4453.4463215682254</v>
      </c>
      <c r="G75" s="56">
        <f t="shared" si="8"/>
        <v>-4447.7394781634539</v>
      </c>
      <c r="H75" s="57">
        <v>-1562.9883244571897</v>
      </c>
      <c r="I75" s="57">
        <v>-43.170124948791489</v>
      </c>
      <c r="J75" s="57">
        <f t="shared" si="9"/>
        <v>-2841.5810287574723</v>
      </c>
      <c r="K75" s="57">
        <v>-2853.8239828520445</v>
      </c>
      <c r="L75" s="57">
        <v>-6.0240702509414907</v>
      </c>
      <c r="M75" s="57">
        <v>18.267024345513619</v>
      </c>
      <c r="N75" s="56">
        <f t="shared" si="10"/>
        <v>5.7068434047714618</v>
      </c>
      <c r="O75" s="56">
        <f t="shared" si="11"/>
        <v>-7630.509</v>
      </c>
      <c r="P75" s="56">
        <f t="shared" si="12"/>
        <v>-210.75655000000006</v>
      </c>
      <c r="Q75" s="56">
        <f t="shared" si="5"/>
        <v>-13872.598582393979</v>
      </c>
      <c r="R75" s="95">
        <f t="shared" si="6"/>
        <v>21741.724941896078</v>
      </c>
      <c r="S75" s="63"/>
      <c r="T75" s="43"/>
      <c r="U75" s="92" t="s">
        <v>231</v>
      </c>
      <c r="V75" s="93">
        <v>2</v>
      </c>
      <c r="W75" s="41">
        <f t="shared" si="7"/>
        <v>89179.61285479748</v>
      </c>
    </row>
    <row r="76" spans="1:23" ht="15" customHeight="1" x14ac:dyDescent="0.2">
      <c r="A76" s="41">
        <v>176</v>
      </c>
      <c r="B76" s="75" t="s">
        <v>41</v>
      </c>
      <c r="C76" s="61">
        <v>5140</v>
      </c>
      <c r="D76" s="59">
        <v>20.75</v>
      </c>
      <c r="E76" s="55">
        <v>8.44</v>
      </c>
      <c r="F76" s="56">
        <v>4742.7384587208726</v>
      </c>
      <c r="G76" s="56">
        <f t="shared" si="8"/>
        <v>-4735.3583182031489</v>
      </c>
      <c r="H76" s="57">
        <v>-1359.7110894941634</v>
      </c>
      <c r="I76" s="57">
        <v>-106.92501945525296</v>
      </c>
      <c r="J76" s="57">
        <f t="shared" si="9"/>
        <v>-3268.7222092537322</v>
      </c>
      <c r="K76" s="57">
        <v>-3388.0047191217091</v>
      </c>
      <c r="L76" s="57">
        <v>44.447100316973852</v>
      </c>
      <c r="M76" s="57">
        <v>74.835409551003266</v>
      </c>
      <c r="N76" s="56">
        <f t="shared" si="10"/>
        <v>7.3801405177237029</v>
      </c>
      <c r="O76" s="56">
        <f t="shared" si="11"/>
        <v>-6988.915</v>
      </c>
      <c r="P76" s="56">
        <f t="shared" si="12"/>
        <v>-549.59460000000024</v>
      </c>
      <c r="Q76" s="56">
        <f t="shared" si="5"/>
        <v>-16801.232155564187</v>
      </c>
      <c r="R76" s="95">
        <f t="shared" si="6"/>
        <v>24377.675677825282</v>
      </c>
      <c r="S76" s="63"/>
      <c r="T76" s="43"/>
      <c r="U76" s="92" t="s">
        <v>239</v>
      </c>
      <c r="V76" s="93">
        <v>2</v>
      </c>
      <c r="W76" s="41">
        <f t="shared" si="7"/>
        <v>384654.00509215682</v>
      </c>
    </row>
    <row r="77" spans="1:23" ht="15" customHeight="1" x14ac:dyDescent="0.2">
      <c r="A77" s="41">
        <v>177</v>
      </c>
      <c r="B77" s="75" t="s">
        <v>42</v>
      </c>
      <c r="C77" s="61">
        <v>2033</v>
      </c>
      <c r="D77" s="59">
        <v>21</v>
      </c>
      <c r="E77" s="55">
        <v>8.69</v>
      </c>
      <c r="F77" s="56">
        <v>3416.2199830999548</v>
      </c>
      <c r="G77" s="56">
        <f t="shared" si="8"/>
        <v>-3408.8505625249654</v>
      </c>
      <c r="H77" s="57">
        <v>-1664.86325627152</v>
      </c>
      <c r="I77" s="57">
        <v>-121.91593703885887</v>
      </c>
      <c r="J77" s="57">
        <f t="shared" si="9"/>
        <v>-1622.0713692145869</v>
      </c>
      <c r="K77" s="57">
        <v>-1698.045793000776</v>
      </c>
      <c r="L77" s="57">
        <v>9.0587481263894478</v>
      </c>
      <c r="M77" s="57">
        <v>66.915675659799717</v>
      </c>
      <c r="N77" s="56">
        <f t="shared" si="10"/>
        <v>7.3694205749893626</v>
      </c>
      <c r="O77" s="56">
        <f t="shared" si="11"/>
        <v>-3384.6669999999999</v>
      </c>
      <c r="P77" s="56">
        <f t="shared" si="12"/>
        <v>-247.85510000000011</v>
      </c>
      <c r="Q77" s="56">
        <f t="shared" si="5"/>
        <v>-3297.6710936132554</v>
      </c>
      <c r="R77" s="95">
        <f t="shared" si="6"/>
        <v>6945.1752256422078</v>
      </c>
      <c r="S77" s="63"/>
      <c r="T77" s="43"/>
      <c r="U77" s="92" t="s">
        <v>242</v>
      </c>
      <c r="V77" s="93">
        <v>3</v>
      </c>
      <c r="W77" s="41">
        <f t="shared" si="7"/>
        <v>136039.56861637282</v>
      </c>
    </row>
    <row r="78" spans="1:23" ht="15" customHeight="1" x14ac:dyDescent="0.2">
      <c r="A78" s="41">
        <v>178</v>
      </c>
      <c r="B78" s="75" t="s">
        <v>43</v>
      </c>
      <c r="C78" s="61">
        <v>6616</v>
      </c>
      <c r="D78" s="59">
        <v>19.75</v>
      </c>
      <c r="E78" s="55">
        <v>7.4399999999999995</v>
      </c>
      <c r="F78" s="56">
        <v>3897.4053435086048</v>
      </c>
      <c r="G78" s="56">
        <f t="shared" si="8"/>
        <v>-3890.0274824482985</v>
      </c>
      <c r="H78" s="57">
        <v>-1457.3476420798065</v>
      </c>
      <c r="I78" s="57">
        <v>-109.73035066505444</v>
      </c>
      <c r="J78" s="57">
        <f t="shared" si="9"/>
        <v>-2322.9494897034378</v>
      </c>
      <c r="K78" s="57">
        <v>-2883.7919322990633</v>
      </c>
      <c r="L78" s="57">
        <v>373.55872351675771</v>
      </c>
      <c r="M78" s="57">
        <v>187.28371907886782</v>
      </c>
      <c r="N78" s="56">
        <f t="shared" si="10"/>
        <v>7.3778610603062589</v>
      </c>
      <c r="O78" s="56">
        <f t="shared" si="11"/>
        <v>-9641.8119999999999</v>
      </c>
      <c r="P78" s="56">
        <f t="shared" si="12"/>
        <v>-725.97600000000023</v>
      </c>
      <c r="Q78" s="56">
        <f t="shared" si="5"/>
        <v>-15368.633823877946</v>
      </c>
      <c r="R78" s="95">
        <f t="shared" si="6"/>
        <v>25785.23375265293</v>
      </c>
      <c r="S78" s="63"/>
      <c r="T78" s="43"/>
      <c r="U78" s="92" t="s">
        <v>214</v>
      </c>
      <c r="V78" s="93">
        <v>1</v>
      </c>
      <c r="W78" s="41">
        <f t="shared" si="7"/>
        <v>1239069.0854257895</v>
      </c>
    </row>
    <row r="79" spans="1:23" ht="15" customHeight="1" x14ac:dyDescent="0.2">
      <c r="A79" s="41">
        <v>179</v>
      </c>
      <c r="B79" s="75" t="s">
        <v>44</v>
      </c>
      <c r="C79" s="61">
        <v>135780</v>
      </c>
      <c r="D79" s="59">
        <v>20</v>
      </c>
      <c r="E79" s="55">
        <v>7.6899999999999995</v>
      </c>
      <c r="F79" s="56">
        <v>2837.2449633814376</v>
      </c>
      <c r="G79" s="56">
        <f t="shared" si="8"/>
        <v>-2829.8884621070993</v>
      </c>
      <c r="H79" s="57">
        <v>-1898.6209677419354</v>
      </c>
      <c r="I79" s="57">
        <v>-51.207681175430864</v>
      </c>
      <c r="J79" s="57">
        <f t="shared" si="9"/>
        <v>-880.05981318973318</v>
      </c>
      <c r="K79" s="57">
        <v>-976.81738766185663</v>
      </c>
      <c r="L79" s="57">
        <v>20.54677337448085</v>
      </c>
      <c r="M79" s="57">
        <v>76.210801097642573</v>
      </c>
      <c r="N79" s="56">
        <f t="shared" si="10"/>
        <v>7.3565012743383704</v>
      </c>
      <c r="O79" s="56">
        <f t="shared" si="11"/>
        <v>-257794.75499999998</v>
      </c>
      <c r="P79" s="56">
        <f t="shared" si="12"/>
        <v>-6952.9789500000034</v>
      </c>
      <c r="Q79" s="56">
        <f t="shared" ref="Q79:Q142" si="13">C79*J79*0.001</f>
        <v>-119494.52143490197</v>
      </c>
      <c r="R79" s="95">
        <f t="shared" ref="R79:R142" si="14">F79*C79*0.001</f>
        <v>385241.12112793158</v>
      </c>
      <c r="S79" s="63"/>
      <c r="T79" s="43"/>
      <c r="U79" s="92" t="s">
        <v>220</v>
      </c>
      <c r="V79" s="93">
        <v>3</v>
      </c>
      <c r="W79" s="41">
        <f t="shared" ref="W79:W142" si="15">M79*C79</f>
        <v>10347902.573037909</v>
      </c>
    </row>
    <row r="80" spans="1:23" ht="15" customHeight="1" x14ac:dyDescent="0.2">
      <c r="A80" s="41">
        <v>181</v>
      </c>
      <c r="B80" s="75" t="s">
        <v>45</v>
      </c>
      <c r="C80" s="61">
        <v>1997</v>
      </c>
      <c r="D80" s="59">
        <v>21.5</v>
      </c>
      <c r="E80" s="55">
        <v>9.19</v>
      </c>
      <c r="F80" s="56">
        <v>3816.138812381259</v>
      </c>
      <c r="G80" s="56">
        <f t="shared" ref="G80:G143" si="16">H80+I80+J80</f>
        <v>-3808.7877902056416</v>
      </c>
      <c r="H80" s="57">
        <v>-1375.4306459689535</v>
      </c>
      <c r="I80" s="57">
        <v>-45.056209313970975</v>
      </c>
      <c r="J80" s="57">
        <f t="shared" ref="J80:J143" si="17">K80+L80+M80</f>
        <v>-2388.3009349227168</v>
      </c>
      <c r="K80" s="57">
        <v>-2173.4523532832536</v>
      </c>
      <c r="L80" s="57">
        <v>-127.82605781993318</v>
      </c>
      <c r="M80" s="57">
        <v>-87.022523819529752</v>
      </c>
      <c r="N80" s="56">
        <f t="shared" ref="N80:N143" si="18">F80+G80</f>
        <v>7.3510221756173451</v>
      </c>
      <c r="O80" s="56">
        <f t="shared" ref="O80:O143" si="19">C80*H80*0.001</f>
        <v>-2746.7350000000001</v>
      </c>
      <c r="P80" s="56">
        <f t="shared" ref="P80:P143" si="20">C80*I80*0.001</f>
        <v>-89.977250000000026</v>
      </c>
      <c r="Q80" s="56">
        <f t="shared" si="13"/>
        <v>-4769.4369670406659</v>
      </c>
      <c r="R80" s="95">
        <f t="shared" si="14"/>
        <v>7620.8292083253737</v>
      </c>
      <c r="S80" s="62"/>
      <c r="T80" s="43"/>
      <c r="U80" s="92" t="s">
        <v>231</v>
      </c>
      <c r="V80" s="93">
        <v>7</v>
      </c>
      <c r="W80" s="41">
        <f t="shared" si="15"/>
        <v>-173783.9800676009</v>
      </c>
    </row>
    <row r="81" spans="1:23" ht="15" customHeight="1" x14ac:dyDescent="0.2">
      <c r="A81" s="41">
        <v>182</v>
      </c>
      <c r="B81" s="75" t="s">
        <v>251</v>
      </c>
      <c r="C81" s="61">
        <v>21808</v>
      </c>
      <c r="D81" s="59">
        <v>21</v>
      </c>
      <c r="E81" s="55">
        <v>8.69</v>
      </c>
      <c r="F81" s="56">
        <v>3723.2765643264202</v>
      </c>
      <c r="G81" s="56">
        <f t="shared" si="16"/>
        <v>-3717.0438971119265</v>
      </c>
      <c r="H81" s="57">
        <v>-1933.4661592076302</v>
      </c>
      <c r="I81" s="57">
        <v>-135.77749679016875</v>
      </c>
      <c r="J81" s="57">
        <f t="shared" si="17"/>
        <v>-1647.8002411141276</v>
      </c>
      <c r="K81" s="57">
        <v>-1913.868030909963</v>
      </c>
      <c r="L81" s="57">
        <v>125.1492862110845</v>
      </c>
      <c r="M81" s="57">
        <v>140.91850358475094</v>
      </c>
      <c r="N81" s="56">
        <f t="shared" si="18"/>
        <v>6.232667214493631</v>
      </c>
      <c r="O81" s="56">
        <f t="shared" si="19"/>
        <v>-42165.03</v>
      </c>
      <c r="P81" s="56">
        <f t="shared" si="20"/>
        <v>-2961.0356500000003</v>
      </c>
      <c r="Q81" s="56">
        <f t="shared" si="13"/>
        <v>-35935.227658216892</v>
      </c>
      <c r="R81" s="95">
        <f t="shared" si="14"/>
        <v>81197.215314830566</v>
      </c>
      <c r="S81" s="63"/>
      <c r="T81" s="43"/>
      <c r="U81" s="92" t="s">
        <v>224</v>
      </c>
      <c r="V81" s="93">
        <v>1</v>
      </c>
      <c r="W81" s="41">
        <f t="shared" si="15"/>
        <v>3073150.7261762484</v>
      </c>
    </row>
    <row r="82" spans="1:23" ht="15" customHeight="1" x14ac:dyDescent="0.2">
      <c r="A82" s="41">
        <v>204</v>
      </c>
      <c r="B82" s="75" t="s">
        <v>46</v>
      </c>
      <c r="C82" s="61">
        <v>3214</v>
      </c>
      <c r="D82" s="59">
        <v>21.25</v>
      </c>
      <c r="E82" s="55">
        <v>8.94</v>
      </c>
      <c r="F82" s="56">
        <v>4744.6901088991235</v>
      </c>
      <c r="G82" s="56">
        <f t="shared" si="16"/>
        <v>-4737.3072419283089</v>
      </c>
      <c r="H82" s="57">
        <v>-1284.5077784691973</v>
      </c>
      <c r="I82" s="57">
        <v>-84.564592408214097</v>
      </c>
      <c r="J82" s="57">
        <f t="shared" si="17"/>
        <v>-3368.2348710508977</v>
      </c>
      <c r="K82" s="57">
        <v>-3395.9199690322862</v>
      </c>
      <c r="L82" s="57">
        <v>79.426886947194589</v>
      </c>
      <c r="M82" s="57">
        <v>-51.741788965806165</v>
      </c>
      <c r="N82" s="56">
        <f t="shared" si="18"/>
        <v>7.3828669708145753</v>
      </c>
      <c r="O82" s="56">
        <f t="shared" si="19"/>
        <v>-4128.4080000000004</v>
      </c>
      <c r="P82" s="56">
        <f t="shared" si="20"/>
        <v>-271.7906000000001</v>
      </c>
      <c r="Q82" s="56">
        <f t="shared" si="13"/>
        <v>-10825.506875557585</v>
      </c>
      <c r="R82" s="95">
        <f t="shared" si="14"/>
        <v>15249.434010001783</v>
      </c>
      <c r="S82" s="62"/>
      <c r="T82" s="90"/>
      <c r="U82" s="92" t="s">
        <v>219</v>
      </c>
      <c r="V82" s="93">
        <v>5</v>
      </c>
      <c r="W82" s="41">
        <f t="shared" si="15"/>
        <v>-166298.109736101</v>
      </c>
    </row>
    <row r="83" spans="1:23" ht="15" customHeight="1" x14ac:dyDescent="0.2">
      <c r="A83" s="41">
        <v>205</v>
      </c>
      <c r="B83" s="75" t="s">
        <v>254</v>
      </c>
      <c r="C83" s="61">
        <v>37791</v>
      </c>
      <c r="D83" s="59">
        <v>21</v>
      </c>
      <c r="E83" s="55">
        <v>8.69</v>
      </c>
      <c r="F83" s="56">
        <v>3432.670039407491</v>
      </c>
      <c r="G83" s="56">
        <f t="shared" si="16"/>
        <v>-3427.6967701852604</v>
      </c>
      <c r="H83" s="57">
        <v>-1851.4549231298458</v>
      </c>
      <c r="I83" s="57">
        <v>-43.945270037839713</v>
      </c>
      <c r="J83" s="57">
        <f t="shared" si="17"/>
        <v>-1532.2965770175749</v>
      </c>
      <c r="K83" s="57">
        <v>-1522.5563299160763</v>
      </c>
      <c r="L83" s="57">
        <v>-23.130806681930387</v>
      </c>
      <c r="M83" s="57">
        <v>13.39055958043167</v>
      </c>
      <c r="N83" s="56">
        <f t="shared" si="18"/>
        <v>4.9732692222305559</v>
      </c>
      <c r="O83" s="56">
        <f t="shared" si="19"/>
        <v>-69968.332999999999</v>
      </c>
      <c r="P83" s="56">
        <f t="shared" si="20"/>
        <v>-1660.7357000000006</v>
      </c>
      <c r="Q83" s="56">
        <f t="shared" si="13"/>
        <v>-57907.01994207118</v>
      </c>
      <c r="R83" s="95">
        <f t="shared" si="14"/>
        <v>129724.0334592485</v>
      </c>
      <c r="S83" s="63"/>
      <c r="T83" s="43"/>
      <c r="U83" s="92" t="s">
        <v>239</v>
      </c>
      <c r="V83" s="93">
        <v>2</v>
      </c>
      <c r="W83" s="41">
        <f t="shared" si="15"/>
        <v>506042.63710409327</v>
      </c>
    </row>
    <row r="84" spans="1:23" ht="15" customHeight="1" x14ac:dyDescent="0.2">
      <c r="A84" s="41">
        <v>208</v>
      </c>
      <c r="B84" s="75" t="s">
        <v>47</v>
      </c>
      <c r="C84" s="61">
        <v>12632</v>
      </c>
      <c r="D84" s="59">
        <v>20</v>
      </c>
      <c r="E84" s="55">
        <v>7.6899999999999995</v>
      </c>
      <c r="F84" s="56">
        <v>2683.4701700005326</v>
      </c>
      <c r="G84" s="56">
        <f t="shared" si="16"/>
        <v>-2676.1030549636462</v>
      </c>
      <c r="H84" s="57">
        <v>-1567.4031032298924</v>
      </c>
      <c r="I84" s="57">
        <v>-70.142154844838515</v>
      </c>
      <c r="J84" s="57">
        <f t="shared" si="17"/>
        <v>-1038.5577968889152</v>
      </c>
      <c r="K84" s="57">
        <v>-1598.0996251716992</v>
      </c>
      <c r="L84" s="57">
        <v>346.41280932565053</v>
      </c>
      <c r="M84" s="57">
        <v>213.12901895713375</v>
      </c>
      <c r="N84" s="56">
        <f t="shared" si="18"/>
        <v>7.3671150368863891</v>
      </c>
      <c r="O84" s="56">
        <f t="shared" si="19"/>
        <v>-19799.436000000002</v>
      </c>
      <c r="P84" s="56">
        <f t="shared" si="20"/>
        <v>-886.03570000000013</v>
      </c>
      <c r="Q84" s="56">
        <f t="shared" si="13"/>
        <v>-13119.062090300777</v>
      </c>
      <c r="R84" s="95">
        <f t="shared" si="14"/>
        <v>33897.595187446728</v>
      </c>
      <c r="S84" s="63"/>
      <c r="T84" s="90"/>
      <c r="U84" s="92" t="s">
        <v>234</v>
      </c>
      <c r="V84" s="93">
        <v>5</v>
      </c>
      <c r="W84" s="41">
        <f t="shared" si="15"/>
        <v>2692245.7674665134</v>
      </c>
    </row>
    <row r="85" spans="1:23" ht="15" customHeight="1" x14ac:dyDescent="0.2">
      <c r="A85" s="41">
        <v>211</v>
      </c>
      <c r="B85" s="75" t="s">
        <v>48</v>
      </c>
      <c r="C85" s="61">
        <v>30471</v>
      </c>
      <c r="D85" s="59">
        <v>21</v>
      </c>
      <c r="E85" s="55">
        <v>8.69</v>
      </c>
      <c r="F85" s="56">
        <v>2758.9663485036308</v>
      </c>
      <c r="G85" s="56">
        <f t="shared" si="16"/>
        <v>-2751.6050914415678</v>
      </c>
      <c r="H85" s="57">
        <v>-2102.9987529126056</v>
      </c>
      <c r="I85" s="57">
        <v>-37.289393193528277</v>
      </c>
      <c r="J85" s="57">
        <f t="shared" si="17"/>
        <v>-611.31694533543407</v>
      </c>
      <c r="K85" s="57">
        <v>-747.61121474908077</v>
      </c>
      <c r="L85" s="57">
        <v>77.949910769883587</v>
      </c>
      <c r="M85" s="57">
        <v>58.344358643763115</v>
      </c>
      <c r="N85" s="56">
        <f t="shared" si="18"/>
        <v>7.3612570620630322</v>
      </c>
      <c r="O85" s="56">
        <f t="shared" si="19"/>
        <v>-64080.475000000006</v>
      </c>
      <c r="P85" s="56">
        <f t="shared" si="20"/>
        <v>-1136.2451000000001</v>
      </c>
      <c r="Q85" s="56">
        <f t="shared" si="13"/>
        <v>-18627.438641316014</v>
      </c>
      <c r="R85" s="95">
        <f t="shared" si="14"/>
        <v>84068.463605254132</v>
      </c>
      <c r="S85" s="63"/>
      <c r="T85" s="43"/>
      <c r="U85" s="92" t="s">
        <v>216</v>
      </c>
      <c r="V85" s="93">
        <v>4</v>
      </c>
      <c r="W85" s="41">
        <f t="shared" si="15"/>
        <v>1777810.9522341059</v>
      </c>
    </row>
    <row r="86" spans="1:23" ht="15" customHeight="1" x14ac:dyDescent="0.2">
      <c r="A86" s="41">
        <v>213</v>
      </c>
      <c r="B86" s="75" t="s">
        <v>49</v>
      </c>
      <c r="C86" s="61">
        <v>5693</v>
      </c>
      <c r="D86" s="59">
        <v>20</v>
      </c>
      <c r="E86" s="55">
        <v>7.6899999999999995</v>
      </c>
      <c r="F86" s="56">
        <v>4273.0501299832185</v>
      </c>
      <c r="G86" s="56">
        <f t="shared" si="16"/>
        <v>-4265.6622551029322</v>
      </c>
      <c r="H86" s="57">
        <v>-1453.5995081679255</v>
      </c>
      <c r="I86" s="57">
        <v>-145.59126119796247</v>
      </c>
      <c r="J86" s="57">
        <f t="shared" si="17"/>
        <v>-2666.4714857370445</v>
      </c>
      <c r="K86" s="57">
        <v>-2992.9622701937187</v>
      </c>
      <c r="L86" s="57">
        <v>174.21500891299755</v>
      </c>
      <c r="M86" s="57">
        <v>152.27577554367633</v>
      </c>
      <c r="N86" s="56">
        <f t="shared" si="18"/>
        <v>7.3878748802862901</v>
      </c>
      <c r="O86" s="56">
        <f t="shared" si="19"/>
        <v>-8275.3420000000006</v>
      </c>
      <c r="P86" s="56">
        <f t="shared" si="20"/>
        <v>-828.85105000000033</v>
      </c>
      <c r="Q86" s="56">
        <f t="shared" si="13"/>
        <v>-15180.222168300994</v>
      </c>
      <c r="R86" s="95">
        <f t="shared" si="14"/>
        <v>24326.474389994466</v>
      </c>
      <c r="S86" s="63"/>
      <c r="T86" s="43"/>
      <c r="U86" s="92" t="s">
        <v>214</v>
      </c>
      <c r="V86" s="93">
        <v>5</v>
      </c>
      <c r="W86" s="41">
        <f t="shared" si="15"/>
        <v>866905.99017014937</v>
      </c>
    </row>
    <row r="87" spans="1:23" ht="15" customHeight="1" x14ac:dyDescent="0.2">
      <c r="A87" s="41">
        <v>214</v>
      </c>
      <c r="B87" s="75" t="s">
        <v>50</v>
      </c>
      <c r="C87" s="61">
        <v>11883</v>
      </c>
      <c r="D87" s="59">
        <v>21.5</v>
      </c>
      <c r="E87" s="55">
        <v>9.19</v>
      </c>
      <c r="F87" s="56">
        <v>3363.4680207932433</v>
      </c>
      <c r="G87" s="56">
        <f t="shared" si="16"/>
        <v>-3356.093371995667</v>
      </c>
      <c r="H87" s="57">
        <v>-1667.2720693427586</v>
      </c>
      <c r="I87" s="57">
        <v>-62.348380038710786</v>
      </c>
      <c r="J87" s="57">
        <f t="shared" si="17"/>
        <v>-1626.4729226141976</v>
      </c>
      <c r="K87" s="57">
        <v>-1653.8382199762018</v>
      </c>
      <c r="L87" s="57">
        <v>-16.02889653532527</v>
      </c>
      <c r="M87" s="57">
        <v>43.39419389732933</v>
      </c>
      <c r="N87" s="56">
        <f t="shared" si="18"/>
        <v>7.3746487975763557</v>
      </c>
      <c r="O87" s="56">
        <f t="shared" si="19"/>
        <v>-19812.194</v>
      </c>
      <c r="P87" s="56">
        <f t="shared" si="20"/>
        <v>-740.88580000000024</v>
      </c>
      <c r="Q87" s="56">
        <f t="shared" si="13"/>
        <v>-19327.377739424512</v>
      </c>
      <c r="R87" s="95">
        <f t="shared" si="14"/>
        <v>39968.090491086114</v>
      </c>
      <c r="S87" s="63"/>
      <c r="T87" s="43"/>
      <c r="U87" s="92" t="s">
        <v>220</v>
      </c>
      <c r="V87" s="93">
        <v>3</v>
      </c>
      <c r="W87" s="41">
        <f t="shared" si="15"/>
        <v>515653.20608196442</v>
      </c>
    </row>
    <row r="88" spans="1:23" ht="15" customHeight="1" x14ac:dyDescent="0.2">
      <c r="A88" s="41">
        <v>216</v>
      </c>
      <c r="B88" s="75" t="s">
        <v>51</v>
      </c>
      <c r="C88" s="61">
        <v>1475</v>
      </c>
      <c r="D88" s="59">
        <v>21</v>
      </c>
      <c r="E88" s="55">
        <v>8.69</v>
      </c>
      <c r="F88" s="56">
        <v>4740.0809443192502</v>
      </c>
      <c r="G88" s="56">
        <f t="shared" si="16"/>
        <v>-4732.7048663730056</v>
      </c>
      <c r="H88" s="57">
        <v>-1276.3918644067796</v>
      </c>
      <c r="I88" s="57">
        <v>-110.88484745762717</v>
      </c>
      <c r="J88" s="57">
        <f t="shared" si="17"/>
        <v>-3345.4281545085987</v>
      </c>
      <c r="K88" s="57">
        <v>-3382.2457354307794</v>
      </c>
      <c r="L88" s="57">
        <v>8.8244209075954725</v>
      </c>
      <c r="M88" s="57">
        <v>27.993160014585243</v>
      </c>
      <c r="N88" s="56">
        <f t="shared" si="18"/>
        <v>7.3760779462445498</v>
      </c>
      <c r="O88" s="56">
        <f t="shared" si="19"/>
        <v>-1882.6780000000001</v>
      </c>
      <c r="P88" s="56">
        <f t="shared" si="20"/>
        <v>-163.55515000000008</v>
      </c>
      <c r="Q88" s="56">
        <f t="shared" si="13"/>
        <v>-4934.5065279001828</v>
      </c>
      <c r="R88" s="95">
        <f t="shared" si="14"/>
        <v>6991.6193928708935</v>
      </c>
      <c r="S88" s="63"/>
      <c r="T88" s="43"/>
      <c r="U88" s="92" t="s">
        <v>224</v>
      </c>
      <c r="V88" s="93">
        <v>4</v>
      </c>
      <c r="W88" s="41">
        <f t="shared" si="15"/>
        <v>41289.911021513231</v>
      </c>
    </row>
    <row r="89" spans="1:23" ht="15" customHeight="1" x14ac:dyDescent="0.2">
      <c r="A89" s="41">
        <v>217</v>
      </c>
      <c r="B89" s="75" t="s">
        <v>52</v>
      </c>
      <c r="C89" s="61">
        <v>5643</v>
      </c>
      <c r="D89" s="59">
        <v>20.5</v>
      </c>
      <c r="E89" s="55">
        <v>8.19</v>
      </c>
      <c r="F89" s="56">
        <v>3263.6758481622633</v>
      </c>
      <c r="G89" s="56">
        <f t="shared" si="16"/>
        <v>-3256.6808103476433</v>
      </c>
      <c r="H89" s="57">
        <v>-1645.7958532695375</v>
      </c>
      <c r="I89" s="57">
        <v>-62.933138401559489</v>
      </c>
      <c r="J89" s="57">
        <f t="shared" si="17"/>
        <v>-1547.9518186765465</v>
      </c>
      <c r="K89" s="57">
        <v>-1453.8503048381083</v>
      </c>
      <c r="L89" s="57">
        <v>-20.498562193679561</v>
      </c>
      <c r="M89" s="57">
        <v>-73.602951644758605</v>
      </c>
      <c r="N89" s="56">
        <f t="shared" si="18"/>
        <v>6.995037814619991</v>
      </c>
      <c r="O89" s="56">
        <f t="shared" si="19"/>
        <v>-9287.2260000000006</v>
      </c>
      <c r="P89" s="56">
        <f t="shared" si="20"/>
        <v>-355.13170000000019</v>
      </c>
      <c r="Q89" s="56">
        <f t="shared" si="13"/>
        <v>-8735.0921127917518</v>
      </c>
      <c r="R89" s="95">
        <f t="shared" si="14"/>
        <v>18416.922811179655</v>
      </c>
      <c r="S89" s="63"/>
      <c r="T89" s="43"/>
      <c r="U89" s="92" t="s">
        <v>231</v>
      </c>
      <c r="V89" s="93">
        <v>1</v>
      </c>
      <c r="W89" s="41">
        <f t="shared" si="15"/>
        <v>-415341.45613137283</v>
      </c>
    </row>
    <row r="90" spans="1:23" ht="15" customHeight="1" x14ac:dyDescent="0.2">
      <c r="A90" s="41">
        <v>272</v>
      </c>
      <c r="B90" s="75" t="s">
        <v>264</v>
      </c>
      <c r="C90" s="61">
        <v>47278</v>
      </c>
      <c r="D90" s="59">
        <v>21.5</v>
      </c>
      <c r="E90" s="55">
        <v>9.19</v>
      </c>
      <c r="F90" s="56">
        <v>3450.2065947971628</v>
      </c>
      <c r="G90" s="56">
        <f t="shared" si="16"/>
        <v>-3442.8465926524987</v>
      </c>
      <c r="H90" s="57">
        <v>-1848.7466051863446</v>
      </c>
      <c r="I90" s="57">
        <v>-88.262713101231057</v>
      </c>
      <c r="J90" s="57">
        <f t="shared" si="17"/>
        <v>-1505.8372743649229</v>
      </c>
      <c r="K90" s="57">
        <v>-1214.7491941218652</v>
      </c>
      <c r="L90" s="57">
        <v>-192.35018046626098</v>
      </c>
      <c r="M90" s="57">
        <v>-98.737899776796567</v>
      </c>
      <c r="N90" s="56">
        <f t="shared" si="18"/>
        <v>7.3600021446641222</v>
      </c>
      <c r="O90" s="56">
        <f t="shared" si="19"/>
        <v>-87405.042000000001</v>
      </c>
      <c r="P90" s="56">
        <f t="shared" si="20"/>
        <v>-4172.8845500000025</v>
      </c>
      <c r="Q90" s="56">
        <f t="shared" si="13"/>
        <v>-71192.974657424827</v>
      </c>
      <c r="R90" s="95">
        <f t="shared" si="14"/>
        <v>163118.86738882028</v>
      </c>
      <c r="S90" s="63"/>
      <c r="T90" s="43"/>
      <c r="U90" s="92" t="s">
        <v>222</v>
      </c>
      <c r="V90" s="93">
        <v>2</v>
      </c>
      <c r="W90" s="41">
        <f t="shared" si="15"/>
        <v>-4668130.4256473882</v>
      </c>
    </row>
    <row r="91" spans="1:23" ht="15" customHeight="1" x14ac:dyDescent="0.2">
      <c r="A91" s="41">
        <v>72</v>
      </c>
      <c r="B91" s="75" t="s">
        <v>227</v>
      </c>
      <c r="C91" s="61">
        <v>997</v>
      </c>
      <c r="D91" s="59">
        <v>20</v>
      </c>
      <c r="E91" s="55">
        <v>7.6899999999999995</v>
      </c>
      <c r="F91" s="56">
        <v>3982.7017376584849</v>
      </c>
      <c r="G91" s="56">
        <f t="shared" si="16"/>
        <v>-3975.3334060523202</v>
      </c>
      <c r="H91" s="57">
        <v>-1861.0792377131395</v>
      </c>
      <c r="I91" s="57">
        <v>-30.87387161484455</v>
      </c>
      <c r="J91" s="57">
        <f t="shared" si="17"/>
        <v>-2083.3802967243364</v>
      </c>
      <c r="K91" s="57">
        <v>-2019.4504763750433</v>
      </c>
      <c r="L91" s="57">
        <v>6.4467265351944123</v>
      </c>
      <c r="M91" s="57">
        <v>-70.376546884487482</v>
      </c>
      <c r="N91" s="56">
        <f t="shared" si="18"/>
        <v>7.368331606164702</v>
      </c>
      <c r="O91" s="56">
        <f t="shared" si="19"/>
        <v>-1855.4960000000001</v>
      </c>
      <c r="P91" s="56">
        <f t="shared" si="20"/>
        <v>-30.781250000000014</v>
      </c>
      <c r="Q91" s="56">
        <f t="shared" si="13"/>
        <v>-2077.1301558341634</v>
      </c>
      <c r="R91" s="95">
        <f t="shared" si="14"/>
        <v>3970.7536324455095</v>
      </c>
      <c r="S91" s="63"/>
      <c r="T91" s="90"/>
      <c r="U91" s="92" t="s">
        <v>216</v>
      </c>
      <c r="V91" s="93">
        <v>1</v>
      </c>
      <c r="W91" s="41">
        <f t="shared" si="15"/>
        <v>-70165.417243834017</v>
      </c>
    </row>
    <row r="92" spans="1:23" ht="15" customHeight="1" x14ac:dyDescent="0.2">
      <c r="A92" s="41">
        <v>226</v>
      </c>
      <c r="B92" s="75" t="s">
        <v>53</v>
      </c>
      <c r="C92" s="61">
        <v>4286</v>
      </c>
      <c r="D92" s="59">
        <v>20</v>
      </c>
      <c r="E92" s="55">
        <v>7.6899999999999995</v>
      </c>
      <c r="F92" s="56">
        <v>3868.901837840564</v>
      </c>
      <c r="G92" s="56">
        <f t="shared" si="16"/>
        <v>-3861.8025852381188</v>
      </c>
      <c r="H92" s="57">
        <v>-1446.9451703219786</v>
      </c>
      <c r="I92" s="57">
        <v>-87.705984601026614</v>
      </c>
      <c r="J92" s="57">
        <f t="shared" si="17"/>
        <v>-2327.1514303151139</v>
      </c>
      <c r="K92" s="57">
        <v>-2513.6354596551746</v>
      </c>
      <c r="L92" s="57">
        <v>115.26872459040543</v>
      </c>
      <c r="M92" s="57">
        <v>71.215304749655274</v>
      </c>
      <c r="N92" s="56">
        <f t="shared" si="18"/>
        <v>7.0992526024451763</v>
      </c>
      <c r="O92" s="56">
        <f t="shared" si="19"/>
        <v>-6201.607</v>
      </c>
      <c r="P92" s="56">
        <f t="shared" si="20"/>
        <v>-375.90785000000011</v>
      </c>
      <c r="Q92" s="56">
        <f t="shared" si="13"/>
        <v>-9974.1710303305772</v>
      </c>
      <c r="R92" s="95">
        <f t="shared" si="14"/>
        <v>16582.113276984659</v>
      </c>
      <c r="S92" s="63"/>
      <c r="T92" s="90"/>
      <c r="U92" s="92" t="s">
        <v>218</v>
      </c>
      <c r="V92" s="93">
        <v>3</v>
      </c>
      <c r="W92" s="41">
        <f t="shared" si="15"/>
        <v>305228.79615702253</v>
      </c>
    </row>
    <row r="93" spans="1:23" ht="15" customHeight="1" x14ac:dyDescent="0.2">
      <c r="A93" s="41">
        <v>230</v>
      </c>
      <c r="B93" s="75" t="s">
        <v>54</v>
      </c>
      <c r="C93" s="61">
        <v>2491</v>
      </c>
      <c r="D93" s="59">
        <v>19.75</v>
      </c>
      <c r="E93" s="55">
        <v>7.4399999999999995</v>
      </c>
      <c r="F93" s="56">
        <v>3683.720321522328</v>
      </c>
      <c r="G93" s="56">
        <f t="shared" si="16"/>
        <v>-3676.3395019730087</v>
      </c>
      <c r="H93" s="57">
        <v>-1312.4612605379366</v>
      </c>
      <c r="I93" s="57">
        <v>-78.602147731834634</v>
      </c>
      <c r="J93" s="57">
        <f t="shared" si="17"/>
        <v>-2285.2760937032376</v>
      </c>
      <c r="K93" s="57">
        <v>-2569.7671630723898</v>
      </c>
      <c r="L93" s="57">
        <v>180.0216550651229</v>
      </c>
      <c r="M93" s="57">
        <v>104.46941430402916</v>
      </c>
      <c r="N93" s="56">
        <f t="shared" si="18"/>
        <v>7.3808195493193125</v>
      </c>
      <c r="O93" s="56">
        <f t="shared" si="19"/>
        <v>-3269.3409999999999</v>
      </c>
      <c r="P93" s="56">
        <f t="shared" si="20"/>
        <v>-195.79795000000007</v>
      </c>
      <c r="Q93" s="56">
        <f t="shared" si="13"/>
        <v>-5692.6227494147652</v>
      </c>
      <c r="R93" s="95">
        <f t="shared" si="14"/>
        <v>9176.1473209121195</v>
      </c>
      <c r="S93" s="63"/>
      <c r="T93" s="43"/>
      <c r="U93" s="92" t="s">
        <v>231</v>
      </c>
      <c r="V93" s="93">
        <v>2</v>
      </c>
      <c r="W93" s="41">
        <f t="shared" si="15"/>
        <v>260233.31103133663</v>
      </c>
    </row>
    <row r="94" spans="1:23" ht="15" customHeight="1" x14ac:dyDescent="0.2">
      <c r="A94" s="41">
        <v>231</v>
      </c>
      <c r="B94" s="75" t="s">
        <v>257</v>
      </c>
      <c r="C94" s="61">
        <v>1324</v>
      </c>
      <c r="D94" s="59">
        <v>21.5</v>
      </c>
      <c r="E94" s="55">
        <v>9.19</v>
      </c>
      <c r="F94" s="56">
        <v>3997.6657038063031</v>
      </c>
      <c r="G94" s="56">
        <f t="shared" si="16"/>
        <v>-3991.3525998598052</v>
      </c>
      <c r="H94" s="57">
        <v>-2084.0370090634442</v>
      </c>
      <c r="I94" s="57">
        <v>-243.39792296072514</v>
      </c>
      <c r="J94" s="57">
        <f t="shared" si="17"/>
        <v>-1663.9176678356359</v>
      </c>
      <c r="K94" s="57">
        <v>-1545.8687226083482</v>
      </c>
      <c r="L94" s="57">
        <v>-97.519300010730362</v>
      </c>
      <c r="M94" s="57">
        <v>-20.52964521655737</v>
      </c>
      <c r="N94" s="56">
        <f t="shared" si="18"/>
        <v>6.313103946497904</v>
      </c>
      <c r="O94" s="56">
        <f t="shared" si="19"/>
        <v>-2759.2649999999999</v>
      </c>
      <c r="P94" s="56">
        <f t="shared" si="20"/>
        <v>-322.25885000000011</v>
      </c>
      <c r="Q94" s="56">
        <f t="shared" si="13"/>
        <v>-2203.0269922143821</v>
      </c>
      <c r="R94" s="95">
        <f t="shared" si="14"/>
        <v>5292.9093918395456</v>
      </c>
      <c r="S94" s="63"/>
      <c r="T94" s="43"/>
      <c r="U94" s="92" t="s">
        <v>224</v>
      </c>
      <c r="V94" s="93">
        <v>2</v>
      </c>
      <c r="W94" s="41">
        <f t="shared" si="15"/>
        <v>-27181.250266721956</v>
      </c>
    </row>
    <row r="95" spans="1:23" ht="15" customHeight="1" x14ac:dyDescent="0.2">
      <c r="A95" s="41">
        <v>232</v>
      </c>
      <c r="B95" s="75" t="s">
        <v>55</v>
      </c>
      <c r="C95" s="61">
        <v>14007</v>
      </c>
      <c r="D95" s="59">
        <v>22</v>
      </c>
      <c r="E95" s="55">
        <v>9.69</v>
      </c>
      <c r="F95" s="56">
        <v>3824.3400421960096</v>
      </c>
      <c r="G95" s="56">
        <f t="shared" si="16"/>
        <v>-3816.9679354228365</v>
      </c>
      <c r="H95" s="57">
        <v>-1489.4331405725709</v>
      </c>
      <c r="I95" s="57">
        <v>-81.251599200399824</v>
      </c>
      <c r="J95" s="57">
        <f t="shared" si="17"/>
        <v>-2246.2831956498658</v>
      </c>
      <c r="K95" s="57">
        <v>-2104.702697521891</v>
      </c>
      <c r="L95" s="57">
        <v>-67.389661870560516</v>
      </c>
      <c r="M95" s="57">
        <v>-74.190836257414617</v>
      </c>
      <c r="N95" s="56">
        <f t="shared" si="18"/>
        <v>7.3721067731730727</v>
      </c>
      <c r="O95" s="56">
        <f t="shared" si="19"/>
        <v>-20862.490000000002</v>
      </c>
      <c r="P95" s="56">
        <f t="shared" si="20"/>
        <v>-1138.0911500000004</v>
      </c>
      <c r="Q95" s="56">
        <f t="shared" si="13"/>
        <v>-31463.688721467672</v>
      </c>
      <c r="R95" s="95">
        <f t="shared" si="14"/>
        <v>53567.530971039501</v>
      </c>
      <c r="S95" s="63"/>
      <c r="T95" s="90"/>
      <c r="U95" s="92" t="s">
        <v>248</v>
      </c>
      <c r="V95" s="93">
        <v>1</v>
      </c>
      <c r="W95" s="41">
        <f t="shared" si="15"/>
        <v>-1039191.0434576066</v>
      </c>
    </row>
    <row r="96" spans="1:23" ht="15" customHeight="1" x14ac:dyDescent="0.2">
      <c r="A96" s="41">
        <v>233</v>
      </c>
      <c r="B96" s="75" t="s">
        <v>56</v>
      </c>
      <c r="C96" s="61">
        <v>16908</v>
      </c>
      <c r="D96" s="59">
        <v>21.75</v>
      </c>
      <c r="E96" s="55">
        <v>9.44</v>
      </c>
      <c r="F96" s="56">
        <v>3589.1502358264561</v>
      </c>
      <c r="G96" s="56">
        <f t="shared" si="16"/>
        <v>-3581.8489164199846</v>
      </c>
      <c r="H96" s="57">
        <v>-1591.8105630470784</v>
      </c>
      <c r="I96" s="57">
        <v>-68.601957653181941</v>
      </c>
      <c r="J96" s="57">
        <f t="shared" si="17"/>
        <v>-1921.4363957197245</v>
      </c>
      <c r="K96" s="57">
        <v>-2160.4606515166656</v>
      </c>
      <c r="L96" s="57">
        <v>193.56199654734348</v>
      </c>
      <c r="M96" s="57">
        <v>45.462259249597821</v>
      </c>
      <c r="N96" s="56">
        <f t="shared" si="18"/>
        <v>7.3013194064715208</v>
      </c>
      <c r="O96" s="56">
        <f t="shared" si="19"/>
        <v>-26914.333000000002</v>
      </c>
      <c r="P96" s="56">
        <f t="shared" si="20"/>
        <v>-1159.9219000000005</v>
      </c>
      <c r="Q96" s="56">
        <f t="shared" si="13"/>
        <v>-32487.646578829103</v>
      </c>
      <c r="R96" s="95">
        <f t="shared" si="14"/>
        <v>60685.352187353725</v>
      </c>
      <c r="S96" s="63"/>
      <c r="T96" s="43"/>
      <c r="U96" s="92" t="s">
        <v>215</v>
      </c>
      <c r="V96" s="93">
        <v>4</v>
      </c>
      <c r="W96" s="41">
        <f t="shared" si="15"/>
        <v>768675.87939219992</v>
      </c>
    </row>
    <row r="97" spans="1:23" ht="15" customHeight="1" x14ac:dyDescent="0.2">
      <c r="A97" s="41">
        <v>236</v>
      </c>
      <c r="B97" s="75" t="s">
        <v>259</v>
      </c>
      <c r="C97" s="61">
        <v>4283</v>
      </c>
      <c r="D97" s="59">
        <v>21.5</v>
      </c>
      <c r="E97" s="55">
        <v>9.19</v>
      </c>
      <c r="F97" s="56">
        <v>3113.8366096254103</v>
      </c>
      <c r="G97" s="56">
        <f t="shared" si="16"/>
        <v>-3106.4890666954379</v>
      </c>
      <c r="H97" s="57">
        <v>-1615.0448283913145</v>
      </c>
      <c r="I97" s="57">
        <v>-108.42509922951207</v>
      </c>
      <c r="J97" s="57">
        <f t="shared" si="17"/>
        <v>-1383.0191390746113</v>
      </c>
      <c r="K97" s="57">
        <v>-1409.2692547161348</v>
      </c>
      <c r="L97" s="57">
        <v>52.575926661861104</v>
      </c>
      <c r="M97" s="57">
        <v>-26.32581102033771</v>
      </c>
      <c r="N97" s="56">
        <f t="shared" si="18"/>
        <v>7.3475429299724055</v>
      </c>
      <c r="O97" s="56">
        <f t="shared" si="19"/>
        <v>-6917.2370000000001</v>
      </c>
      <c r="P97" s="56">
        <f t="shared" si="20"/>
        <v>-464.38470000000018</v>
      </c>
      <c r="Q97" s="56">
        <f t="shared" si="13"/>
        <v>-5923.4709726565607</v>
      </c>
      <c r="R97" s="95">
        <f t="shared" si="14"/>
        <v>13336.562199025633</v>
      </c>
      <c r="S97" s="63"/>
      <c r="T97" s="90"/>
      <c r="U97" s="92" t="s">
        <v>218</v>
      </c>
      <c r="V97" s="93">
        <v>3</v>
      </c>
      <c r="W97" s="41">
        <f t="shared" si="15"/>
        <v>-112753.44860010641</v>
      </c>
    </row>
    <row r="98" spans="1:23" ht="15" customHeight="1" x14ac:dyDescent="0.2">
      <c r="A98" s="41">
        <v>239</v>
      </c>
      <c r="B98" s="75" t="s">
        <v>57</v>
      </c>
      <c r="C98" s="61">
        <v>2398</v>
      </c>
      <c r="D98" s="59">
        <v>19.5</v>
      </c>
      <c r="E98" s="55">
        <v>7.1899999999999995</v>
      </c>
      <c r="F98" s="56">
        <v>4107.0973158938832</v>
      </c>
      <c r="G98" s="56">
        <f t="shared" si="16"/>
        <v>-4099.7173636108428</v>
      </c>
      <c r="H98" s="57">
        <v>-1489.1788990825687</v>
      </c>
      <c r="I98" s="57">
        <v>-119.52560467055886</v>
      </c>
      <c r="J98" s="57">
        <f t="shared" si="17"/>
        <v>-2491.0128598577153</v>
      </c>
      <c r="K98" s="57">
        <v>-2721.1308581541821</v>
      </c>
      <c r="L98" s="57">
        <v>168.67561982510176</v>
      </c>
      <c r="M98" s="57">
        <v>61.442378471365117</v>
      </c>
      <c r="N98" s="56">
        <f t="shared" si="18"/>
        <v>7.3799522830404385</v>
      </c>
      <c r="O98" s="56">
        <f t="shared" si="19"/>
        <v>-3571.0509999999995</v>
      </c>
      <c r="P98" s="56">
        <f t="shared" si="20"/>
        <v>-286.62240000000014</v>
      </c>
      <c r="Q98" s="56">
        <f t="shared" si="13"/>
        <v>-5973.4488379388013</v>
      </c>
      <c r="R98" s="95">
        <f t="shared" si="14"/>
        <v>9848.8193635135322</v>
      </c>
      <c r="S98" s="63"/>
      <c r="T98" s="90"/>
      <c r="U98" s="92" t="s">
        <v>228</v>
      </c>
      <c r="V98" s="93">
        <v>2</v>
      </c>
      <c r="W98" s="41">
        <f t="shared" si="15"/>
        <v>147338.82357433354</v>
      </c>
    </row>
    <row r="99" spans="1:23" ht="15" customHeight="1" x14ac:dyDescent="0.2">
      <c r="A99" s="41">
        <v>240</v>
      </c>
      <c r="B99" s="75" t="s">
        <v>58</v>
      </c>
      <c r="C99" s="61">
        <v>21929</v>
      </c>
      <c r="D99" s="59">
        <v>21.25</v>
      </c>
      <c r="E99" s="55">
        <v>8.94</v>
      </c>
      <c r="F99" s="56">
        <v>3804.1748730786076</v>
      </c>
      <c r="G99" s="56">
        <f t="shared" si="16"/>
        <v>-3801.3828723938254</v>
      </c>
      <c r="H99" s="57">
        <v>-1940.3589310958091</v>
      </c>
      <c r="I99" s="57">
        <v>-91.85751744265589</v>
      </c>
      <c r="J99" s="57">
        <f t="shared" si="17"/>
        <v>-1769.1664238553603</v>
      </c>
      <c r="K99" s="57">
        <v>-1778.7718400506847</v>
      </c>
      <c r="L99" s="57">
        <v>-30.943667266050486</v>
      </c>
      <c r="M99" s="57">
        <v>40.549083461374615</v>
      </c>
      <c r="N99" s="56">
        <f t="shared" si="18"/>
        <v>2.7920006847821242</v>
      </c>
      <c r="O99" s="56">
        <f t="shared" si="19"/>
        <v>-42550.131000000001</v>
      </c>
      <c r="P99" s="56">
        <f t="shared" si="20"/>
        <v>-2014.3435000000011</v>
      </c>
      <c r="Q99" s="56">
        <f t="shared" si="13"/>
        <v>-38796.050508724198</v>
      </c>
      <c r="R99" s="95">
        <f t="shared" si="14"/>
        <v>83421.750791740793</v>
      </c>
      <c r="S99" s="63"/>
      <c r="T99" s="43"/>
      <c r="U99" s="92" t="s">
        <v>239</v>
      </c>
      <c r="V99" s="93">
        <v>2</v>
      </c>
      <c r="W99" s="41">
        <f t="shared" si="15"/>
        <v>889200.85122448392</v>
      </c>
    </row>
    <row r="100" spans="1:23" ht="15" customHeight="1" x14ac:dyDescent="0.2">
      <c r="A100" s="41">
        <v>320</v>
      </c>
      <c r="B100" s="75" t="s">
        <v>85</v>
      </c>
      <c r="C100" s="61">
        <v>7892</v>
      </c>
      <c r="D100" s="59">
        <v>21</v>
      </c>
      <c r="E100" s="55">
        <v>8.69</v>
      </c>
      <c r="F100" s="56">
        <v>4927.4186899352499</v>
      </c>
      <c r="G100" s="56">
        <f t="shared" si="16"/>
        <v>-4954.5608511477976</v>
      </c>
      <c r="H100" s="57">
        <v>-1751.4341104916371</v>
      </c>
      <c r="I100" s="57">
        <v>-42.860846426761299</v>
      </c>
      <c r="J100" s="57">
        <f t="shared" si="17"/>
        <v>-3160.2658942293992</v>
      </c>
      <c r="K100" s="57">
        <v>-2662.5388359710123</v>
      </c>
      <c r="L100" s="57">
        <v>-287.99558716383473</v>
      </c>
      <c r="M100" s="57">
        <v>-209.73147109455195</v>
      </c>
      <c r="N100" s="56">
        <f t="shared" si="18"/>
        <v>-27.142161212547762</v>
      </c>
      <c r="O100" s="56">
        <f t="shared" si="19"/>
        <v>-13822.318000000001</v>
      </c>
      <c r="P100" s="56">
        <f t="shared" si="20"/>
        <v>-338.25780000000015</v>
      </c>
      <c r="Q100" s="56">
        <f t="shared" si="13"/>
        <v>-24940.818437258418</v>
      </c>
      <c r="R100" s="95">
        <f t="shared" si="14"/>
        <v>38887.188300968992</v>
      </c>
      <c r="S100" s="63"/>
      <c r="T100" s="43"/>
      <c r="U100" s="92" t="s">
        <v>222</v>
      </c>
      <c r="V100" s="93">
        <v>5</v>
      </c>
      <c r="W100" s="41">
        <f t="shared" si="15"/>
        <v>-1655200.769878204</v>
      </c>
    </row>
    <row r="101" spans="1:23" ht="15" customHeight="1" x14ac:dyDescent="0.2">
      <c r="A101" s="41">
        <v>241</v>
      </c>
      <c r="B101" s="75" t="s">
        <v>59</v>
      </c>
      <c r="C101" s="61">
        <v>8469</v>
      </c>
      <c r="D101" s="59">
        <v>21.25</v>
      </c>
      <c r="E101" s="55">
        <v>8.94</v>
      </c>
      <c r="F101" s="56">
        <v>3360.7652238223682</v>
      </c>
      <c r="G101" s="56">
        <f t="shared" si="16"/>
        <v>-3390.0446749549928</v>
      </c>
      <c r="H101" s="57">
        <v>-2063.6657220451057</v>
      </c>
      <c r="I101" s="57">
        <v>-27.48568898335105</v>
      </c>
      <c r="J101" s="57">
        <f t="shared" si="17"/>
        <v>-1298.8932639265365</v>
      </c>
      <c r="K101" s="57">
        <v>-1067.5840066067472</v>
      </c>
      <c r="L101" s="57">
        <v>-136.95659100780071</v>
      </c>
      <c r="M101" s="57">
        <v>-94.352666311988713</v>
      </c>
      <c r="N101" s="56">
        <f t="shared" si="18"/>
        <v>-29.279451132624672</v>
      </c>
      <c r="O101" s="56">
        <f t="shared" si="19"/>
        <v>-17477.185000000001</v>
      </c>
      <c r="P101" s="56">
        <f t="shared" si="20"/>
        <v>-232.77630000000005</v>
      </c>
      <c r="Q101" s="56">
        <f t="shared" si="13"/>
        <v>-11000.327052193838</v>
      </c>
      <c r="R101" s="95">
        <f t="shared" si="14"/>
        <v>28462.320680551638</v>
      </c>
      <c r="S101" s="63"/>
      <c r="T101" s="43"/>
      <c r="U101" s="92" t="s">
        <v>222</v>
      </c>
      <c r="V101" s="93">
        <v>3</v>
      </c>
      <c r="W101" s="41">
        <f t="shared" si="15"/>
        <v>-799072.73099623236</v>
      </c>
    </row>
    <row r="102" spans="1:23" ht="15" customHeight="1" x14ac:dyDescent="0.2">
      <c r="A102" s="41">
        <v>244</v>
      </c>
      <c r="B102" s="75" t="s">
        <v>60</v>
      </c>
      <c r="C102" s="61">
        <v>16889</v>
      </c>
      <c r="D102" s="59">
        <v>20.5</v>
      </c>
      <c r="E102" s="55">
        <v>8.19</v>
      </c>
      <c r="F102" s="56">
        <v>2551.7735902339618</v>
      </c>
      <c r="G102" s="56">
        <f t="shared" si="16"/>
        <v>-2544.4269412226245</v>
      </c>
      <c r="H102" s="57">
        <v>-2012.9729409674937</v>
      </c>
      <c r="I102" s="57">
        <v>-50.566241340517522</v>
      </c>
      <c r="J102" s="57">
        <f t="shared" si="17"/>
        <v>-480.8877589146133</v>
      </c>
      <c r="K102" s="57">
        <v>-467.44908800857155</v>
      </c>
      <c r="L102" s="57">
        <v>8.7896572629165881</v>
      </c>
      <c r="M102" s="57">
        <v>-22.228328168958313</v>
      </c>
      <c r="N102" s="56">
        <f t="shared" si="18"/>
        <v>7.3466490113373766</v>
      </c>
      <c r="O102" s="56">
        <f t="shared" si="19"/>
        <v>-33997.1</v>
      </c>
      <c r="P102" s="56">
        <f t="shared" si="20"/>
        <v>-854.01325000000054</v>
      </c>
      <c r="Q102" s="56">
        <f t="shared" si="13"/>
        <v>-8121.7133603089042</v>
      </c>
      <c r="R102" s="95">
        <f t="shared" si="14"/>
        <v>43096.904165461383</v>
      </c>
      <c r="S102" s="63"/>
      <c r="T102" s="90"/>
      <c r="U102" s="92" t="s">
        <v>218</v>
      </c>
      <c r="V102" s="93">
        <v>5</v>
      </c>
      <c r="W102" s="41">
        <f t="shared" si="15"/>
        <v>-375414.23444553697</v>
      </c>
    </row>
    <row r="103" spans="1:23" ht="15" customHeight="1" x14ac:dyDescent="0.2">
      <c r="A103" s="41">
        <v>245</v>
      </c>
      <c r="B103" s="75" t="s">
        <v>261</v>
      </c>
      <c r="C103" s="61">
        <v>35317</v>
      </c>
      <c r="D103" s="59">
        <v>19.25</v>
      </c>
      <c r="E103" s="55">
        <v>6.9399999999999995</v>
      </c>
      <c r="F103" s="56">
        <v>2791.0469580523654</v>
      </c>
      <c r="G103" s="56">
        <f t="shared" si="16"/>
        <v>-2784.643133715042</v>
      </c>
      <c r="H103" s="57">
        <v>-2406.2587422487754</v>
      </c>
      <c r="I103" s="57">
        <v>-93.561991392247407</v>
      </c>
      <c r="J103" s="57">
        <f t="shared" si="17"/>
        <v>-284.8224000740193</v>
      </c>
      <c r="K103" s="57">
        <v>-379.54532754287999</v>
      </c>
      <c r="L103" s="57">
        <v>74.726061245419544</v>
      </c>
      <c r="M103" s="57">
        <v>19.996866223441145</v>
      </c>
      <c r="N103" s="56">
        <f t="shared" si="18"/>
        <v>6.4038243373233854</v>
      </c>
      <c r="O103" s="56">
        <f t="shared" si="19"/>
        <v>-84981.84</v>
      </c>
      <c r="P103" s="56">
        <f t="shared" si="20"/>
        <v>-3304.3288500000017</v>
      </c>
      <c r="Q103" s="56">
        <f t="shared" si="13"/>
        <v>-10059.07270341414</v>
      </c>
      <c r="R103" s="95">
        <f t="shared" si="14"/>
        <v>98571.405417535396</v>
      </c>
      <c r="S103" s="63"/>
      <c r="T103" s="43"/>
      <c r="U103" s="92" t="s">
        <v>231</v>
      </c>
      <c r="V103" s="93">
        <v>4</v>
      </c>
      <c r="W103" s="41">
        <f t="shared" si="15"/>
        <v>706229.32441327092</v>
      </c>
    </row>
    <row r="104" spans="1:23" ht="15" customHeight="1" x14ac:dyDescent="0.2">
      <c r="A104" s="41">
        <v>249</v>
      </c>
      <c r="B104" s="75" t="s">
        <v>61</v>
      </c>
      <c r="C104" s="61">
        <v>10177</v>
      </c>
      <c r="D104" s="59">
        <v>20.5</v>
      </c>
      <c r="E104" s="55">
        <v>8.19</v>
      </c>
      <c r="F104" s="56">
        <v>3650.3351225735641</v>
      </c>
      <c r="G104" s="56">
        <f t="shared" si="16"/>
        <v>-3642.954046775898</v>
      </c>
      <c r="H104" s="57">
        <v>-1705.7008941731356</v>
      </c>
      <c r="I104" s="57">
        <v>-72.262371032720878</v>
      </c>
      <c r="J104" s="57">
        <f t="shared" si="17"/>
        <v>-1864.9907815700417</v>
      </c>
      <c r="K104" s="57">
        <v>-2215.6139324282467</v>
      </c>
      <c r="L104" s="57">
        <v>157.61116131627833</v>
      </c>
      <c r="M104" s="57">
        <v>193.01198954192648</v>
      </c>
      <c r="N104" s="56">
        <f t="shared" si="18"/>
        <v>7.3810757976661989</v>
      </c>
      <c r="O104" s="56">
        <f t="shared" si="19"/>
        <v>-17358.918000000001</v>
      </c>
      <c r="P104" s="56">
        <f t="shared" si="20"/>
        <v>-735.4141500000004</v>
      </c>
      <c r="Q104" s="56">
        <f t="shared" si="13"/>
        <v>-18980.011184038314</v>
      </c>
      <c r="R104" s="95">
        <f t="shared" si="14"/>
        <v>37149.460542431159</v>
      </c>
      <c r="S104" s="63"/>
      <c r="T104" s="43"/>
      <c r="U104" s="92" t="s">
        <v>214</v>
      </c>
      <c r="V104" s="93">
        <v>2</v>
      </c>
      <c r="W104" s="41">
        <f t="shared" si="15"/>
        <v>1964283.0175681857</v>
      </c>
    </row>
    <row r="105" spans="1:23" ht="15" customHeight="1" x14ac:dyDescent="0.2">
      <c r="A105" s="41">
        <v>250</v>
      </c>
      <c r="B105" s="75" t="s">
        <v>62</v>
      </c>
      <c r="C105" s="61">
        <v>2080</v>
      </c>
      <c r="D105" s="59">
        <v>21.5</v>
      </c>
      <c r="E105" s="55">
        <v>9.19</v>
      </c>
      <c r="F105" s="56">
        <v>4172.6146740415088</v>
      </c>
      <c r="G105" s="56">
        <f t="shared" si="16"/>
        <v>-4165.2314841373718</v>
      </c>
      <c r="H105" s="57">
        <v>-1355.2067307692307</v>
      </c>
      <c r="I105" s="57">
        <v>-91.643413461538486</v>
      </c>
      <c r="J105" s="57">
        <f t="shared" si="17"/>
        <v>-2718.3813399066025</v>
      </c>
      <c r="K105" s="57">
        <v>-2691.8576291856771</v>
      </c>
      <c r="L105" s="57">
        <v>-10.557186556691015</v>
      </c>
      <c r="M105" s="57">
        <v>-15.966524164234876</v>
      </c>
      <c r="N105" s="56">
        <f t="shared" si="18"/>
        <v>7.3831899041369979</v>
      </c>
      <c r="O105" s="56">
        <f t="shared" si="19"/>
        <v>-2818.83</v>
      </c>
      <c r="P105" s="56">
        <f t="shared" si="20"/>
        <v>-190.61830000000006</v>
      </c>
      <c r="Q105" s="56">
        <f t="shared" si="13"/>
        <v>-5654.2331870057333</v>
      </c>
      <c r="R105" s="95">
        <f t="shared" si="14"/>
        <v>8679.0385220063381</v>
      </c>
      <c r="S105" s="63"/>
      <c r="T105" s="43"/>
      <c r="U105" s="92" t="s">
        <v>231</v>
      </c>
      <c r="V105" s="93">
        <v>1</v>
      </c>
      <c r="W105" s="41">
        <f t="shared" si="15"/>
        <v>-33210.370261608543</v>
      </c>
    </row>
    <row r="106" spans="1:23" ht="15" customHeight="1" x14ac:dyDescent="0.2">
      <c r="A106" s="41">
        <v>322</v>
      </c>
      <c r="B106" s="75" t="s">
        <v>260</v>
      </c>
      <c r="C106" s="61">
        <v>6943</v>
      </c>
      <c r="D106" s="59">
        <v>19.75</v>
      </c>
      <c r="E106" s="55">
        <v>7.4399999999999995</v>
      </c>
      <c r="F106" s="56">
        <v>3816.9376400177921</v>
      </c>
      <c r="G106" s="56">
        <f t="shared" si="16"/>
        <v>-3809.5601706911075</v>
      </c>
      <c r="H106" s="57">
        <v>-1682.911565605646</v>
      </c>
      <c r="I106" s="57">
        <v>-34.213257957655202</v>
      </c>
      <c r="J106" s="57">
        <f t="shared" si="17"/>
        <v>-2092.4353471278059</v>
      </c>
      <c r="K106" s="57">
        <v>-2150.8750113053484</v>
      </c>
      <c r="L106" s="57">
        <v>8.6449018749313087</v>
      </c>
      <c r="M106" s="57">
        <v>49.79476230261136</v>
      </c>
      <c r="N106" s="56">
        <f t="shared" si="18"/>
        <v>7.3774693266846043</v>
      </c>
      <c r="O106" s="56">
        <f t="shared" si="19"/>
        <v>-11684.455</v>
      </c>
      <c r="P106" s="56">
        <f t="shared" si="20"/>
        <v>-237.54265000000007</v>
      </c>
      <c r="Q106" s="56">
        <f t="shared" si="13"/>
        <v>-14527.778615108356</v>
      </c>
      <c r="R106" s="95">
        <f t="shared" si="14"/>
        <v>26500.998034643533</v>
      </c>
      <c r="S106" s="63"/>
      <c r="T106" s="43"/>
      <c r="U106" s="92" t="s">
        <v>216</v>
      </c>
      <c r="V106" s="93">
        <v>4</v>
      </c>
      <c r="W106" s="41">
        <f t="shared" si="15"/>
        <v>345725.03466703068</v>
      </c>
    </row>
    <row r="107" spans="1:23" ht="15" customHeight="1" x14ac:dyDescent="0.2">
      <c r="A107" s="41">
        <v>256</v>
      </c>
      <c r="B107" s="75" t="s">
        <v>63</v>
      </c>
      <c r="C107" s="61">
        <v>1766</v>
      </c>
      <c r="D107" s="59">
        <v>20.5</v>
      </c>
      <c r="E107" s="55">
        <v>8.19</v>
      </c>
      <c r="F107" s="56">
        <v>3943.7097497930263</v>
      </c>
      <c r="G107" s="56">
        <f t="shared" si="16"/>
        <v>-3936.3417721547685</v>
      </c>
      <c r="H107" s="57">
        <v>-1273.8465458663647</v>
      </c>
      <c r="I107" s="57">
        <v>-93.333238958097425</v>
      </c>
      <c r="J107" s="57">
        <f t="shared" si="17"/>
        <v>-2569.1619873303066</v>
      </c>
      <c r="K107" s="57">
        <v>-2541.8210409114322</v>
      </c>
      <c r="L107" s="57">
        <v>-4.6015074492782713</v>
      </c>
      <c r="M107" s="57">
        <v>-22.739438969595781</v>
      </c>
      <c r="N107" s="56">
        <f t="shared" si="18"/>
        <v>7.3679776382577984</v>
      </c>
      <c r="O107" s="56">
        <f t="shared" si="19"/>
        <v>-2249.6129999999998</v>
      </c>
      <c r="P107" s="56">
        <f t="shared" si="20"/>
        <v>-164.82650000000007</v>
      </c>
      <c r="Q107" s="56">
        <f t="shared" si="13"/>
        <v>-4537.1400696253222</v>
      </c>
      <c r="R107" s="95">
        <f t="shared" si="14"/>
        <v>6964.5914181344842</v>
      </c>
      <c r="S107" s="63"/>
      <c r="T107" s="90"/>
      <c r="U107" s="92" t="s">
        <v>218</v>
      </c>
      <c r="V107" s="93">
        <v>5</v>
      </c>
      <c r="W107" s="41">
        <f t="shared" si="15"/>
        <v>-40157.849220306147</v>
      </c>
    </row>
    <row r="108" spans="1:23" ht="15" customHeight="1" x14ac:dyDescent="0.2">
      <c r="A108" s="41">
        <v>260</v>
      </c>
      <c r="B108" s="75" t="s">
        <v>64</v>
      </c>
      <c r="C108" s="61">
        <v>10986</v>
      </c>
      <c r="D108" s="59">
        <v>22</v>
      </c>
      <c r="E108" s="55">
        <v>9.69</v>
      </c>
      <c r="F108" s="56">
        <v>3938.6543343383637</v>
      </c>
      <c r="G108" s="56">
        <f t="shared" si="16"/>
        <v>-3931.4236517464742</v>
      </c>
      <c r="H108" s="57">
        <v>-1501.9352812670672</v>
      </c>
      <c r="I108" s="57">
        <v>-67.116798652830909</v>
      </c>
      <c r="J108" s="57">
        <f t="shared" si="17"/>
        <v>-2362.3715718265762</v>
      </c>
      <c r="K108" s="57">
        <v>-2842.8886821804144</v>
      </c>
      <c r="L108" s="57">
        <v>268.38959405640492</v>
      </c>
      <c r="M108" s="57">
        <v>212.12751629743332</v>
      </c>
      <c r="N108" s="56">
        <f t="shared" si="18"/>
        <v>7.2306825918894901</v>
      </c>
      <c r="O108" s="56">
        <f t="shared" si="19"/>
        <v>-16500.260999999999</v>
      </c>
      <c r="P108" s="56">
        <f t="shared" si="20"/>
        <v>-737.34515000000044</v>
      </c>
      <c r="Q108" s="56">
        <f t="shared" si="13"/>
        <v>-25953.014088086766</v>
      </c>
      <c r="R108" s="95">
        <f t="shared" si="14"/>
        <v>43270.056517041266</v>
      </c>
      <c r="S108" s="63"/>
      <c r="T108" s="43"/>
      <c r="U108" s="92" t="s">
        <v>222</v>
      </c>
      <c r="V108" s="93">
        <v>3</v>
      </c>
      <c r="W108" s="41">
        <f t="shared" si="15"/>
        <v>2330432.8940436025</v>
      </c>
    </row>
    <row r="109" spans="1:23" ht="15" customHeight="1" x14ac:dyDescent="0.2">
      <c r="A109" s="41">
        <v>261</v>
      </c>
      <c r="B109" s="75" t="s">
        <v>65</v>
      </c>
      <c r="C109" s="61">
        <v>6470</v>
      </c>
      <c r="D109" s="59">
        <v>20.25</v>
      </c>
      <c r="E109" s="55">
        <v>7.9399999999999995</v>
      </c>
      <c r="F109" s="56">
        <v>4151.4736896506665</v>
      </c>
      <c r="G109" s="56">
        <f t="shared" si="16"/>
        <v>-4145.0692234038106</v>
      </c>
      <c r="H109" s="57">
        <v>-1732.9732612055641</v>
      </c>
      <c r="I109" s="57">
        <v>-169.49037094281306</v>
      </c>
      <c r="J109" s="57">
        <f t="shared" si="17"/>
        <v>-2242.605591255433</v>
      </c>
      <c r="K109" s="57">
        <v>-1968.308589234457</v>
      </c>
      <c r="L109" s="57">
        <v>-125.73611808605104</v>
      </c>
      <c r="M109" s="57">
        <v>-148.56088393492496</v>
      </c>
      <c r="N109" s="56">
        <f t="shared" si="18"/>
        <v>6.4044662468559181</v>
      </c>
      <c r="O109" s="56">
        <f t="shared" si="19"/>
        <v>-11212.337</v>
      </c>
      <c r="P109" s="56">
        <f t="shared" si="20"/>
        <v>-1096.6027000000004</v>
      </c>
      <c r="Q109" s="56">
        <f t="shared" si="13"/>
        <v>-14509.658175422652</v>
      </c>
      <c r="R109" s="95">
        <f t="shared" si="14"/>
        <v>26860.034772039813</v>
      </c>
      <c r="S109" s="63"/>
      <c r="T109" s="43"/>
      <c r="U109" s="92" t="s">
        <v>239</v>
      </c>
      <c r="V109" s="93">
        <v>3</v>
      </c>
      <c r="W109" s="41">
        <f t="shared" si="15"/>
        <v>-961188.91905896447</v>
      </c>
    </row>
    <row r="110" spans="1:23" ht="15" customHeight="1" x14ac:dyDescent="0.2">
      <c r="A110" s="41">
        <v>263</v>
      </c>
      <c r="B110" s="75" t="s">
        <v>66</v>
      </c>
      <c r="C110" s="61">
        <v>8752</v>
      </c>
      <c r="D110" s="59">
        <v>20.75</v>
      </c>
      <c r="E110" s="55">
        <v>8.44</v>
      </c>
      <c r="F110" s="56">
        <v>4019.2259698218363</v>
      </c>
      <c r="G110" s="56">
        <f t="shared" si="16"/>
        <v>-4011.8449436640094</v>
      </c>
      <c r="H110" s="57">
        <v>-1391.157449725777</v>
      </c>
      <c r="I110" s="57">
        <v>-66.119012797074959</v>
      </c>
      <c r="J110" s="57">
        <f t="shared" si="17"/>
        <v>-2554.5684811411575</v>
      </c>
      <c r="K110" s="57">
        <v>-2808.1675296706399</v>
      </c>
      <c r="L110" s="57">
        <v>162.39425630160065</v>
      </c>
      <c r="M110" s="57">
        <v>91.204792227881626</v>
      </c>
      <c r="N110" s="56">
        <f t="shared" si="18"/>
        <v>7.3810261578269092</v>
      </c>
      <c r="O110" s="56">
        <f t="shared" si="19"/>
        <v>-12175.41</v>
      </c>
      <c r="P110" s="56">
        <f t="shared" si="20"/>
        <v>-578.67360000000008</v>
      </c>
      <c r="Q110" s="56">
        <f t="shared" si="13"/>
        <v>-22357.583346947409</v>
      </c>
      <c r="R110" s="95">
        <f t="shared" si="14"/>
        <v>35176.26568788071</v>
      </c>
      <c r="S110" s="63"/>
      <c r="T110" s="43"/>
      <c r="U110" s="92" t="s">
        <v>231</v>
      </c>
      <c r="V110" s="93">
        <v>1</v>
      </c>
      <c r="W110" s="41">
        <f t="shared" si="15"/>
        <v>798224.34157842002</v>
      </c>
    </row>
    <row r="111" spans="1:23" ht="15" customHeight="1" x14ac:dyDescent="0.2">
      <c r="A111" s="41">
        <v>265</v>
      </c>
      <c r="B111" s="75" t="s">
        <v>67</v>
      </c>
      <c r="C111" s="61">
        <v>1244</v>
      </c>
      <c r="D111" s="59">
        <v>21</v>
      </c>
      <c r="E111" s="55">
        <v>8.69</v>
      </c>
      <c r="F111" s="56">
        <v>4825.8904390428788</v>
      </c>
      <c r="G111" s="56">
        <f t="shared" si="16"/>
        <v>-4818.5105276942722</v>
      </c>
      <c r="H111" s="57">
        <v>-1218.7106109324759</v>
      </c>
      <c r="I111" s="57">
        <v>-141.56262057877819</v>
      </c>
      <c r="J111" s="57">
        <f t="shared" si="17"/>
        <v>-3458.2372961830179</v>
      </c>
      <c r="K111" s="57">
        <v>-3358.9377849181087</v>
      </c>
      <c r="L111" s="57">
        <v>-40.536264649968174</v>
      </c>
      <c r="M111" s="57">
        <v>-58.763246614941373</v>
      </c>
      <c r="N111" s="56">
        <f t="shared" si="18"/>
        <v>7.3799113486065835</v>
      </c>
      <c r="O111" s="56">
        <f t="shared" si="19"/>
        <v>-1516.076</v>
      </c>
      <c r="P111" s="56">
        <f t="shared" si="20"/>
        <v>-176.1039000000001</v>
      </c>
      <c r="Q111" s="56">
        <f t="shared" si="13"/>
        <v>-4302.0471964516746</v>
      </c>
      <c r="R111" s="95">
        <f t="shared" si="14"/>
        <v>6003.4077061693415</v>
      </c>
      <c r="S111" s="63"/>
      <c r="T111" s="90"/>
      <c r="U111" s="92" t="s">
        <v>224</v>
      </c>
      <c r="V111" s="93">
        <v>3</v>
      </c>
      <c r="W111" s="41">
        <f t="shared" si="15"/>
        <v>-73101.478788987064</v>
      </c>
    </row>
    <row r="112" spans="1:23" ht="15" customHeight="1" x14ac:dyDescent="0.2">
      <c r="A112" s="41">
        <v>273</v>
      </c>
      <c r="B112" s="75" t="s">
        <v>68</v>
      </c>
      <c r="C112" s="61">
        <v>3840</v>
      </c>
      <c r="D112" s="59">
        <v>20</v>
      </c>
      <c r="E112" s="55">
        <v>7.6899999999999995</v>
      </c>
      <c r="F112" s="56">
        <v>4165.4046135474509</v>
      </c>
      <c r="G112" s="56">
        <f t="shared" si="16"/>
        <v>-4158.2237651590294</v>
      </c>
      <c r="H112" s="57">
        <v>-1634.0463541666666</v>
      </c>
      <c r="I112" s="57">
        <v>-53.083776041666688</v>
      </c>
      <c r="J112" s="57">
        <f t="shared" si="17"/>
        <v>-2471.0936349506965</v>
      </c>
      <c r="K112" s="57">
        <v>-2629.0271816907889</v>
      </c>
      <c r="L112" s="57">
        <v>-20.219198299087246</v>
      </c>
      <c r="M112" s="57">
        <v>178.15274503917931</v>
      </c>
      <c r="N112" s="56">
        <f t="shared" si="18"/>
        <v>7.1808483884215093</v>
      </c>
      <c r="O112" s="56">
        <f t="shared" si="19"/>
        <v>-6274.7380000000003</v>
      </c>
      <c r="P112" s="56">
        <f t="shared" si="20"/>
        <v>-203.84170000000009</v>
      </c>
      <c r="Q112" s="56">
        <f t="shared" si="13"/>
        <v>-9488.9995582106749</v>
      </c>
      <c r="R112" s="95">
        <f t="shared" si="14"/>
        <v>15995.153716022212</v>
      </c>
      <c r="S112" s="63"/>
      <c r="T112" s="43"/>
      <c r="U112" s="92" t="s">
        <v>231</v>
      </c>
      <c r="V112" s="93">
        <v>2</v>
      </c>
      <c r="W112" s="41">
        <f t="shared" si="15"/>
        <v>684106.54095044849</v>
      </c>
    </row>
    <row r="113" spans="1:23" ht="15" customHeight="1" x14ac:dyDescent="0.2">
      <c r="A113" s="41">
        <v>275</v>
      </c>
      <c r="B113" s="75" t="s">
        <v>69</v>
      </c>
      <c r="C113" s="61">
        <v>2831</v>
      </c>
      <c r="D113" s="59">
        <v>21.5</v>
      </c>
      <c r="E113" s="55">
        <v>9.19</v>
      </c>
      <c r="F113" s="56">
        <v>3944.8318723988273</v>
      </c>
      <c r="G113" s="56">
        <f t="shared" si="16"/>
        <v>-3937.4698873028174</v>
      </c>
      <c r="H113" s="57">
        <v>-1426.9339456022608</v>
      </c>
      <c r="I113" s="57">
        <v>-78.399876368774301</v>
      </c>
      <c r="J113" s="57">
        <f t="shared" si="17"/>
        <v>-2432.136065331782</v>
      </c>
      <c r="K113" s="57">
        <v>-2505.0037268299857</v>
      </c>
      <c r="L113" s="57">
        <v>8.6129765539400172</v>
      </c>
      <c r="M113" s="57">
        <v>64.254684944263957</v>
      </c>
      <c r="N113" s="56">
        <f t="shared" si="18"/>
        <v>7.3619850960099029</v>
      </c>
      <c r="O113" s="56">
        <f t="shared" si="19"/>
        <v>-4039.6500000000005</v>
      </c>
      <c r="P113" s="56">
        <f t="shared" si="20"/>
        <v>-221.95005000000006</v>
      </c>
      <c r="Q113" s="56">
        <f t="shared" si="13"/>
        <v>-6885.3772009542754</v>
      </c>
      <c r="R113" s="95">
        <f t="shared" si="14"/>
        <v>11167.81903076108</v>
      </c>
      <c r="S113" s="63"/>
      <c r="T113" s="43"/>
      <c r="U113" s="92" t="s">
        <v>242</v>
      </c>
      <c r="V113" s="93">
        <v>4</v>
      </c>
      <c r="W113" s="41">
        <f t="shared" si="15"/>
        <v>181905.01307721128</v>
      </c>
    </row>
    <row r="114" spans="1:23" ht="15" customHeight="1" x14ac:dyDescent="0.2">
      <c r="A114" s="41">
        <v>276</v>
      </c>
      <c r="B114" s="75" t="s">
        <v>70</v>
      </c>
      <c r="C114" s="61">
        <v>14681</v>
      </c>
      <c r="D114" s="59">
        <v>20.5</v>
      </c>
      <c r="E114" s="55">
        <v>8.19</v>
      </c>
      <c r="F114" s="56">
        <v>2572.8435425645307</v>
      </c>
      <c r="G114" s="56">
        <f t="shared" si="16"/>
        <v>-2571.3970508302018</v>
      </c>
      <c r="H114" s="57">
        <v>-1797.1825488726927</v>
      </c>
      <c r="I114" s="57">
        <v>-44.109577004291289</v>
      </c>
      <c r="J114" s="57">
        <f t="shared" si="17"/>
        <v>-730.10492495321751</v>
      </c>
      <c r="K114" s="57">
        <v>-663.46353577746822</v>
      </c>
      <c r="L114" s="57">
        <v>-6.4598585191350955</v>
      </c>
      <c r="M114" s="57">
        <v>-60.181530656614171</v>
      </c>
      <c r="N114" s="56">
        <f t="shared" si="18"/>
        <v>1.4464917343289017</v>
      </c>
      <c r="O114" s="56">
        <f t="shared" si="19"/>
        <v>-26384.437000000002</v>
      </c>
      <c r="P114" s="56">
        <f t="shared" si="20"/>
        <v>-647.5727000000004</v>
      </c>
      <c r="Q114" s="56">
        <f t="shared" si="13"/>
        <v>-10718.670403238188</v>
      </c>
      <c r="R114" s="95">
        <f t="shared" si="14"/>
        <v>37771.916048389874</v>
      </c>
      <c r="S114" s="63"/>
      <c r="T114" s="43"/>
      <c r="U114" s="92" t="s">
        <v>248</v>
      </c>
      <c r="V114" s="93">
        <v>2</v>
      </c>
      <c r="W114" s="41">
        <f t="shared" si="15"/>
        <v>-883525.05156975263</v>
      </c>
    </row>
    <row r="115" spans="1:23" ht="15" customHeight="1" x14ac:dyDescent="0.2">
      <c r="A115" s="41">
        <v>499</v>
      </c>
      <c r="B115" s="75" t="s">
        <v>281</v>
      </c>
      <c r="C115" s="61">
        <v>19287</v>
      </c>
      <c r="D115" s="59">
        <v>20.75</v>
      </c>
      <c r="E115" s="55">
        <v>8.44</v>
      </c>
      <c r="F115" s="56">
        <v>3065.3143402788364</v>
      </c>
      <c r="G115" s="56">
        <f t="shared" si="16"/>
        <v>-3062.9208622404371</v>
      </c>
      <c r="H115" s="57">
        <v>-2077.388448177529</v>
      </c>
      <c r="I115" s="57">
        <v>-36.968992067195529</v>
      </c>
      <c r="J115" s="57">
        <f t="shared" si="17"/>
        <v>-948.56342199571282</v>
      </c>
      <c r="K115" s="57">
        <v>-766.54796177076139</v>
      </c>
      <c r="L115" s="57">
        <v>-47.429111365237574</v>
      </c>
      <c r="M115" s="57">
        <v>-134.58634885971387</v>
      </c>
      <c r="N115" s="56">
        <f t="shared" si="18"/>
        <v>2.3934780383992802</v>
      </c>
      <c r="O115" s="56">
        <f t="shared" si="19"/>
        <v>-40066.591</v>
      </c>
      <c r="P115" s="56">
        <f t="shared" si="20"/>
        <v>-713.0209500000002</v>
      </c>
      <c r="Q115" s="56">
        <f t="shared" si="13"/>
        <v>-18294.942720031315</v>
      </c>
      <c r="R115" s="95">
        <f t="shared" si="14"/>
        <v>59120.717680957925</v>
      </c>
      <c r="S115" s="63"/>
      <c r="T115" s="43"/>
      <c r="U115" s="92" t="s">
        <v>216</v>
      </c>
      <c r="V115" s="93">
        <v>3</v>
      </c>
      <c r="W115" s="41">
        <f t="shared" si="15"/>
        <v>-2595766.9104573014</v>
      </c>
    </row>
    <row r="116" spans="1:23" ht="15" customHeight="1" x14ac:dyDescent="0.2">
      <c r="A116" s="41">
        <v>280</v>
      </c>
      <c r="B116" s="75" t="s">
        <v>71</v>
      </c>
      <c r="C116" s="61">
        <v>2219</v>
      </c>
      <c r="D116" s="59">
        <v>21</v>
      </c>
      <c r="E116" s="55">
        <v>8.69</v>
      </c>
      <c r="F116" s="56">
        <v>3516.5603584759774</v>
      </c>
      <c r="G116" s="56">
        <f t="shared" si="16"/>
        <v>-3509.1948569553833</v>
      </c>
      <c r="H116" s="57">
        <v>-1415.2311852185669</v>
      </c>
      <c r="I116" s="57">
        <v>-129.98341595313212</v>
      </c>
      <c r="J116" s="57">
        <f t="shared" si="17"/>
        <v>-1963.9802557836845</v>
      </c>
      <c r="K116" s="57">
        <v>-2403.2331095720242</v>
      </c>
      <c r="L116" s="57">
        <v>216.13001817571234</v>
      </c>
      <c r="M116" s="57">
        <v>223.12283561262743</v>
      </c>
      <c r="N116" s="56">
        <f t="shared" si="18"/>
        <v>7.3655015205940799</v>
      </c>
      <c r="O116" s="56">
        <f t="shared" si="19"/>
        <v>-3140.3980000000001</v>
      </c>
      <c r="P116" s="56">
        <f t="shared" si="20"/>
        <v>-288.43320000000017</v>
      </c>
      <c r="Q116" s="56">
        <f t="shared" si="13"/>
        <v>-4358.0721875839963</v>
      </c>
      <c r="R116" s="95">
        <f t="shared" si="14"/>
        <v>7803.2474354581936</v>
      </c>
      <c r="S116" s="63"/>
      <c r="T116" s="43"/>
      <c r="U116" s="92" t="s">
        <v>219</v>
      </c>
      <c r="V116" s="93">
        <v>2</v>
      </c>
      <c r="W116" s="41">
        <f t="shared" si="15"/>
        <v>495109.57222442026</v>
      </c>
    </row>
    <row r="117" spans="1:23" ht="15" customHeight="1" x14ac:dyDescent="0.2">
      <c r="A117" s="41">
        <v>284</v>
      </c>
      <c r="B117" s="75" t="s">
        <v>72</v>
      </c>
      <c r="C117" s="61">
        <v>2438</v>
      </c>
      <c r="D117" s="59">
        <v>19.5</v>
      </c>
      <c r="E117" s="55">
        <v>7.1899999999999995</v>
      </c>
      <c r="F117" s="56">
        <v>3440.0552461092302</v>
      </c>
      <c r="G117" s="56">
        <f t="shared" si="16"/>
        <v>-3432.6963132127316</v>
      </c>
      <c r="H117" s="57">
        <v>-1481.3109105824446</v>
      </c>
      <c r="I117" s="57">
        <v>-51.946144380639886</v>
      </c>
      <c r="J117" s="57">
        <f t="shared" si="17"/>
        <v>-1899.4392582496471</v>
      </c>
      <c r="K117" s="57">
        <v>-2159.3644521106894</v>
      </c>
      <c r="L117" s="57">
        <v>137.21229451471345</v>
      </c>
      <c r="M117" s="57">
        <v>122.71289934632892</v>
      </c>
      <c r="N117" s="56">
        <f t="shared" si="18"/>
        <v>7.3589328964985725</v>
      </c>
      <c r="O117" s="56">
        <f t="shared" si="19"/>
        <v>-3611.4360000000001</v>
      </c>
      <c r="P117" s="56">
        <f t="shared" si="20"/>
        <v>-126.64470000000004</v>
      </c>
      <c r="Q117" s="56">
        <f t="shared" si="13"/>
        <v>-4630.8329116126397</v>
      </c>
      <c r="R117" s="95">
        <f t="shared" si="14"/>
        <v>8386.8546900143047</v>
      </c>
      <c r="S117" s="63"/>
      <c r="T117" s="43"/>
      <c r="U117" s="92" t="s">
        <v>230</v>
      </c>
      <c r="V117" s="93">
        <v>6</v>
      </c>
      <c r="W117" s="41">
        <f t="shared" si="15"/>
        <v>299174.04860634991</v>
      </c>
    </row>
    <row r="118" spans="1:23" ht="15" customHeight="1" x14ac:dyDescent="0.2">
      <c r="A118" s="41">
        <v>285</v>
      </c>
      <c r="B118" s="75" t="s">
        <v>73</v>
      </c>
      <c r="C118" s="61">
        <v>54518</v>
      </c>
      <c r="D118" s="59">
        <v>20.5</v>
      </c>
      <c r="E118" s="55">
        <v>8.19</v>
      </c>
      <c r="F118" s="56">
        <v>3713.417837290338</v>
      </c>
      <c r="G118" s="56">
        <f t="shared" si="16"/>
        <v>-3706.0464705661266</v>
      </c>
      <c r="H118" s="57">
        <v>-2030.705326681096</v>
      </c>
      <c r="I118" s="57">
        <v>-46.253239297112891</v>
      </c>
      <c r="J118" s="57">
        <f t="shared" si="17"/>
        <v>-1629.0879045879178</v>
      </c>
      <c r="K118" s="57">
        <v>-1758.0086812839716</v>
      </c>
      <c r="L118" s="57">
        <v>30.035238619911073</v>
      </c>
      <c r="M118" s="57">
        <v>98.885538076142595</v>
      </c>
      <c r="N118" s="56">
        <f t="shared" si="18"/>
        <v>7.3713667242113843</v>
      </c>
      <c r="O118" s="56">
        <f t="shared" si="19"/>
        <v>-110709.993</v>
      </c>
      <c r="P118" s="56">
        <f t="shared" si="20"/>
        <v>-2521.6341000000007</v>
      </c>
      <c r="Q118" s="56">
        <f t="shared" si="13"/>
        <v>-88814.6143823241</v>
      </c>
      <c r="R118" s="95">
        <f t="shared" si="14"/>
        <v>202448.11365339466</v>
      </c>
      <c r="S118" s="62"/>
      <c r="T118" s="43"/>
      <c r="U118" s="92" t="s">
        <v>230</v>
      </c>
      <c r="V118" s="93">
        <v>6</v>
      </c>
      <c r="W118" s="41">
        <f t="shared" si="15"/>
        <v>5391041.7648351416</v>
      </c>
    </row>
    <row r="119" spans="1:23" ht="15" customHeight="1" x14ac:dyDescent="0.2">
      <c r="A119" s="41">
        <v>286</v>
      </c>
      <c r="B119" s="75" t="s">
        <v>74</v>
      </c>
      <c r="C119" s="61">
        <v>86453</v>
      </c>
      <c r="D119" s="59">
        <v>20.75</v>
      </c>
      <c r="E119" s="55">
        <v>8.44</v>
      </c>
      <c r="F119" s="56">
        <v>3537.4140717037849</v>
      </c>
      <c r="G119" s="56">
        <f t="shared" si="16"/>
        <v>-3532.2722945762698</v>
      </c>
      <c r="H119" s="57">
        <v>-1983.8032919621066</v>
      </c>
      <c r="I119" s="57">
        <v>-66.083977999606731</v>
      </c>
      <c r="J119" s="57">
        <f t="shared" si="17"/>
        <v>-1482.3850246145569</v>
      </c>
      <c r="K119" s="57">
        <v>-1513.6989692328202</v>
      </c>
      <c r="L119" s="57">
        <v>-4.2839430522096693</v>
      </c>
      <c r="M119" s="57">
        <v>35.597887670473085</v>
      </c>
      <c r="N119" s="56">
        <f t="shared" si="18"/>
        <v>5.1417771275150699</v>
      </c>
      <c r="O119" s="56">
        <f t="shared" si="19"/>
        <v>-171505.74600000001</v>
      </c>
      <c r="P119" s="56">
        <f t="shared" si="20"/>
        <v>-5713.1581500000002</v>
      </c>
      <c r="Q119" s="56">
        <f t="shared" si="13"/>
        <v>-128156.6325330023</v>
      </c>
      <c r="R119" s="95">
        <f t="shared" si="14"/>
        <v>305820.05874100735</v>
      </c>
      <c r="S119" s="63"/>
      <c r="T119" s="90"/>
      <c r="U119" s="92" t="s">
        <v>248</v>
      </c>
      <c r="V119" s="93">
        <v>3</v>
      </c>
      <c r="W119" s="41">
        <f t="shared" si="15"/>
        <v>3077544.1827754094</v>
      </c>
    </row>
    <row r="120" spans="1:23" ht="15" customHeight="1" x14ac:dyDescent="0.2">
      <c r="A120" s="41">
        <v>287</v>
      </c>
      <c r="B120" s="75" t="s">
        <v>265</v>
      </c>
      <c r="C120" s="61">
        <v>6845</v>
      </c>
      <c r="D120" s="59">
        <v>21.5</v>
      </c>
      <c r="E120" s="55">
        <v>9.19</v>
      </c>
      <c r="F120" s="56">
        <v>3456.7960639642442</v>
      </c>
      <c r="G120" s="56">
        <f t="shared" si="16"/>
        <v>-3452.7475705453098</v>
      </c>
      <c r="H120" s="57">
        <v>-1701.4658875091307</v>
      </c>
      <c r="I120" s="57">
        <v>-60.499919649379137</v>
      </c>
      <c r="J120" s="57">
        <f t="shared" si="17"/>
        <v>-1690.7817633868003</v>
      </c>
      <c r="K120" s="57">
        <v>-2335.3106382621254</v>
      </c>
      <c r="L120" s="57">
        <v>412.52887487532519</v>
      </c>
      <c r="M120" s="57">
        <v>232</v>
      </c>
      <c r="N120" s="56">
        <f t="shared" si="18"/>
        <v>4.0484934189344131</v>
      </c>
      <c r="O120" s="56">
        <f t="shared" si="19"/>
        <v>-11646.534</v>
      </c>
      <c r="P120" s="56">
        <f t="shared" si="20"/>
        <v>-414.1219500000002</v>
      </c>
      <c r="Q120" s="56">
        <f t="shared" si="13"/>
        <v>-11573.401170382649</v>
      </c>
      <c r="R120" s="95">
        <f t="shared" si="14"/>
        <v>23661.769057835252</v>
      </c>
      <c r="S120" s="63"/>
      <c r="T120" s="90"/>
      <c r="U120" s="92" t="s">
        <v>248</v>
      </c>
      <c r="V120" s="93">
        <v>3</v>
      </c>
      <c r="W120" s="41">
        <f t="shared" si="15"/>
        <v>1588040</v>
      </c>
    </row>
    <row r="121" spans="1:23" ht="15" customHeight="1" x14ac:dyDescent="0.2">
      <c r="A121" s="41">
        <v>288</v>
      </c>
      <c r="B121" s="75" t="s">
        <v>266</v>
      </c>
      <c r="C121" s="61">
        <v>6662</v>
      </c>
      <c r="D121" s="59">
        <v>20.75</v>
      </c>
      <c r="E121" s="55">
        <v>8.44</v>
      </c>
      <c r="F121" s="56">
        <v>3423.2506990340703</v>
      </c>
      <c r="G121" s="56">
        <f t="shared" si="16"/>
        <v>-3419.182204155516</v>
      </c>
      <c r="H121" s="57">
        <v>-1628.4671269888922</v>
      </c>
      <c r="I121" s="57">
        <v>-100.33701591113783</v>
      </c>
      <c r="J121" s="57">
        <f t="shared" si="17"/>
        <v>-1690.3780612554863</v>
      </c>
      <c r="K121" s="57">
        <v>-1469.4279990556167</v>
      </c>
      <c r="L121" s="57">
        <v>-73.439891615608602</v>
      </c>
      <c r="M121" s="57">
        <v>-147.51017058426092</v>
      </c>
      <c r="N121" s="56">
        <f t="shared" si="18"/>
        <v>4.0684948785542474</v>
      </c>
      <c r="O121" s="56">
        <f t="shared" si="19"/>
        <v>-10848.848</v>
      </c>
      <c r="P121" s="56">
        <f t="shared" si="20"/>
        <v>-668.44520000000023</v>
      </c>
      <c r="Q121" s="56">
        <f t="shared" si="13"/>
        <v>-11261.29864408405</v>
      </c>
      <c r="R121" s="95">
        <f t="shared" si="14"/>
        <v>22805.696156964976</v>
      </c>
      <c r="S121" s="63"/>
      <c r="T121" s="43"/>
      <c r="U121" s="92" t="s">
        <v>234</v>
      </c>
      <c r="V121" s="93">
        <v>3</v>
      </c>
      <c r="W121" s="41">
        <f t="shared" si="15"/>
        <v>-982712.7564323463</v>
      </c>
    </row>
    <row r="122" spans="1:23" ht="15" customHeight="1" x14ac:dyDescent="0.2">
      <c r="A122" s="41">
        <v>290</v>
      </c>
      <c r="B122" s="75" t="s">
        <v>75</v>
      </c>
      <c r="C122" s="61">
        <v>8950</v>
      </c>
      <c r="D122" s="59">
        <v>21.5</v>
      </c>
      <c r="E122" s="55">
        <v>9.19</v>
      </c>
      <c r="F122" s="56">
        <v>4242.3861415081547</v>
      </c>
      <c r="G122" s="56">
        <f t="shared" si="16"/>
        <v>-4236.8462171798228</v>
      </c>
      <c r="H122" s="57">
        <v>-1529.4490502793296</v>
      </c>
      <c r="I122" s="57">
        <v>-99.70507821229053</v>
      </c>
      <c r="J122" s="57">
        <f t="shared" si="17"/>
        <v>-2607.6920886882026</v>
      </c>
      <c r="K122" s="57">
        <v>-2673.1200439404256</v>
      </c>
      <c r="L122" s="57">
        <v>65.376945794716519</v>
      </c>
      <c r="M122" s="57">
        <v>5.1009457506580702E-2</v>
      </c>
      <c r="N122" s="56">
        <f t="shared" si="18"/>
        <v>5.5399243283318356</v>
      </c>
      <c r="O122" s="56">
        <f t="shared" si="19"/>
        <v>-13688.569</v>
      </c>
      <c r="P122" s="56">
        <f t="shared" si="20"/>
        <v>-892.36045000000036</v>
      </c>
      <c r="Q122" s="56">
        <f t="shared" si="13"/>
        <v>-23338.844193759411</v>
      </c>
      <c r="R122" s="95">
        <f t="shared" si="14"/>
        <v>37969.355966497991</v>
      </c>
      <c r="S122" s="63"/>
      <c r="T122" s="43"/>
      <c r="U122" s="92" t="s">
        <v>231</v>
      </c>
      <c r="V122" s="93">
        <v>2</v>
      </c>
      <c r="W122" s="41">
        <f t="shared" si="15"/>
        <v>456.53464468389728</v>
      </c>
    </row>
    <row r="123" spans="1:23" ht="15" customHeight="1" x14ac:dyDescent="0.2">
      <c r="A123" s="41">
        <v>291</v>
      </c>
      <c r="B123" s="75" t="s">
        <v>76</v>
      </c>
      <c r="C123" s="61">
        <v>2374</v>
      </c>
      <c r="D123" s="59">
        <v>20.75</v>
      </c>
      <c r="E123" s="55">
        <v>8.44</v>
      </c>
      <c r="F123" s="56">
        <v>4412.9929483878468</v>
      </c>
      <c r="G123" s="56">
        <f t="shared" si="16"/>
        <v>-4405.9859088364265</v>
      </c>
      <c r="H123" s="57">
        <v>-1458.5332771693345</v>
      </c>
      <c r="I123" s="57">
        <v>-118.90869839932608</v>
      </c>
      <c r="J123" s="57">
        <f t="shared" si="17"/>
        <v>-2828.5439332677656</v>
      </c>
      <c r="K123" s="57">
        <v>-3468.8932312879051</v>
      </c>
      <c r="L123" s="57">
        <v>339.03029412193047</v>
      </c>
      <c r="M123" s="57">
        <v>301.31900389820902</v>
      </c>
      <c r="N123" s="56">
        <f t="shared" si="18"/>
        <v>7.0070395514203483</v>
      </c>
      <c r="O123" s="56">
        <f t="shared" si="19"/>
        <v>-3462.558</v>
      </c>
      <c r="P123" s="56">
        <f t="shared" si="20"/>
        <v>-282.2892500000001</v>
      </c>
      <c r="Q123" s="56">
        <f t="shared" si="13"/>
        <v>-6714.9632975776758</v>
      </c>
      <c r="R123" s="95">
        <f t="shared" si="14"/>
        <v>10476.445259472748</v>
      </c>
      <c r="S123" s="63"/>
      <c r="T123" s="43"/>
      <c r="U123" s="92" t="s">
        <v>239</v>
      </c>
      <c r="V123" s="93">
        <v>7</v>
      </c>
      <c r="W123" s="41">
        <f t="shared" si="15"/>
        <v>715331.31525434821</v>
      </c>
    </row>
    <row r="124" spans="1:23" ht="15" customHeight="1" x14ac:dyDescent="0.2">
      <c r="A124" s="41">
        <v>271</v>
      </c>
      <c r="B124" s="75" t="s">
        <v>263</v>
      </c>
      <c r="C124" s="61">
        <v>7702</v>
      </c>
      <c r="D124" s="59">
        <v>21.25</v>
      </c>
      <c r="E124" s="55">
        <v>8.94</v>
      </c>
      <c r="F124" s="56">
        <v>3587.3279342909959</v>
      </c>
      <c r="G124" s="56">
        <f t="shared" si="16"/>
        <v>-3584.9601960492646</v>
      </c>
      <c r="H124" s="57">
        <v>-1692.5402492858998</v>
      </c>
      <c r="I124" s="57">
        <v>-65.254764996104939</v>
      </c>
      <c r="J124" s="57">
        <f t="shared" si="17"/>
        <v>-1827.16518176726</v>
      </c>
      <c r="K124" s="57">
        <v>-2025.2149400398996</v>
      </c>
      <c r="L124" s="57">
        <v>117.32234115543824</v>
      </c>
      <c r="M124" s="57">
        <v>80.727417117201384</v>
      </c>
      <c r="N124" s="56">
        <f t="shared" si="18"/>
        <v>2.3677382417313311</v>
      </c>
      <c r="O124" s="56">
        <f t="shared" si="19"/>
        <v>-13035.945</v>
      </c>
      <c r="P124" s="56">
        <f t="shared" si="20"/>
        <v>-502.59220000000028</v>
      </c>
      <c r="Q124" s="56">
        <f t="shared" si="13"/>
        <v>-14072.826229971437</v>
      </c>
      <c r="R124" s="95">
        <f t="shared" si="14"/>
        <v>27629.599749909252</v>
      </c>
      <c r="S124" s="62"/>
      <c r="T124" s="90"/>
      <c r="U124" s="92" t="s">
        <v>228</v>
      </c>
      <c r="V124" s="93">
        <v>5</v>
      </c>
      <c r="W124" s="41">
        <f t="shared" si="15"/>
        <v>621762.56663668505</v>
      </c>
    </row>
    <row r="125" spans="1:23" ht="15" customHeight="1" x14ac:dyDescent="0.2">
      <c r="A125" s="41">
        <v>297</v>
      </c>
      <c r="B125" s="75" t="s">
        <v>77</v>
      </c>
      <c r="C125" s="61">
        <v>111289</v>
      </c>
      <c r="D125" s="59">
        <v>20.5</v>
      </c>
      <c r="E125" s="55">
        <v>8.19</v>
      </c>
      <c r="F125" s="56">
        <v>3377.1155173543948</v>
      </c>
      <c r="G125" s="56">
        <f t="shared" si="16"/>
        <v>-3369.7616965737852</v>
      </c>
      <c r="H125" s="57">
        <v>-1933.4163214693276</v>
      </c>
      <c r="I125" s="57">
        <v>-59.193017279335812</v>
      </c>
      <c r="J125" s="57">
        <f t="shared" si="17"/>
        <v>-1377.152357825122</v>
      </c>
      <c r="K125" s="57">
        <v>-1321.9912718816843</v>
      </c>
      <c r="L125" s="57">
        <v>-50.755494833923329</v>
      </c>
      <c r="M125" s="57">
        <v>-4.4055911095143259</v>
      </c>
      <c r="N125" s="56">
        <f t="shared" si="18"/>
        <v>7.353820780609567</v>
      </c>
      <c r="O125" s="56">
        <f t="shared" si="19"/>
        <v>-215167.96900000001</v>
      </c>
      <c r="P125" s="56">
        <f t="shared" si="20"/>
        <v>-6587.5317000000032</v>
      </c>
      <c r="Q125" s="56">
        <f t="shared" si="13"/>
        <v>-153261.90875</v>
      </c>
      <c r="R125" s="95">
        <f t="shared" si="14"/>
        <v>375835.80881085322</v>
      </c>
      <c r="S125" s="63"/>
      <c r="T125" s="43"/>
      <c r="U125" s="92" t="s">
        <v>215</v>
      </c>
      <c r="V125" s="93">
        <v>2</v>
      </c>
      <c r="W125" s="41">
        <f t="shared" si="15"/>
        <v>-490293.8289867398</v>
      </c>
    </row>
    <row r="126" spans="1:23" ht="15" customHeight="1" x14ac:dyDescent="0.2">
      <c r="A126" s="41">
        <v>300</v>
      </c>
      <c r="B126" s="75" t="s">
        <v>78</v>
      </c>
      <c r="C126" s="61">
        <v>3727</v>
      </c>
      <c r="D126" s="59">
        <v>21</v>
      </c>
      <c r="E126" s="55">
        <v>8.69</v>
      </c>
      <c r="F126" s="56">
        <v>3845.7489166161881</v>
      </c>
      <c r="G126" s="56">
        <f t="shared" si="16"/>
        <v>-3838.3544591303717</v>
      </c>
      <c r="H126" s="57">
        <v>-1496.3691977461765</v>
      </c>
      <c r="I126" s="57">
        <v>-53.663227797155912</v>
      </c>
      <c r="J126" s="57">
        <f t="shared" si="17"/>
        <v>-2288.3220335870392</v>
      </c>
      <c r="K126" s="57">
        <v>-2660.5988978748219</v>
      </c>
      <c r="L126" s="57">
        <v>262.87719452307539</v>
      </c>
      <c r="M126" s="57">
        <v>109.39966976470703</v>
      </c>
      <c r="N126" s="56">
        <f t="shared" si="18"/>
        <v>7.3944574858164742</v>
      </c>
      <c r="O126" s="56">
        <f t="shared" si="19"/>
        <v>-5576.9679999999998</v>
      </c>
      <c r="P126" s="56">
        <f t="shared" si="20"/>
        <v>-200.00285000000011</v>
      </c>
      <c r="Q126" s="56">
        <f t="shared" si="13"/>
        <v>-8528.5762191788945</v>
      </c>
      <c r="R126" s="95">
        <f t="shared" si="14"/>
        <v>14333.106212228533</v>
      </c>
      <c r="S126" s="62"/>
      <c r="T126" s="43"/>
      <c r="U126" s="92" t="s">
        <v>215</v>
      </c>
      <c r="V126" s="93">
        <v>5</v>
      </c>
      <c r="W126" s="41">
        <f t="shared" si="15"/>
        <v>407732.56921306311</v>
      </c>
    </row>
    <row r="127" spans="1:23" ht="15" customHeight="1" x14ac:dyDescent="0.2">
      <c r="A127" s="41">
        <v>301</v>
      </c>
      <c r="B127" s="75" t="s">
        <v>79</v>
      </c>
      <c r="C127" s="61">
        <v>22073</v>
      </c>
      <c r="D127" s="59">
        <v>20</v>
      </c>
      <c r="E127" s="55">
        <v>7.6899999999999995</v>
      </c>
      <c r="F127" s="56">
        <v>3681.4197705842193</v>
      </c>
      <c r="G127" s="56">
        <f t="shared" si="16"/>
        <v>-3674.5421589700618</v>
      </c>
      <c r="H127" s="57">
        <v>-1555.8176958274814</v>
      </c>
      <c r="I127" s="57">
        <v>-50.350285416572284</v>
      </c>
      <c r="J127" s="57">
        <f t="shared" si="17"/>
        <v>-2068.3741777260079</v>
      </c>
      <c r="K127" s="57">
        <v>-2117.3303690312396</v>
      </c>
      <c r="L127" s="57">
        <v>61.308248702301292</v>
      </c>
      <c r="M127" s="57">
        <v>-12.352057397069585</v>
      </c>
      <c r="N127" s="56">
        <f t="shared" si="18"/>
        <v>6.8776116141575585</v>
      </c>
      <c r="O127" s="56">
        <f t="shared" si="19"/>
        <v>-34341.563999999998</v>
      </c>
      <c r="P127" s="56">
        <f t="shared" si="20"/>
        <v>-1111.3818500000002</v>
      </c>
      <c r="Q127" s="56">
        <f t="shared" si="13"/>
        <v>-45655.223224946174</v>
      </c>
      <c r="R127" s="95">
        <f t="shared" si="14"/>
        <v>81259.978596105473</v>
      </c>
      <c r="S127" s="63"/>
      <c r="T127" s="90"/>
      <c r="U127" s="92" t="s">
        <v>219</v>
      </c>
      <c r="V127" s="93">
        <v>1</v>
      </c>
      <c r="W127" s="41">
        <f t="shared" si="15"/>
        <v>-272646.96292551694</v>
      </c>
    </row>
    <row r="128" spans="1:23" ht="15" customHeight="1" x14ac:dyDescent="0.2">
      <c r="A128" s="41">
        <v>305</v>
      </c>
      <c r="B128" s="75" t="s">
        <v>80</v>
      </c>
      <c r="C128" s="61">
        <v>15823</v>
      </c>
      <c r="D128" s="59">
        <v>20</v>
      </c>
      <c r="E128" s="55">
        <v>7.6899999999999995</v>
      </c>
      <c r="F128" s="56">
        <v>3916.2699430151347</v>
      </c>
      <c r="G128" s="56">
        <f t="shared" si="16"/>
        <v>-3910.2005402085369</v>
      </c>
      <c r="H128" s="57">
        <v>-1604.5348543259811</v>
      </c>
      <c r="I128" s="57">
        <v>-67.586301586298447</v>
      </c>
      <c r="J128" s="57">
        <f t="shared" si="17"/>
        <v>-2238.0793842962576</v>
      </c>
      <c r="K128" s="57">
        <v>-2187.9015051296938</v>
      </c>
      <c r="L128" s="57">
        <v>-16.672201256025375</v>
      </c>
      <c r="M128" s="57">
        <v>-33.505677910538253</v>
      </c>
      <c r="N128" s="56">
        <f t="shared" si="18"/>
        <v>6.0694028065977363</v>
      </c>
      <c r="O128" s="56">
        <f t="shared" si="19"/>
        <v>-25388.555</v>
      </c>
      <c r="P128" s="56">
        <f t="shared" si="20"/>
        <v>-1069.4180500000002</v>
      </c>
      <c r="Q128" s="56">
        <f t="shared" si="13"/>
        <v>-35413.130097719688</v>
      </c>
      <c r="R128" s="95">
        <f t="shared" si="14"/>
        <v>61967.139308328478</v>
      </c>
      <c r="S128" s="63"/>
      <c r="T128" s="43"/>
      <c r="U128" s="92" t="s">
        <v>242</v>
      </c>
      <c r="V128" s="93">
        <v>3</v>
      </c>
      <c r="W128" s="41">
        <f t="shared" si="15"/>
        <v>-530160.34157844679</v>
      </c>
    </row>
    <row r="129" spans="1:23" ht="15" customHeight="1" x14ac:dyDescent="0.2">
      <c r="A129" s="41">
        <v>257</v>
      </c>
      <c r="B129" s="75" t="s">
        <v>262</v>
      </c>
      <c r="C129" s="61">
        <v>38220</v>
      </c>
      <c r="D129" s="59">
        <v>19.5</v>
      </c>
      <c r="E129" s="55">
        <v>7.1899999999999995</v>
      </c>
      <c r="F129" s="56">
        <v>2592.4837585922069</v>
      </c>
      <c r="G129" s="56">
        <f t="shared" si="16"/>
        <v>-2586.0793504777107</v>
      </c>
      <c r="H129" s="57">
        <v>-2652.2904238618526</v>
      </c>
      <c r="I129" s="57">
        <v>-54.724729199372064</v>
      </c>
      <c r="J129" s="57">
        <f t="shared" si="17"/>
        <v>120.93580258351395</v>
      </c>
      <c r="K129" s="57">
        <v>48.527966629163366</v>
      </c>
      <c r="L129" s="57">
        <v>67.8871477487492</v>
      </c>
      <c r="M129" s="57">
        <v>4.520688205601374</v>
      </c>
      <c r="N129" s="56">
        <f t="shared" si="18"/>
        <v>6.4044081144961638</v>
      </c>
      <c r="O129" s="56">
        <f t="shared" si="19"/>
        <v>-101370.54000000001</v>
      </c>
      <c r="P129" s="56">
        <f t="shared" si="20"/>
        <v>-2091.5791500000005</v>
      </c>
      <c r="Q129" s="56">
        <f t="shared" si="13"/>
        <v>4622.1663747419034</v>
      </c>
      <c r="R129" s="95">
        <f t="shared" si="14"/>
        <v>99084.729253394151</v>
      </c>
      <c r="S129" s="63"/>
      <c r="T129" s="43"/>
      <c r="U129" s="92" t="s">
        <v>242</v>
      </c>
      <c r="V129" s="93">
        <v>4</v>
      </c>
      <c r="W129" s="41">
        <f t="shared" si="15"/>
        <v>172780.70321808453</v>
      </c>
    </row>
    <row r="130" spans="1:23" ht="15" customHeight="1" x14ac:dyDescent="0.2">
      <c r="A130" s="41">
        <v>312</v>
      </c>
      <c r="B130" s="75" t="s">
        <v>82</v>
      </c>
      <c r="C130" s="61">
        <v>1399</v>
      </c>
      <c r="D130" s="59">
        <v>20.5</v>
      </c>
      <c r="E130" s="55">
        <v>8.19</v>
      </c>
      <c r="F130" s="56">
        <v>4089.1285596685902</v>
      </c>
      <c r="G130" s="56">
        <f t="shared" si="16"/>
        <v>-4081.7361887450475</v>
      </c>
      <c r="H130" s="57">
        <v>-1439.6111508220158</v>
      </c>
      <c r="I130" s="57">
        <v>-121.57051465332383</v>
      </c>
      <c r="J130" s="57">
        <f t="shared" si="17"/>
        <v>-2520.5545232697077</v>
      </c>
      <c r="K130" s="57">
        <v>-2411.9954999426254</v>
      </c>
      <c r="L130" s="57">
        <v>-22.553967540732518</v>
      </c>
      <c r="M130" s="57">
        <v>-86.005055786349558</v>
      </c>
      <c r="N130" s="56">
        <f t="shared" si="18"/>
        <v>7.392370923542785</v>
      </c>
      <c r="O130" s="56">
        <f t="shared" si="19"/>
        <v>-2014.0160000000003</v>
      </c>
      <c r="P130" s="56">
        <f t="shared" si="20"/>
        <v>-170.07715000000002</v>
      </c>
      <c r="Q130" s="56">
        <f t="shared" si="13"/>
        <v>-3526.2557780543211</v>
      </c>
      <c r="R130" s="95">
        <f t="shared" si="14"/>
        <v>5720.6908549763584</v>
      </c>
      <c r="S130" s="63"/>
      <c r="T130" s="43"/>
      <c r="U130" s="92" t="s">
        <v>231</v>
      </c>
      <c r="V130" s="93">
        <v>1</v>
      </c>
      <c r="W130" s="41">
        <f t="shared" si="15"/>
        <v>-120321.07304510302</v>
      </c>
    </row>
    <row r="131" spans="1:23" ht="15" customHeight="1" x14ac:dyDescent="0.2">
      <c r="A131" s="41">
        <v>316</v>
      </c>
      <c r="B131" s="75" t="s">
        <v>83</v>
      </c>
      <c r="C131" s="61">
        <v>4647</v>
      </c>
      <c r="D131" s="59">
        <v>21.75</v>
      </c>
      <c r="E131" s="55">
        <v>9.44</v>
      </c>
      <c r="F131" s="56">
        <v>3413.0906177489528</v>
      </c>
      <c r="G131" s="56">
        <f t="shared" si="16"/>
        <v>-3405.6978236733921</v>
      </c>
      <c r="H131" s="57">
        <v>-1724.9470626210459</v>
      </c>
      <c r="I131" s="57">
        <v>-44.067678071874354</v>
      </c>
      <c r="J131" s="57">
        <f t="shared" si="17"/>
        <v>-1636.6830829804719</v>
      </c>
      <c r="K131" s="57">
        <v>-1360.5899229415586</v>
      </c>
      <c r="L131" s="57">
        <v>-146.10444151774968</v>
      </c>
      <c r="M131" s="57">
        <v>-129.98871852116366</v>
      </c>
      <c r="N131" s="56">
        <f t="shared" si="18"/>
        <v>7.3927940755606869</v>
      </c>
      <c r="O131" s="56">
        <f t="shared" si="19"/>
        <v>-8015.8289999999997</v>
      </c>
      <c r="P131" s="56">
        <f t="shared" si="20"/>
        <v>-204.78250000000011</v>
      </c>
      <c r="Q131" s="56">
        <f t="shared" si="13"/>
        <v>-7605.6662866102533</v>
      </c>
      <c r="R131" s="95">
        <f t="shared" si="14"/>
        <v>15860.632100679384</v>
      </c>
      <c r="S131" s="63"/>
      <c r="T131" s="43"/>
      <c r="U131" s="92" t="s">
        <v>217</v>
      </c>
      <c r="V131" s="93">
        <v>2</v>
      </c>
      <c r="W131" s="41">
        <f t="shared" si="15"/>
        <v>-604057.57496784755</v>
      </c>
    </row>
    <row r="132" spans="1:23" ht="15" customHeight="1" x14ac:dyDescent="0.2">
      <c r="A132" s="41">
        <v>317</v>
      </c>
      <c r="B132" s="75" t="s">
        <v>84</v>
      </c>
      <c r="C132" s="61">
        <v>2696</v>
      </c>
      <c r="D132" s="59">
        <v>21.5</v>
      </c>
      <c r="E132" s="55">
        <v>9.19</v>
      </c>
      <c r="F132" s="56">
        <v>3717.9272586658453</v>
      </c>
      <c r="G132" s="56">
        <f t="shared" si="16"/>
        <v>-3712.5570345550941</v>
      </c>
      <c r="H132" s="57">
        <v>-1252.6876854599407</v>
      </c>
      <c r="I132" s="57">
        <v>-61.825389465875389</v>
      </c>
      <c r="J132" s="57">
        <f t="shared" si="17"/>
        <v>-2398.0439596292781</v>
      </c>
      <c r="K132" s="57">
        <v>-2790.2224080757933</v>
      </c>
      <c r="L132" s="57">
        <v>284.08180937418445</v>
      </c>
      <c r="M132" s="57">
        <v>108.09663907233059</v>
      </c>
      <c r="N132" s="56">
        <f t="shared" si="18"/>
        <v>5.3702241107512236</v>
      </c>
      <c r="O132" s="56">
        <f t="shared" si="19"/>
        <v>-3377.2460000000001</v>
      </c>
      <c r="P132" s="56">
        <f t="shared" si="20"/>
        <v>-166.68125000000006</v>
      </c>
      <c r="Q132" s="56">
        <f t="shared" si="13"/>
        <v>-6465.1265151605339</v>
      </c>
      <c r="R132" s="95">
        <f t="shared" si="14"/>
        <v>10023.531889363119</v>
      </c>
      <c r="S132" s="63"/>
      <c r="T132" s="43"/>
      <c r="U132" s="92" t="s">
        <v>216</v>
      </c>
      <c r="V132" s="93">
        <v>2</v>
      </c>
      <c r="W132" s="41">
        <f t="shared" si="15"/>
        <v>291428.53893900325</v>
      </c>
    </row>
    <row r="133" spans="1:23" ht="15" customHeight="1" x14ac:dyDescent="0.2">
      <c r="A133" s="41">
        <v>398</v>
      </c>
      <c r="B133" s="75" t="s">
        <v>268</v>
      </c>
      <c r="C133" s="61">
        <v>118644</v>
      </c>
      <c r="D133" s="59">
        <v>20.25</v>
      </c>
      <c r="E133" s="55">
        <v>7.9399999999999995</v>
      </c>
      <c r="F133" s="56">
        <v>3043.9999639513121</v>
      </c>
      <c r="G133" s="56">
        <f t="shared" si="16"/>
        <v>-3036.7658732983973</v>
      </c>
      <c r="H133" s="57">
        <v>-1938.8315633323218</v>
      </c>
      <c r="I133" s="57">
        <v>-60.466793095310365</v>
      </c>
      <c r="J133" s="57">
        <f t="shared" si="17"/>
        <v>-1037.4675168707654</v>
      </c>
      <c r="K133" s="57">
        <v>-1270.1305705889142</v>
      </c>
      <c r="L133" s="57">
        <v>77.386657172553626</v>
      </c>
      <c r="M133" s="57">
        <v>155.27639654559528</v>
      </c>
      <c r="N133" s="56">
        <f t="shared" si="18"/>
        <v>7.2340906529148015</v>
      </c>
      <c r="O133" s="56">
        <f t="shared" si="19"/>
        <v>-230030.73200000002</v>
      </c>
      <c r="P133" s="56">
        <f t="shared" si="20"/>
        <v>-7174.0222000000031</v>
      </c>
      <c r="Q133" s="56">
        <f t="shared" si="13"/>
        <v>-123089.29607161508</v>
      </c>
      <c r="R133" s="95">
        <f t="shared" si="14"/>
        <v>361152.33172303945</v>
      </c>
      <c r="S133" s="63"/>
      <c r="T133" s="43"/>
      <c r="U133" s="92" t="s">
        <v>222</v>
      </c>
      <c r="V133" s="93">
        <v>3</v>
      </c>
      <c r="W133" s="41">
        <f t="shared" si="15"/>
        <v>18422612.791755605</v>
      </c>
    </row>
    <row r="134" spans="1:23" ht="15" customHeight="1" x14ac:dyDescent="0.2">
      <c r="A134" s="41">
        <v>399</v>
      </c>
      <c r="B134" s="75" t="s">
        <v>269</v>
      </c>
      <c r="C134" s="61">
        <v>8068</v>
      </c>
      <c r="D134" s="59">
        <v>21.5</v>
      </c>
      <c r="E134" s="55">
        <v>9.19</v>
      </c>
      <c r="F134" s="56">
        <v>3461.7772559559075</v>
      </c>
      <c r="G134" s="56">
        <f t="shared" si="16"/>
        <v>-3454.4199452478365</v>
      </c>
      <c r="H134" s="57">
        <v>-1910.800941993059</v>
      </c>
      <c r="I134" s="57">
        <v>-36.18384357957364</v>
      </c>
      <c r="J134" s="57">
        <f t="shared" si="17"/>
        <v>-1507.4351596752037</v>
      </c>
      <c r="K134" s="57">
        <v>-1127.2508936413071</v>
      </c>
      <c r="L134" s="57">
        <v>-169.62239943086504</v>
      </c>
      <c r="M134" s="57">
        <v>-210.56186660303155</v>
      </c>
      <c r="N134" s="56">
        <f t="shared" si="18"/>
        <v>7.3573107080710543</v>
      </c>
      <c r="O134" s="56">
        <f t="shared" si="19"/>
        <v>-15416.342000000001</v>
      </c>
      <c r="P134" s="56">
        <f t="shared" si="20"/>
        <v>-291.93125000000015</v>
      </c>
      <c r="Q134" s="56">
        <f t="shared" si="13"/>
        <v>-12161.986868259544</v>
      </c>
      <c r="R134" s="95">
        <f t="shared" si="14"/>
        <v>27929.618901052265</v>
      </c>
      <c r="S134" s="62"/>
      <c r="T134" s="43"/>
      <c r="U134" s="92" t="s">
        <v>219</v>
      </c>
      <c r="V134" s="93">
        <v>3</v>
      </c>
      <c r="W134" s="41">
        <f t="shared" si="15"/>
        <v>-1698813.1397532586</v>
      </c>
    </row>
    <row r="135" spans="1:23" ht="15" customHeight="1" x14ac:dyDescent="0.2">
      <c r="A135" s="41">
        <v>400</v>
      </c>
      <c r="B135" s="75" t="s">
        <v>86</v>
      </c>
      <c r="C135" s="61">
        <v>8542</v>
      </c>
      <c r="D135" s="59">
        <v>20.75</v>
      </c>
      <c r="E135" s="55">
        <v>8.44</v>
      </c>
      <c r="F135" s="56">
        <v>3369.1396896200772</v>
      </c>
      <c r="G135" s="56">
        <f t="shared" si="16"/>
        <v>-3361.7810864133462</v>
      </c>
      <c r="H135" s="57">
        <v>-1683.9661671739639</v>
      </c>
      <c r="I135" s="57">
        <v>-66.288363380941249</v>
      </c>
      <c r="J135" s="57">
        <f t="shared" si="17"/>
        <v>-1611.5265558584413</v>
      </c>
      <c r="K135" s="57">
        <v>-1635.5006007116965</v>
      </c>
      <c r="L135" s="57">
        <v>24.375186720326756</v>
      </c>
      <c r="M135" s="57">
        <v>-0.40114186707161537</v>
      </c>
      <c r="N135" s="56">
        <f t="shared" si="18"/>
        <v>7.3586032067310043</v>
      </c>
      <c r="O135" s="56">
        <f t="shared" si="19"/>
        <v>-14384.439</v>
      </c>
      <c r="P135" s="56">
        <f t="shared" si="20"/>
        <v>-566.23520000000019</v>
      </c>
      <c r="Q135" s="56">
        <f t="shared" si="13"/>
        <v>-13765.659840142805</v>
      </c>
      <c r="R135" s="95">
        <f t="shared" si="14"/>
        <v>28779.1912287347</v>
      </c>
      <c r="S135" s="63"/>
      <c r="T135" s="90"/>
      <c r="U135" s="92" t="s">
        <v>217</v>
      </c>
      <c r="V135" s="93">
        <v>7</v>
      </c>
      <c r="W135" s="41">
        <f t="shared" si="15"/>
        <v>-3426.5538285257385</v>
      </c>
    </row>
    <row r="136" spans="1:23" ht="15" customHeight="1" x14ac:dyDescent="0.2">
      <c r="A136" s="41">
        <v>402</v>
      </c>
      <c r="B136" s="75" t="s">
        <v>87</v>
      </c>
      <c r="C136" s="61">
        <v>10093</v>
      </c>
      <c r="D136" s="59">
        <v>20.25</v>
      </c>
      <c r="E136" s="55">
        <v>7.9399999999999995</v>
      </c>
      <c r="F136" s="56">
        <v>3847.732884600106</v>
      </c>
      <c r="G136" s="56">
        <f t="shared" si="16"/>
        <v>-3843.7582199270942</v>
      </c>
      <c r="H136" s="57">
        <v>-1518.7018725849598</v>
      </c>
      <c r="I136" s="57">
        <v>-54.557321906271703</v>
      </c>
      <c r="J136" s="57">
        <f t="shared" si="17"/>
        <v>-2270.4990254358627</v>
      </c>
      <c r="K136" s="57">
        <v>-2371.4883556006926</v>
      </c>
      <c r="L136" s="57">
        <v>79.122219405111409</v>
      </c>
      <c r="M136" s="57">
        <v>21.867110759718216</v>
      </c>
      <c r="N136" s="56">
        <f t="shared" si="18"/>
        <v>3.97466467301183</v>
      </c>
      <c r="O136" s="56">
        <f t="shared" si="19"/>
        <v>-15328.258</v>
      </c>
      <c r="P136" s="56">
        <f t="shared" si="20"/>
        <v>-550.64705000000026</v>
      </c>
      <c r="Q136" s="56">
        <f t="shared" si="13"/>
        <v>-22916.146663724161</v>
      </c>
      <c r="R136" s="95">
        <f t="shared" si="14"/>
        <v>38835.168004268868</v>
      </c>
      <c r="S136" s="63"/>
      <c r="T136" s="43"/>
      <c r="U136" s="92" t="s">
        <v>219</v>
      </c>
      <c r="V136" s="93">
        <v>3</v>
      </c>
      <c r="W136" s="41">
        <f t="shared" si="15"/>
        <v>220704.74889783596</v>
      </c>
    </row>
    <row r="137" spans="1:23" ht="15" customHeight="1" x14ac:dyDescent="0.2">
      <c r="A137" s="41">
        <v>403</v>
      </c>
      <c r="B137" s="75" t="s">
        <v>88</v>
      </c>
      <c r="C137" s="61">
        <v>3259</v>
      </c>
      <c r="D137" s="59">
        <v>21</v>
      </c>
      <c r="E137" s="55">
        <v>8.69</v>
      </c>
      <c r="F137" s="56">
        <v>3870.4752495905318</v>
      </c>
      <c r="G137" s="56">
        <f t="shared" si="16"/>
        <v>-3863.0887269226887</v>
      </c>
      <c r="H137" s="57">
        <v>-1459.4179196072414</v>
      </c>
      <c r="I137" s="57">
        <v>-100.79243633016264</v>
      </c>
      <c r="J137" s="57">
        <f t="shared" si="17"/>
        <v>-2302.8783709852846</v>
      </c>
      <c r="K137" s="57">
        <v>-2772.4691850897289</v>
      </c>
      <c r="L137" s="57">
        <v>313.80130856269693</v>
      </c>
      <c r="M137" s="57">
        <v>155.78950554174691</v>
      </c>
      <c r="N137" s="56">
        <f t="shared" si="18"/>
        <v>7.38652266784311</v>
      </c>
      <c r="O137" s="56">
        <f t="shared" si="19"/>
        <v>-4756.2430000000004</v>
      </c>
      <c r="P137" s="56">
        <f t="shared" si="20"/>
        <v>-328.48255000000006</v>
      </c>
      <c r="Q137" s="56">
        <f t="shared" si="13"/>
        <v>-7505.0806110410431</v>
      </c>
      <c r="R137" s="95">
        <f t="shared" si="14"/>
        <v>12613.878838415543</v>
      </c>
      <c r="S137" s="63"/>
      <c r="T137" s="43"/>
      <c r="U137" s="92" t="s">
        <v>239</v>
      </c>
      <c r="V137" s="93">
        <v>3</v>
      </c>
      <c r="W137" s="41">
        <f t="shared" si="15"/>
        <v>507717.99856055318</v>
      </c>
    </row>
    <row r="138" spans="1:23" ht="15" customHeight="1" x14ac:dyDescent="0.2">
      <c r="A138" s="41">
        <v>408</v>
      </c>
      <c r="B138" s="75" t="s">
        <v>272</v>
      </c>
      <c r="C138" s="61">
        <v>14733</v>
      </c>
      <c r="D138" s="59">
        <v>21</v>
      </c>
      <c r="E138" s="55">
        <v>8.69</v>
      </c>
      <c r="F138" s="56">
        <v>3231.6557345504143</v>
      </c>
      <c r="G138" s="56">
        <f t="shared" si="16"/>
        <v>-3224.5752614576909</v>
      </c>
      <c r="H138" s="57">
        <v>-1680.9184823186044</v>
      </c>
      <c r="I138" s="57">
        <v>-48.316466435892231</v>
      </c>
      <c r="J138" s="57">
        <f t="shared" si="17"/>
        <v>-1495.3403127031943</v>
      </c>
      <c r="K138" s="57">
        <v>-1688.1146472567325</v>
      </c>
      <c r="L138" s="57">
        <v>146.73251950942569</v>
      </c>
      <c r="M138" s="57">
        <v>46.041815044112496</v>
      </c>
      <c r="N138" s="56">
        <f t="shared" si="18"/>
        <v>7.0804730927234232</v>
      </c>
      <c r="O138" s="56">
        <f t="shared" si="19"/>
        <v>-24764.972000000002</v>
      </c>
      <c r="P138" s="56">
        <f t="shared" si="20"/>
        <v>-711.84650000000022</v>
      </c>
      <c r="Q138" s="56">
        <f t="shared" si="13"/>
        <v>-22030.848827056161</v>
      </c>
      <c r="R138" s="95">
        <f t="shared" si="14"/>
        <v>47611.983937131256</v>
      </c>
      <c r="S138" s="62"/>
      <c r="T138" s="90"/>
      <c r="U138" s="92" t="s">
        <v>243</v>
      </c>
      <c r="V138" s="93">
        <v>6</v>
      </c>
      <c r="W138" s="41">
        <f t="shared" si="15"/>
        <v>678334.06104490941</v>
      </c>
    </row>
    <row r="139" spans="1:23" ht="15" customHeight="1" x14ac:dyDescent="0.2">
      <c r="A139" s="41">
        <v>407</v>
      </c>
      <c r="B139" s="75" t="s">
        <v>270</v>
      </c>
      <c r="C139" s="61">
        <v>2779</v>
      </c>
      <c r="D139" s="59">
        <v>20.5</v>
      </c>
      <c r="E139" s="55">
        <v>8.19</v>
      </c>
      <c r="F139" s="56">
        <v>3351.7436003426055</v>
      </c>
      <c r="G139" s="56">
        <f t="shared" si="16"/>
        <v>-3344.3605836274983</v>
      </c>
      <c r="H139" s="57">
        <v>-1647.9197553076647</v>
      </c>
      <c r="I139" s="57">
        <v>-48.508384310903217</v>
      </c>
      <c r="J139" s="57">
        <f t="shared" si="17"/>
        <v>-1647.9324440089304</v>
      </c>
      <c r="K139" s="57">
        <v>-1742.943106317791</v>
      </c>
      <c r="L139" s="57">
        <v>88.015105741950578</v>
      </c>
      <c r="M139" s="57">
        <v>6.9955565669101532</v>
      </c>
      <c r="N139" s="56">
        <f t="shared" si="18"/>
        <v>7.3830167151072601</v>
      </c>
      <c r="O139" s="56">
        <f t="shared" si="19"/>
        <v>-4579.5690000000004</v>
      </c>
      <c r="P139" s="56">
        <f t="shared" si="20"/>
        <v>-134.80480000000006</v>
      </c>
      <c r="Q139" s="56">
        <f t="shared" si="13"/>
        <v>-4579.6042619008167</v>
      </c>
      <c r="R139" s="95">
        <f t="shared" si="14"/>
        <v>9314.4954653521017</v>
      </c>
      <c r="S139" s="63"/>
      <c r="T139" s="90"/>
      <c r="U139" s="92" t="s">
        <v>248</v>
      </c>
      <c r="V139" s="93">
        <v>3</v>
      </c>
      <c r="W139" s="41">
        <f t="shared" si="15"/>
        <v>19440.651699443315</v>
      </c>
    </row>
    <row r="140" spans="1:23" ht="15" customHeight="1" x14ac:dyDescent="0.2">
      <c r="A140" s="41">
        <v>440</v>
      </c>
      <c r="B140" s="75" t="s">
        <v>277</v>
      </c>
      <c r="C140" s="61">
        <v>5107</v>
      </c>
      <c r="D140" s="59">
        <v>19.5</v>
      </c>
      <c r="E140" s="55">
        <v>7.1899999999999995</v>
      </c>
      <c r="F140" s="56">
        <v>2659.4921371534583</v>
      </c>
      <c r="G140" s="56">
        <f t="shared" si="16"/>
        <v>-2652.1355905353112</v>
      </c>
      <c r="H140" s="57">
        <v>-1578.9784609359701</v>
      </c>
      <c r="I140" s="57">
        <v>-17.861298218131981</v>
      </c>
      <c r="J140" s="57">
        <f t="shared" si="17"/>
        <v>-1055.2958313812092</v>
      </c>
      <c r="K140" s="57">
        <v>-739.03085590572448</v>
      </c>
      <c r="L140" s="57">
        <v>-49.83791801369977</v>
      </c>
      <c r="M140" s="57">
        <v>-266.4270574617849</v>
      </c>
      <c r="N140" s="56">
        <f t="shared" si="18"/>
        <v>7.3565466181471493</v>
      </c>
      <c r="O140" s="56">
        <f t="shared" si="19"/>
        <v>-8063.8429999999989</v>
      </c>
      <c r="P140" s="56">
        <f t="shared" si="20"/>
        <v>-91.21765000000002</v>
      </c>
      <c r="Q140" s="56">
        <f t="shared" si="13"/>
        <v>-5389.3958108638353</v>
      </c>
      <c r="R140" s="95">
        <f t="shared" si="14"/>
        <v>13582.026344442713</v>
      </c>
      <c r="S140" s="63"/>
      <c r="T140" s="43"/>
      <c r="U140" s="92" t="s">
        <v>216</v>
      </c>
      <c r="V140" s="93">
        <v>2</v>
      </c>
      <c r="W140" s="41">
        <f t="shared" si="15"/>
        <v>-1360642.9824573356</v>
      </c>
    </row>
    <row r="141" spans="1:23" ht="15" customHeight="1" x14ac:dyDescent="0.2">
      <c r="A141" s="41">
        <v>410</v>
      </c>
      <c r="B141" s="75" t="s">
        <v>89</v>
      </c>
      <c r="C141" s="61">
        <v>18709</v>
      </c>
      <c r="D141" s="59">
        <v>21.5</v>
      </c>
      <c r="E141" s="55">
        <v>9.19</v>
      </c>
      <c r="F141" s="56">
        <v>3011.3212347006788</v>
      </c>
      <c r="G141" s="56">
        <f t="shared" si="16"/>
        <v>-3004.3909898069851</v>
      </c>
      <c r="H141" s="57">
        <v>-1746.4817467528997</v>
      </c>
      <c r="I141" s="57">
        <v>-36.579076914853836</v>
      </c>
      <c r="J141" s="57">
        <f t="shared" si="17"/>
        <v>-1221.3301661392316</v>
      </c>
      <c r="K141" s="57">
        <v>-1036.1149378709472</v>
      </c>
      <c r="L141" s="57">
        <v>-101.75614611558387</v>
      </c>
      <c r="M141" s="57">
        <v>-83.459082152700446</v>
      </c>
      <c r="N141" s="56">
        <f t="shared" si="18"/>
        <v>6.9302448936937253</v>
      </c>
      <c r="O141" s="56">
        <f t="shared" si="19"/>
        <v>-32674.927</v>
      </c>
      <c r="P141" s="56">
        <f t="shared" si="20"/>
        <v>-684.35795000000041</v>
      </c>
      <c r="Q141" s="56">
        <f t="shared" si="13"/>
        <v>-22849.866078298881</v>
      </c>
      <c r="R141" s="95">
        <f t="shared" si="14"/>
        <v>56338.808980015005</v>
      </c>
      <c r="S141" s="63"/>
      <c r="T141" s="90"/>
      <c r="U141" s="92" t="s">
        <v>218</v>
      </c>
      <c r="V141" s="93">
        <v>2</v>
      </c>
      <c r="W141" s="41">
        <f t="shared" si="15"/>
        <v>-1561435.9679948727</v>
      </c>
    </row>
    <row r="142" spans="1:23" ht="15" customHeight="1" x14ac:dyDescent="0.2">
      <c r="A142" s="41">
        <v>416</v>
      </c>
      <c r="B142" s="75" t="s">
        <v>90</v>
      </c>
      <c r="C142" s="61">
        <v>3116</v>
      </c>
      <c r="D142" s="59">
        <v>21</v>
      </c>
      <c r="E142" s="55">
        <v>8.69</v>
      </c>
      <c r="F142" s="56">
        <v>3004.0009991355996</v>
      </c>
      <c r="G142" s="56">
        <f t="shared" si="16"/>
        <v>-2996.6298025957385</v>
      </c>
      <c r="H142" s="57">
        <v>-1681.9881258023106</v>
      </c>
      <c r="I142" s="57">
        <v>-50.787724646983328</v>
      </c>
      <c r="J142" s="57">
        <f t="shared" si="17"/>
        <v>-1263.8539521464443</v>
      </c>
      <c r="K142" s="57">
        <v>-1330.5224944255112</v>
      </c>
      <c r="L142" s="57">
        <v>58.918893894003112</v>
      </c>
      <c r="M142" s="57">
        <v>7.7496483850639493</v>
      </c>
      <c r="N142" s="56">
        <f t="shared" si="18"/>
        <v>7.3711965398611028</v>
      </c>
      <c r="O142" s="56">
        <f t="shared" si="19"/>
        <v>-5241.0749999999998</v>
      </c>
      <c r="P142" s="56">
        <f t="shared" si="20"/>
        <v>-158.25455000000005</v>
      </c>
      <c r="Q142" s="56">
        <f t="shared" si="13"/>
        <v>-3938.1689148883206</v>
      </c>
      <c r="R142" s="95">
        <f t="shared" si="14"/>
        <v>9360.4671133065276</v>
      </c>
      <c r="S142" s="63"/>
      <c r="T142" s="90"/>
      <c r="U142" s="92" t="s">
        <v>215</v>
      </c>
      <c r="V142" s="93">
        <v>4</v>
      </c>
      <c r="W142" s="41">
        <f t="shared" si="15"/>
        <v>24147.904367859264</v>
      </c>
    </row>
    <row r="143" spans="1:23" ht="15" customHeight="1" x14ac:dyDescent="0.2">
      <c r="A143" s="41">
        <v>418</v>
      </c>
      <c r="B143" s="75" t="s">
        <v>91</v>
      </c>
      <c r="C143" s="61">
        <v>22233</v>
      </c>
      <c r="D143" s="59">
        <v>20.5</v>
      </c>
      <c r="E143" s="55">
        <v>8.19</v>
      </c>
      <c r="F143" s="56">
        <v>2775.4888391318204</v>
      </c>
      <c r="G143" s="56">
        <f t="shared" si="16"/>
        <v>-2768.1437516658498</v>
      </c>
      <c r="H143" s="57">
        <v>-2091.9781406018083</v>
      </c>
      <c r="I143" s="57">
        <v>-58.204023298700164</v>
      </c>
      <c r="J143" s="57">
        <f t="shared" si="17"/>
        <v>-617.96158776534151</v>
      </c>
      <c r="K143" s="57">
        <v>-389.19270913263961</v>
      </c>
      <c r="L143" s="57">
        <v>-150.46305652569967</v>
      </c>
      <c r="M143" s="57">
        <v>-78.305822107002172</v>
      </c>
      <c r="N143" s="56">
        <f t="shared" si="18"/>
        <v>7.3450874659706642</v>
      </c>
      <c r="O143" s="56">
        <f t="shared" si="19"/>
        <v>-46510.950000000004</v>
      </c>
      <c r="P143" s="56">
        <f t="shared" si="20"/>
        <v>-1294.0500500000007</v>
      </c>
      <c r="Q143" s="56">
        <f t="shared" ref="Q143:Q206" si="21">C143*J143*0.001</f>
        <v>-13739.139980786838</v>
      </c>
      <c r="R143" s="95">
        <f t="shared" ref="R143:R206" si="22">F143*C143*0.001</f>
        <v>61707.443360417761</v>
      </c>
      <c r="S143" s="63"/>
      <c r="T143" s="43"/>
      <c r="U143" s="92" t="s">
        <v>231</v>
      </c>
      <c r="V143" s="93">
        <v>4</v>
      </c>
      <c r="W143" s="41">
        <f t="shared" ref="W143:W206" si="23">M143*C143</f>
        <v>-1740973.3429049794</v>
      </c>
    </row>
    <row r="144" spans="1:23" ht="15" customHeight="1" x14ac:dyDescent="0.2">
      <c r="A144" s="41">
        <v>420</v>
      </c>
      <c r="B144" s="75" t="s">
        <v>92</v>
      </c>
      <c r="C144" s="61">
        <v>10015</v>
      </c>
      <c r="D144" s="59">
        <v>20</v>
      </c>
      <c r="E144" s="55">
        <v>7.6899999999999995</v>
      </c>
      <c r="F144" s="56">
        <v>3541.5367221848478</v>
      </c>
      <c r="G144" s="56">
        <f t="shared" ref="G144:G207" si="24">H144+I144+J144</f>
        <v>-3534.1930041136147</v>
      </c>
      <c r="H144" s="57">
        <v>-1737.3234148776835</v>
      </c>
      <c r="I144" s="57">
        <v>-72.618117823265123</v>
      </c>
      <c r="J144" s="57">
        <f t="shared" ref="J144:J207" si="25">K144+L144+M144</f>
        <v>-1724.2514714126664</v>
      </c>
      <c r="K144" s="57">
        <v>-2150.9268562271332</v>
      </c>
      <c r="L144" s="57">
        <v>280.94411385450803</v>
      </c>
      <c r="M144" s="57">
        <v>145.73127095995858</v>
      </c>
      <c r="N144" s="56">
        <f t="shared" ref="N144:N207" si="26">F144+G144</f>
        <v>7.3437180712330701</v>
      </c>
      <c r="O144" s="56">
        <f t="shared" ref="O144:O207" si="27">C144*H144*0.001</f>
        <v>-17399.294000000002</v>
      </c>
      <c r="P144" s="56">
        <f t="shared" ref="P144:P207" si="28">C144*I144*0.001</f>
        <v>-727.27045000000021</v>
      </c>
      <c r="Q144" s="56">
        <f t="shared" si="21"/>
        <v>-17268.378486197857</v>
      </c>
      <c r="R144" s="95">
        <f t="shared" si="22"/>
        <v>35468.490272681251</v>
      </c>
      <c r="S144" s="63"/>
      <c r="T144" s="43"/>
      <c r="U144" s="92" t="s">
        <v>243</v>
      </c>
      <c r="V144" s="93">
        <v>2</v>
      </c>
      <c r="W144" s="41">
        <f t="shared" si="23"/>
        <v>1459498.6786639851</v>
      </c>
    </row>
    <row r="145" spans="1:23" ht="15" customHeight="1" x14ac:dyDescent="0.2">
      <c r="A145" s="41">
        <v>421</v>
      </c>
      <c r="B145" s="75" t="s">
        <v>93</v>
      </c>
      <c r="C145" s="61">
        <v>817</v>
      </c>
      <c r="D145" s="59">
        <v>21</v>
      </c>
      <c r="E145" s="55">
        <v>8.69</v>
      </c>
      <c r="F145" s="56">
        <v>3945.5721809647457</v>
      </c>
      <c r="G145" s="56">
        <f t="shared" si="24"/>
        <v>-3938.2047502546598</v>
      </c>
      <c r="H145" s="57">
        <v>-1332.545899632803</v>
      </c>
      <c r="I145" s="57">
        <v>-132.50826193390461</v>
      </c>
      <c r="J145" s="57">
        <f t="shared" si="25"/>
        <v>-2473.1505886879522</v>
      </c>
      <c r="K145" s="57">
        <v>-2733.636821787994</v>
      </c>
      <c r="L145" s="57">
        <v>195.79706084151442</v>
      </c>
      <c r="M145" s="57">
        <v>64.689172258527222</v>
      </c>
      <c r="N145" s="56">
        <f t="shared" si="26"/>
        <v>7.3674307100859551</v>
      </c>
      <c r="O145" s="56">
        <f t="shared" si="27"/>
        <v>-1088.69</v>
      </c>
      <c r="P145" s="56">
        <f t="shared" si="28"/>
        <v>-108.25925000000007</v>
      </c>
      <c r="Q145" s="56">
        <f t="shared" si="21"/>
        <v>-2020.5640309580569</v>
      </c>
      <c r="R145" s="95">
        <f t="shared" si="22"/>
        <v>3223.5324718481975</v>
      </c>
      <c r="S145" s="63"/>
      <c r="T145" s="43"/>
      <c r="U145" s="92" t="s">
        <v>214</v>
      </c>
      <c r="V145" s="93">
        <v>5</v>
      </c>
      <c r="W145" s="41">
        <f t="shared" si="23"/>
        <v>52851.053735216738</v>
      </c>
    </row>
    <row r="146" spans="1:23" ht="15" customHeight="1" x14ac:dyDescent="0.2">
      <c r="A146" s="41">
        <v>422</v>
      </c>
      <c r="B146" s="75" t="s">
        <v>94</v>
      </c>
      <c r="C146" s="61">
        <v>12117</v>
      </c>
      <c r="D146" s="59">
        <v>21</v>
      </c>
      <c r="E146" s="55">
        <v>8.69</v>
      </c>
      <c r="F146" s="56">
        <v>4169.6965366786199</v>
      </c>
      <c r="G146" s="56">
        <f t="shared" si="24"/>
        <v>-4168.2916960611274</v>
      </c>
      <c r="H146" s="57">
        <v>-1581.020054468928</v>
      </c>
      <c r="I146" s="57">
        <v>-117.10153915985809</v>
      </c>
      <c r="J146" s="57">
        <f t="shared" si="25"/>
        <v>-2470.1701024323415</v>
      </c>
      <c r="K146" s="57">
        <v>-2725.0407120927534</v>
      </c>
      <c r="L146" s="57">
        <v>147.99653318859157</v>
      </c>
      <c r="M146" s="57">
        <v>106.87407647182027</v>
      </c>
      <c r="N146" s="56">
        <f t="shared" si="26"/>
        <v>1.4048406174924821</v>
      </c>
      <c r="O146" s="56">
        <f t="shared" si="27"/>
        <v>-19157.22</v>
      </c>
      <c r="P146" s="56">
        <f t="shared" si="28"/>
        <v>-1418.9193500000006</v>
      </c>
      <c r="Q146" s="56">
        <f t="shared" si="21"/>
        <v>-29931.051131172684</v>
      </c>
      <c r="R146" s="95">
        <f t="shared" si="22"/>
        <v>50524.21293493484</v>
      </c>
      <c r="S146" s="63"/>
      <c r="T146" s="43"/>
      <c r="U146" s="92" t="s">
        <v>239</v>
      </c>
      <c r="V146" s="93">
        <v>3</v>
      </c>
      <c r="W146" s="41">
        <f t="shared" si="23"/>
        <v>1294993.1846090462</v>
      </c>
    </row>
    <row r="147" spans="1:23" ht="15" customHeight="1" x14ac:dyDescent="0.2">
      <c r="A147" s="41">
        <v>425</v>
      </c>
      <c r="B147" s="75" t="s">
        <v>274</v>
      </c>
      <c r="C147" s="61">
        <v>9740</v>
      </c>
      <c r="D147" s="59">
        <v>20.5</v>
      </c>
      <c r="E147" s="55">
        <v>8.19</v>
      </c>
      <c r="F147" s="56">
        <v>2557.9855935104915</v>
      </c>
      <c r="G147" s="56">
        <f t="shared" si="24"/>
        <v>-2550.6388516872275</v>
      </c>
      <c r="H147" s="57">
        <v>-1642.8870636550307</v>
      </c>
      <c r="I147" s="57">
        <v>-20.491427104722806</v>
      </c>
      <c r="J147" s="57">
        <f t="shared" si="25"/>
        <v>-887.26036092747427</v>
      </c>
      <c r="K147" s="57">
        <v>-497.57598875100769</v>
      </c>
      <c r="L147" s="57">
        <v>-163.77951338425848</v>
      </c>
      <c r="M147" s="57">
        <v>-225.90485879220813</v>
      </c>
      <c r="N147" s="56">
        <f t="shared" si="26"/>
        <v>7.346741823263983</v>
      </c>
      <c r="O147" s="56">
        <f t="shared" si="27"/>
        <v>-16001.720000000001</v>
      </c>
      <c r="P147" s="56">
        <f t="shared" si="28"/>
        <v>-199.58650000000014</v>
      </c>
      <c r="Q147" s="56">
        <f t="shared" si="21"/>
        <v>-8641.9159154335994</v>
      </c>
      <c r="R147" s="95">
        <f t="shared" si="22"/>
        <v>24914.779680792188</v>
      </c>
      <c r="S147" s="63"/>
      <c r="T147" s="43"/>
      <c r="U147" s="92" t="s">
        <v>242</v>
      </c>
      <c r="V147" s="93">
        <v>4</v>
      </c>
      <c r="W147" s="41">
        <f t="shared" si="23"/>
        <v>-2200313.3246361073</v>
      </c>
    </row>
    <row r="148" spans="1:23" ht="15" customHeight="1" x14ac:dyDescent="0.2">
      <c r="A148" s="41">
        <v>426</v>
      </c>
      <c r="B148" s="75" t="s">
        <v>95</v>
      </c>
      <c r="C148" s="61">
        <v>12335</v>
      </c>
      <c r="D148" s="59">
        <v>21.5</v>
      </c>
      <c r="E148" s="55">
        <v>9.19</v>
      </c>
      <c r="F148" s="56">
        <v>3390.9460638771766</v>
      </c>
      <c r="G148" s="56">
        <f t="shared" si="24"/>
        <v>-3383.57434624394</v>
      </c>
      <c r="H148" s="57">
        <v>-1639.3785164167004</v>
      </c>
      <c r="I148" s="57">
        <v>-35.232979327117967</v>
      </c>
      <c r="J148" s="57">
        <f t="shared" si="25"/>
        <v>-1708.9628505001215</v>
      </c>
      <c r="K148" s="57">
        <v>-1525.5542371274098</v>
      </c>
      <c r="L148" s="57">
        <v>-96.366886018579109</v>
      </c>
      <c r="M148" s="57">
        <v>-87.04172735413249</v>
      </c>
      <c r="N148" s="56">
        <f t="shared" si="26"/>
        <v>7.3717176332365852</v>
      </c>
      <c r="O148" s="56">
        <f t="shared" si="27"/>
        <v>-20221.734</v>
      </c>
      <c r="P148" s="56">
        <f t="shared" si="28"/>
        <v>-434.5988000000001</v>
      </c>
      <c r="Q148" s="56">
        <f t="shared" si="21"/>
        <v>-21080.056760918997</v>
      </c>
      <c r="R148" s="95">
        <f t="shared" si="22"/>
        <v>41827.31969792497</v>
      </c>
      <c r="S148" s="63"/>
      <c r="T148" s="90"/>
      <c r="U148" s="92" t="s">
        <v>219</v>
      </c>
      <c r="V148" s="93">
        <v>4</v>
      </c>
      <c r="W148" s="41">
        <f t="shared" si="23"/>
        <v>-1073659.7069132242</v>
      </c>
    </row>
    <row r="149" spans="1:23" ht="15" customHeight="1" x14ac:dyDescent="0.2">
      <c r="A149" s="41">
        <v>430</v>
      </c>
      <c r="B149" s="75" t="s">
        <v>96</v>
      </c>
      <c r="C149" s="61">
        <v>16607</v>
      </c>
      <c r="D149" s="59">
        <v>20.5</v>
      </c>
      <c r="E149" s="55">
        <v>8.19</v>
      </c>
      <c r="F149" s="56">
        <v>3781.7133172561739</v>
      </c>
      <c r="G149" s="56">
        <f t="shared" si="24"/>
        <v>-3774.4868944884629</v>
      </c>
      <c r="H149" s="57">
        <v>-1629.3529836815801</v>
      </c>
      <c r="I149" s="57">
        <v>-59.10831275967967</v>
      </c>
      <c r="J149" s="57">
        <f t="shared" si="25"/>
        <v>-2086.0255980472029</v>
      </c>
      <c r="K149" s="57">
        <v>-2102.1405497407686</v>
      </c>
      <c r="L149" s="57">
        <v>26.453436777968058</v>
      </c>
      <c r="M149" s="57">
        <v>-10.338485084402095</v>
      </c>
      <c r="N149" s="56">
        <f t="shared" si="26"/>
        <v>7.2264227677110284</v>
      </c>
      <c r="O149" s="56">
        <f t="shared" si="27"/>
        <v>-27058.665000000001</v>
      </c>
      <c r="P149" s="56">
        <f t="shared" si="28"/>
        <v>-981.61175000000026</v>
      </c>
      <c r="Q149" s="56">
        <f t="shared" si="21"/>
        <v>-34642.627106769898</v>
      </c>
      <c r="R149" s="95">
        <f t="shared" si="22"/>
        <v>62802.913059673279</v>
      </c>
      <c r="S149" s="63"/>
      <c r="T149" s="43"/>
      <c r="U149" s="92" t="s">
        <v>242</v>
      </c>
      <c r="V149" s="93">
        <v>4</v>
      </c>
      <c r="W149" s="41">
        <f t="shared" si="23"/>
        <v>-171691.22179666557</v>
      </c>
    </row>
    <row r="150" spans="1:23" ht="15" customHeight="1" x14ac:dyDescent="0.2">
      <c r="A150" s="41">
        <v>444</v>
      </c>
      <c r="B150" s="75" t="s">
        <v>275</v>
      </c>
      <c r="C150" s="61">
        <v>47624</v>
      </c>
      <c r="D150" s="59">
        <v>20.5</v>
      </c>
      <c r="E150" s="55">
        <v>8.19</v>
      </c>
      <c r="F150" s="56">
        <v>3224.889078095593</v>
      </c>
      <c r="G150" s="56">
        <f t="shared" si="24"/>
        <v>-3217.5264228906308</v>
      </c>
      <c r="H150" s="57">
        <v>-2111.589681673106</v>
      </c>
      <c r="I150" s="57">
        <v>-37.258095708046376</v>
      </c>
      <c r="J150" s="57">
        <f t="shared" si="25"/>
        <v>-1068.6786455094784</v>
      </c>
      <c r="K150" s="57">
        <v>-940.27968141551969</v>
      </c>
      <c r="L150" s="57">
        <v>-106.11644705010981</v>
      </c>
      <c r="M150" s="57">
        <v>-22.282517043848955</v>
      </c>
      <c r="N150" s="56">
        <f t="shared" si="26"/>
        <v>7.362655204962266</v>
      </c>
      <c r="O150" s="56">
        <f t="shared" si="27"/>
        <v>-100562.34700000001</v>
      </c>
      <c r="P150" s="56">
        <f t="shared" si="28"/>
        <v>-1774.3795500000006</v>
      </c>
      <c r="Q150" s="56">
        <f t="shared" si="21"/>
        <v>-50894.751813743402</v>
      </c>
      <c r="R150" s="95">
        <f t="shared" si="22"/>
        <v>153582.11745522451</v>
      </c>
      <c r="S150" s="63"/>
      <c r="T150" s="90"/>
      <c r="U150" s="92" t="s">
        <v>216</v>
      </c>
      <c r="V150" s="93">
        <v>3</v>
      </c>
      <c r="W150" s="41">
        <f t="shared" si="23"/>
        <v>-1061182.5916962626</v>
      </c>
    </row>
    <row r="151" spans="1:23" ht="15" customHeight="1" x14ac:dyDescent="0.2">
      <c r="A151" s="41">
        <v>433</v>
      </c>
      <c r="B151" s="75" t="s">
        <v>97</v>
      </c>
      <c r="C151" s="61">
        <v>8291</v>
      </c>
      <c r="D151" s="59">
        <v>21.5</v>
      </c>
      <c r="E151" s="55">
        <v>9.19</v>
      </c>
      <c r="F151" s="56">
        <v>2889.2316383152124</v>
      </c>
      <c r="G151" s="56">
        <f t="shared" si="24"/>
        <v>-2881.8586703496021</v>
      </c>
      <c r="H151" s="57">
        <v>-1720.2145700156796</v>
      </c>
      <c r="I151" s="57">
        <v>-57.728416355083844</v>
      </c>
      <c r="J151" s="57">
        <f t="shared" si="25"/>
        <v>-1103.9156839788384</v>
      </c>
      <c r="K151" s="57">
        <v>-1203.3483320843832</v>
      </c>
      <c r="L151" s="57">
        <v>67.524005898738778</v>
      </c>
      <c r="M151" s="57">
        <v>31.908642206806007</v>
      </c>
      <c r="N151" s="56">
        <f t="shared" si="26"/>
        <v>7.3729679656103144</v>
      </c>
      <c r="O151" s="56">
        <f t="shared" si="27"/>
        <v>-14262.299000000001</v>
      </c>
      <c r="P151" s="56">
        <f t="shared" si="28"/>
        <v>-478.62630000000019</v>
      </c>
      <c r="Q151" s="56">
        <f t="shared" si="21"/>
        <v>-9152.5649358685478</v>
      </c>
      <c r="R151" s="95">
        <f t="shared" si="22"/>
        <v>23954.619513271424</v>
      </c>
      <c r="S151" s="62"/>
      <c r="T151" s="43"/>
      <c r="U151" s="92" t="s">
        <v>219</v>
      </c>
      <c r="V151" s="93">
        <v>4</v>
      </c>
      <c r="W151" s="41">
        <f t="shared" si="23"/>
        <v>264554.55253662862</v>
      </c>
    </row>
    <row r="152" spans="1:23" ht="15" customHeight="1" x14ac:dyDescent="0.2">
      <c r="A152" s="41">
        <v>434</v>
      </c>
      <c r="B152" s="75" t="s">
        <v>276</v>
      </c>
      <c r="C152" s="61">
        <v>15480</v>
      </c>
      <c r="D152" s="59">
        <v>19.75</v>
      </c>
      <c r="E152" s="55">
        <v>7.4399999999999995</v>
      </c>
      <c r="F152" s="56">
        <v>3378.9497843008207</v>
      </c>
      <c r="G152" s="56">
        <f t="shared" si="24"/>
        <v>-3372.5447518899323</v>
      </c>
      <c r="H152" s="57">
        <v>-1933.0983204134368</v>
      </c>
      <c r="I152" s="57">
        <v>-183.0117183462533</v>
      </c>
      <c r="J152" s="57">
        <f t="shared" si="25"/>
        <v>-1256.434713130242</v>
      </c>
      <c r="K152" s="57">
        <v>-1332.180396275309</v>
      </c>
      <c r="L152" s="57">
        <v>49.165771161941457</v>
      </c>
      <c r="M152" s="57">
        <v>26.579911983125697</v>
      </c>
      <c r="N152" s="56">
        <f t="shared" si="26"/>
        <v>6.4050324108884524</v>
      </c>
      <c r="O152" s="56">
        <f t="shared" si="27"/>
        <v>-29924.362000000001</v>
      </c>
      <c r="P152" s="56">
        <f t="shared" si="28"/>
        <v>-2833.0214000000014</v>
      </c>
      <c r="Q152" s="56">
        <f t="shared" si="21"/>
        <v>-19449.609359256145</v>
      </c>
      <c r="R152" s="95">
        <f t="shared" si="22"/>
        <v>52306.142660976708</v>
      </c>
      <c r="S152" s="63"/>
      <c r="T152" s="43"/>
      <c r="U152" s="92" t="s">
        <v>226</v>
      </c>
      <c r="V152" s="93">
        <v>3</v>
      </c>
      <c r="W152" s="41">
        <f t="shared" si="23"/>
        <v>411457.03749878582</v>
      </c>
    </row>
    <row r="153" spans="1:23" ht="15" customHeight="1" x14ac:dyDescent="0.2">
      <c r="A153" s="41">
        <v>435</v>
      </c>
      <c r="B153" s="75" t="s">
        <v>98</v>
      </c>
      <c r="C153" s="61">
        <v>761</v>
      </c>
      <c r="D153" s="59">
        <v>18.5</v>
      </c>
      <c r="E153" s="55">
        <v>6.1899999999999995</v>
      </c>
      <c r="F153" s="56">
        <v>3992.6337287907313</v>
      </c>
      <c r="G153" s="56">
        <f t="shared" si="24"/>
        <v>-3985.2646805220966</v>
      </c>
      <c r="H153" s="57">
        <v>-1509.5597897503285</v>
      </c>
      <c r="I153" s="57">
        <v>-101.77542706964522</v>
      </c>
      <c r="J153" s="57">
        <f t="shared" si="25"/>
        <v>-2373.929463702123</v>
      </c>
      <c r="K153" s="57">
        <v>-3399.0781639108127</v>
      </c>
      <c r="L153" s="57">
        <v>487.02118735030041</v>
      </c>
      <c r="M153" s="57">
        <v>538.12751285838942</v>
      </c>
      <c r="N153" s="56">
        <f t="shared" si="26"/>
        <v>7.3690482686347423</v>
      </c>
      <c r="O153" s="56">
        <f t="shared" si="27"/>
        <v>-1148.7750000000001</v>
      </c>
      <c r="P153" s="56">
        <f t="shared" si="28"/>
        <v>-77.451100000000011</v>
      </c>
      <c r="Q153" s="56">
        <f t="shared" si="21"/>
        <v>-1806.5603218773156</v>
      </c>
      <c r="R153" s="95">
        <f t="shared" si="22"/>
        <v>3038.3942676097467</v>
      </c>
      <c r="S153" s="63"/>
      <c r="T153" s="90"/>
      <c r="U153" s="92" t="s">
        <v>218</v>
      </c>
      <c r="V153" s="93">
        <v>4</v>
      </c>
      <c r="W153" s="41">
        <f t="shared" si="23"/>
        <v>409515.03728523437</v>
      </c>
    </row>
    <row r="154" spans="1:23" ht="15" customHeight="1" x14ac:dyDescent="0.2">
      <c r="A154" s="41">
        <v>436</v>
      </c>
      <c r="B154" s="75" t="s">
        <v>99</v>
      </c>
      <c r="C154" s="61">
        <v>2074</v>
      </c>
      <c r="D154" s="59">
        <v>20.75</v>
      </c>
      <c r="E154" s="55">
        <v>8.44</v>
      </c>
      <c r="F154" s="56">
        <v>2804.2943506556758</v>
      </c>
      <c r="G154" s="56">
        <f t="shared" si="24"/>
        <v>-2796.9227754982217</v>
      </c>
      <c r="H154" s="57">
        <v>-1406.950819672131</v>
      </c>
      <c r="I154" s="57">
        <v>-21.735125361620064</v>
      </c>
      <c r="J154" s="57">
        <f t="shared" si="25"/>
        <v>-1368.2368304644706</v>
      </c>
      <c r="K154" s="57">
        <v>-1412.4337748622893</v>
      </c>
      <c r="L154" s="57">
        <v>83.473507424557724</v>
      </c>
      <c r="M154" s="57">
        <v>-39.276563026739112</v>
      </c>
      <c r="N154" s="56">
        <f t="shared" si="26"/>
        <v>7.3715751574541173</v>
      </c>
      <c r="O154" s="56">
        <f t="shared" si="27"/>
        <v>-2918.0160000000001</v>
      </c>
      <c r="P154" s="56">
        <f t="shared" si="28"/>
        <v>-45.07865000000001</v>
      </c>
      <c r="Q154" s="56">
        <f t="shared" si="21"/>
        <v>-2837.7231863833122</v>
      </c>
      <c r="R154" s="95">
        <f t="shared" si="22"/>
        <v>5816.1064832598713</v>
      </c>
      <c r="S154" s="63"/>
      <c r="T154" s="43"/>
      <c r="U154" s="92" t="s">
        <v>231</v>
      </c>
      <c r="V154" s="93">
        <v>1</v>
      </c>
      <c r="W154" s="41">
        <f t="shared" si="23"/>
        <v>-81459.591717456919</v>
      </c>
    </row>
    <row r="155" spans="1:23" ht="15" customHeight="1" x14ac:dyDescent="0.2">
      <c r="A155" s="41">
        <v>423</v>
      </c>
      <c r="B155" s="75" t="s">
        <v>273</v>
      </c>
      <c r="C155" s="61">
        <v>19209</v>
      </c>
      <c r="D155" s="59">
        <v>19.5</v>
      </c>
      <c r="E155" s="55">
        <v>7.1899999999999995</v>
      </c>
      <c r="F155" s="56">
        <v>2790.3496236164656</v>
      </c>
      <c r="G155" s="56">
        <f t="shared" si="24"/>
        <v>-2782.9901122220222</v>
      </c>
      <c r="H155" s="57">
        <v>-2150.0397209641314</v>
      </c>
      <c r="I155" s="57">
        <v>-45.878291425894126</v>
      </c>
      <c r="J155" s="57">
        <f t="shared" si="25"/>
        <v>-587.07209983199675</v>
      </c>
      <c r="K155" s="57">
        <v>-463.14081115974494</v>
      </c>
      <c r="L155" s="57">
        <v>-57.087569904836329</v>
      </c>
      <c r="M155" s="57">
        <v>-66.843718767415467</v>
      </c>
      <c r="N155" s="56">
        <f t="shared" si="26"/>
        <v>7.3595113944434161</v>
      </c>
      <c r="O155" s="56">
        <f t="shared" si="27"/>
        <v>-41300.112999999998</v>
      </c>
      <c r="P155" s="56">
        <f t="shared" si="28"/>
        <v>-881.27610000000038</v>
      </c>
      <c r="Q155" s="56">
        <f t="shared" si="21"/>
        <v>-11277.067965672826</v>
      </c>
      <c r="R155" s="95">
        <f t="shared" si="22"/>
        <v>53599.825920048686</v>
      </c>
      <c r="S155" s="63"/>
      <c r="T155" s="43"/>
      <c r="U155" s="92" t="s">
        <v>228</v>
      </c>
      <c r="V155" s="93">
        <v>1</v>
      </c>
      <c r="W155" s="41">
        <f t="shared" si="23"/>
        <v>-1284000.9938032837</v>
      </c>
    </row>
    <row r="156" spans="1:23" ht="15" customHeight="1" x14ac:dyDescent="0.2">
      <c r="A156" s="41">
        <v>441</v>
      </c>
      <c r="B156" s="75" t="s">
        <v>100</v>
      </c>
      <c r="C156" s="61">
        <v>4949</v>
      </c>
      <c r="D156" s="59">
        <v>19.75</v>
      </c>
      <c r="E156" s="55">
        <v>7.4399999999999995</v>
      </c>
      <c r="F156" s="56">
        <v>3923.1825979441492</v>
      </c>
      <c r="G156" s="56">
        <f t="shared" si="24"/>
        <v>-3915.8065679759775</v>
      </c>
      <c r="H156" s="57">
        <v>-1690.7627803596686</v>
      </c>
      <c r="I156" s="57">
        <v>-127.0125176803395</v>
      </c>
      <c r="J156" s="57">
        <f t="shared" si="25"/>
        <v>-2098.0312699359692</v>
      </c>
      <c r="K156" s="57">
        <v>-2075.5095086102401</v>
      </c>
      <c r="L156" s="57">
        <v>-28.969308246796594</v>
      </c>
      <c r="M156" s="57">
        <v>6.4475469210675556</v>
      </c>
      <c r="N156" s="56">
        <f t="shared" si="26"/>
        <v>7.3760299681716788</v>
      </c>
      <c r="O156" s="56">
        <f t="shared" si="27"/>
        <v>-8367.5850000000009</v>
      </c>
      <c r="P156" s="56">
        <f t="shared" si="28"/>
        <v>-628.58495000000016</v>
      </c>
      <c r="Q156" s="56">
        <f t="shared" si="21"/>
        <v>-10383.156754913112</v>
      </c>
      <c r="R156" s="95">
        <f t="shared" si="22"/>
        <v>19415.830677225593</v>
      </c>
      <c r="S156" s="63"/>
      <c r="T156" s="90"/>
      <c r="U156" s="92" t="s">
        <v>248</v>
      </c>
      <c r="V156" s="93">
        <v>3</v>
      </c>
      <c r="W156" s="41">
        <f t="shared" si="23"/>
        <v>31908.909712363333</v>
      </c>
    </row>
    <row r="157" spans="1:23" ht="15" customHeight="1" x14ac:dyDescent="0.2">
      <c r="A157" s="41">
        <v>442</v>
      </c>
      <c r="B157" s="75" t="s">
        <v>101</v>
      </c>
      <c r="C157" s="61">
        <v>3340</v>
      </c>
      <c r="D157" s="59">
        <v>20.5</v>
      </c>
      <c r="E157" s="55">
        <v>8.19</v>
      </c>
      <c r="F157" s="56">
        <v>3114.9183705309524</v>
      </c>
      <c r="G157" s="56">
        <f t="shared" si="24"/>
        <v>-3107.5471762048919</v>
      </c>
      <c r="H157" s="57">
        <v>-1916.040119760479</v>
      </c>
      <c r="I157" s="57">
        <v>-34.413488023952112</v>
      </c>
      <c r="J157" s="57">
        <f t="shared" si="25"/>
        <v>-1157.0935684204608</v>
      </c>
      <c r="K157" s="57">
        <v>-950.94611148717502</v>
      </c>
      <c r="L157" s="57">
        <v>-135.35047144530168</v>
      </c>
      <c r="M157" s="57">
        <v>-70.796985487984188</v>
      </c>
      <c r="N157" s="56">
        <f t="shared" si="26"/>
        <v>7.371194326060504</v>
      </c>
      <c r="O157" s="56">
        <f t="shared" si="27"/>
        <v>-6399.5740000000005</v>
      </c>
      <c r="P157" s="56">
        <f t="shared" si="28"/>
        <v>-114.94105000000006</v>
      </c>
      <c r="Q157" s="56">
        <f t="shared" si="21"/>
        <v>-3864.692518524339</v>
      </c>
      <c r="R157" s="95">
        <f t="shared" si="22"/>
        <v>10403.82735757338</v>
      </c>
      <c r="S157" s="63"/>
      <c r="T157" s="43"/>
      <c r="U157" s="92" t="s">
        <v>243</v>
      </c>
      <c r="V157" s="93">
        <v>2</v>
      </c>
      <c r="W157" s="41">
        <f t="shared" si="23"/>
        <v>-236461.9315298672</v>
      </c>
    </row>
    <row r="158" spans="1:23" ht="15" customHeight="1" x14ac:dyDescent="0.2">
      <c r="A158" s="41">
        <v>475</v>
      </c>
      <c r="B158" s="75" t="s">
        <v>278</v>
      </c>
      <c r="C158" s="61">
        <v>5573</v>
      </c>
      <c r="D158" s="59">
        <v>21.5</v>
      </c>
      <c r="E158" s="55">
        <v>9.19</v>
      </c>
      <c r="F158" s="56">
        <v>3868.5217935605492</v>
      </c>
      <c r="G158" s="56">
        <f t="shared" si="24"/>
        <v>-3861.1543259106897</v>
      </c>
      <c r="H158" s="57">
        <v>-1716.0839763143729</v>
      </c>
      <c r="I158" s="57">
        <v>-53.518275614570285</v>
      </c>
      <c r="J158" s="57">
        <f t="shared" si="25"/>
        <v>-2091.5520739817466</v>
      </c>
      <c r="K158" s="57">
        <v>-1815.3397562713792</v>
      </c>
      <c r="L158" s="57">
        <v>-102.85379294583953</v>
      </c>
      <c r="M158" s="57">
        <v>-173.35852476452794</v>
      </c>
      <c r="N158" s="56">
        <f t="shared" si="26"/>
        <v>7.3674676498594636</v>
      </c>
      <c r="O158" s="56">
        <f t="shared" si="27"/>
        <v>-9563.7360000000008</v>
      </c>
      <c r="P158" s="56">
        <f t="shared" si="28"/>
        <v>-298.2573500000002</v>
      </c>
      <c r="Q158" s="56">
        <f t="shared" si="21"/>
        <v>-11656.219708300274</v>
      </c>
      <c r="R158" s="95">
        <f t="shared" si="22"/>
        <v>21559.271955512941</v>
      </c>
      <c r="S158" s="63"/>
      <c r="T158" s="43"/>
      <c r="U158" s="92" t="s">
        <v>224</v>
      </c>
      <c r="V158" s="93">
        <v>2</v>
      </c>
      <c r="W158" s="41">
        <f t="shared" si="23"/>
        <v>-966127.05851271423</v>
      </c>
    </row>
    <row r="159" spans="1:23" ht="15" customHeight="1" x14ac:dyDescent="0.2">
      <c r="A159" s="41">
        <v>480</v>
      </c>
      <c r="B159" s="75" t="s">
        <v>102</v>
      </c>
      <c r="C159" s="61">
        <v>2070</v>
      </c>
      <c r="D159" s="59">
        <v>20.25</v>
      </c>
      <c r="E159" s="55">
        <v>7.9399999999999995</v>
      </c>
      <c r="F159" s="56">
        <v>3359.4057870747929</v>
      </c>
      <c r="G159" s="56">
        <f t="shared" si="24"/>
        <v>-3352.047557705775</v>
      </c>
      <c r="H159" s="57">
        <v>-1575.4415458937199</v>
      </c>
      <c r="I159" s="57">
        <v>-40.794855072463783</v>
      </c>
      <c r="J159" s="57">
        <f t="shared" si="25"/>
        <v>-1735.8111567395915</v>
      </c>
      <c r="K159" s="57">
        <v>-1796.7200913905986</v>
      </c>
      <c r="L159" s="57">
        <v>78.191940834749005</v>
      </c>
      <c r="M159" s="57">
        <v>-17.283006183741833</v>
      </c>
      <c r="N159" s="56">
        <f t="shared" si="26"/>
        <v>7.3582293690178631</v>
      </c>
      <c r="O159" s="56">
        <f t="shared" si="27"/>
        <v>-3261.1640000000002</v>
      </c>
      <c r="P159" s="56">
        <f t="shared" si="28"/>
        <v>-84.445350000000033</v>
      </c>
      <c r="Q159" s="56">
        <f t="shared" si="21"/>
        <v>-3593.1290944509542</v>
      </c>
      <c r="R159" s="95">
        <f t="shared" si="22"/>
        <v>6953.9699792448218</v>
      </c>
      <c r="S159" s="62"/>
      <c r="T159" s="90"/>
      <c r="U159" s="92" t="s">
        <v>218</v>
      </c>
      <c r="V159" s="93">
        <v>5</v>
      </c>
      <c r="W159" s="41">
        <f t="shared" si="23"/>
        <v>-35775.822800345595</v>
      </c>
    </row>
    <row r="160" spans="1:23" ht="15" customHeight="1" x14ac:dyDescent="0.2">
      <c r="A160" s="41">
        <v>481</v>
      </c>
      <c r="B160" s="75" t="s">
        <v>103</v>
      </c>
      <c r="C160" s="61">
        <v>9767</v>
      </c>
      <c r="D160" s="59">
        <v>20.75</v>
      </c>
      <c r="E160" s="55">
        <v>8.44</v>
      </c>
      <c r="F160" s="56">
        <v>2653.1938195551347</v>
      </c>
      <c r="G160" s="56">
        <f t="shared" si="24"/>
        <v>-2645.8322809130987</v>
      </c>
      <c r="H160" s="57">
        <v>-2150.9476809665198</v>
      </c>
      <c r="I160" s="57">
        <v>-48.203747312378439</v>
      </c>
      <c r="J160" s="57">
        <f t="shared" si="25"/>
        <v>-446.68085263420051</v>
      </c>
      <c r="K160" s="57">
        <v>-302.76725739420749</v>
      </c>
      <c r="L160" s="57">
        <v>-74.972282294370657</v>
      </c>
      <c r="M160" s="57">
        <v>-68.9413129456224</v>
      </c>
      <c r="N160" s="56">
        <f t="shared" si="26"/>
        <v>7.3615386420360664</v>
      </c>
      <c r="O160" s="56">
        <f t="shared" si="27"/>
        <v>-21008.306</v>
      </c>
      <c r="P160" s="56">
        <f t="shared" si="28"/>
        <v>-470.80600000000027</v>
      </c>
      <c r="Q160" s="56">
        <f t="shared" si="21"/>
        <v>-4362.7318876782365</v>
      </c>
      <c r="R160" s="95">
        <f t="shared" si="22"/>
        <v>25913.744035595002</v>
      </c>
      <c r="S160" s="62"/>
      <c r="T160" s="90"/>
      <c r="U160" s="92" t="s">
        <v>219</v>
      </c>
      <c r="V160" s="93">
        <v>4</v>
      </c>
      <c r="W160" s="41">
        <f t="shared" si="23"/>
        <v>-673349.80353989394</v>
      </c>
    </row>
    <row r="161" spans="1:23" ht="15" customHeight="1" x14ac:dyDescent="0.2">
      <c r="A161" s="41">
        <v>483</v>
      </c>
      <c r="B161" s="75" t="s">
        <v>104</v>
      </c>
      <c r="C161" s="61">
        <v>1150</v>
      </c>
      <c r="D161" s="59">
        <v>21.5</v>
      </c>
      <c r="E161" s="55">
        <v>9.19</v>
      </c>
      <c r="F161" s="56">
        <v>3523.3205342320985</v>
      </c>
      <c r="G161" s="56">
        <f t="shared" si="24"/>
        <v>-3515.9515083413421</v>
      </c>
      <c r="H161" s="57">
        <v>-1169.3339130434783</v>
      </c>
      <c r="I161" s="57">
        <v>-31.148130434782615</v>
      </c>
      <c r="J161" s="57">
        <f t="shared" si="25"/>
        <v>-2315.4694648630812</v>
      </c>
      <c r="K161" s="57">
        <v>-2070.8415828078428</v>
      </c>
      <c r="L161" s="57">
        <v>-72.892702104752232</v>
      </c>
      <c r="M161" s="57">
        <v>-171.73517995048633</v>
      </c>
      <c r="N161" s="56">
        <f t="shared" si="26"/>
        <v>7.3690258907563475</v>
      </c>
      <c r="O161" s="56">
        <f t="shared" si="27"/>
        <v>-1344.7339999999999</v>
      </c>
      <c r="P161" s="56">
        <f t="shared" si="28"/>
        <v>-35.820350000000005</v>
      </c>
      <c r="Q161" s="56">
        <f t="shared" si="21"/>
        <v>-2662.7898845925433</v>
      </c>
      <c r="R161" s="95">
        <f t="shared" si="22"/>
        <v>4051.8186143669132</v>
      </c>
      <c r="S161" s="63"/>
      <c r="T161" s="90"/>
      <c r="U161" s="92" t="s">
        <v>248</v>
      </c>
      <c r="V161" s="93">
        <v>3</v>
      </c>
      <c r="W161" s="41">
        <f t="shared" si="23"/>
        <v>-197495.45694305928</v>
      </c>
    </row>
    <row r="162" spans="1:23" ht="15" customHeight="1" x14ac:dyDescent="0.2">
      <c r="A162" s="41">
        <v>489</v>
      </c>
      <c r="B162" s="75" t="s">
        <v>105</v>
      </c>
      <c r="C162" s="61">
        <v>2123</v>
      </c>
      <c r="D162" s="59">
        <v>20</v>
      </c>
      <c r="E162" s="55">
        <v>7.6899999999999995</v>
      </c>
      <c r="F162" s="56">
        <v>3370.694936197574</v>
      </c>
      <c r="G162" s="56">
        <f t="shared" si="24"/>
        <v>-3363.3169777003741</v>
      </c>
      <c r="H162" s="57">
        <v>-1343.2190296749882</v>
      </c>
      <c r="I162" s="57">
        <v>-111.46556759302877</v>
      </c>
      <c r="J162" s="57">
        <f t="shared" si="25"/>
        <v>-1908.6323804323574</v>
      </c>
      <c r="K162" s="57">
        <v>-3231.3361329397858</v>
      </c>
      <c r="L162" s="57">
        <v>813.72864804519838</v>
      </c>
      <c r="M162" s="57">
        <v>508.97510446222998</v>
      </c>
      <c r="N162" s="56">
        <f t="shared" si="26"/>
        <v>7.3779584971998702</v>
      </c>
      <c r="O162" s="56">
        <f t="shared" si="27"/>
        <v>-2851.654</v>
      </c>
      <c r="P162" s="56">
        <f t="shared" si="28"/>
        <v>-236.64140000000009</v>
      </c>
      <c r="Q162" s="56">
        <f t="shared" si="21"/>
        <v>-4052.0265436578948</v>
      </c>
      <c r="R162" s="95">
        <f t="shared" si="22"/>
        <v>7155.9853495474499</v>
      </c>
      <c r="S162" s="62"/>
      <c r="T162" s="43"/>
      <c r="U162" s="92" t="s">
        <v>219</v>
      </c>
      <c r="V162" s="93">
        <v>3</v>
      </c>
      <c r="W162" s="41">
        <f t="shared" si="23"/>
        <v>1080554.1467733143</v>
      </c>
    </row>
    <row r="163" spans="1:23" ht="15" customHeight="1" x14ac:dyDescent="0.2">
      <c r="A163" s="41">
        <v>494</v>
      </c>
      <c r="B163" s="75" t="s">
        <v>106</v>
      </c>
      <c r="C163" s="61">
        <v>8986</v>
      </c>
      <c r="D163" s="59">
        <v>20.5</v>
      </c>
      <c r="E163" s="55">
        <v>8.19</v>
      </c>
      <c r="F163" s="56">
        <v>3367.710540036921</v>
      </c>
      <c r="G163" s="56">
        <f t="shared" si="24"/>
        <v>-3392.893001449298</v>
      </c>
      <c r="H163" s="57">
        <v>-1583.8775873581126</v>
      </c>
      <c r="I163" s="57">
        <v>-44.380831293122654</v>
      </c>
      <c r="J163" s="57">
        <f t="shared" si="25"/>
        <v>-1764.6345827980629</v>
      </c>
      <c r="K163" s="57">
        <v>-1546.6906024978412</v>
      </c>
      <c r="L163" s="57">
        <v>-77.9012878847292</v>
      </c>
      <c r="M163" s="57">
        <v>-140.04269241549238</v>
      </c>
      <c r="N163" s="56">
        <f t="shared" si="26"/>
        <v>-25.182461412377052</v>
      </c>
      <c r="O163" s="56">
        <f t="shared" si="27"/>
        <v>-14232.724</v>
      </c>
      <c r="P163" s="56">
        <f t="shared" si="28"/>
        <v>-398.80615000000017</v>
      </c>
      <c r="Q163" s="56">
        <f t="shared" si="21"/>
        <v>-15857.006361023394</v>
      </c>
      <c r="R163" s="95">
        <f t="shared" si="22"/>
        <v>30262.246912771774</v>
      </c>
      <c r="S163" s="63"/>
      <c r="T163" s="90"/>
      <c r="U163" s="92" t="s">
        <v>224</v>
      </c>
      <c r="V163" s="93">
        <v>2</v>
      </c>
      <c r="W163" s="41">
        <f t="shared" si="23"/>
        <v>-1258423.6340456146</v>
      </c>
    </row>
    <row r="164" spans="1:23" ht="15" customHeight="1" x14ac:dyDescent="0.2">
      <c r="A164" s="41">
        <v>495</v>
      </c>
      <c r="B164" s="75" t="s">
        <v>107</v>
      </c>
      <c r="C164" s="61">
        <v>1763</v>
      </c>
      <c r="D164" s="59">
        <v>21.75</v>
      </c>
      <c r="E164" s="55">
        <v>9.44</v>
      </c>
      <c r="F164" s="56">
        <v>4374.392372097449</v>
      </c>
      <c r="G164" s="56">
        <f t="shared" si="24"/>
        <v>-4367.0172033809758</v>
      </c>
      <c r="H164" s="57">
        <v>-1287.1690300623936</v>
      </c>
      <c r="I164" s="57">
        <v>-172.18148043108349</v>
      </c>
      <c r="J164" s="57">
        <f t="shared" si="25"/>
        <v>-2907.6666928874988</v>
      </c>
      <c r="K164" s="57">
        <v>-2980.5447488191412</v>
      </c>
      <c r="L164" s="57">
        <v>80.475894785787574</v>
      </c>
      <c r="M164" s="57">
        <v>-7.5978388541453796</v>
      </c>
      <c r="N164" s="56">
        <f t="shared" si="26"/>
        <v>7.3751687164731266</v>
      </c>
      <c r="O164" s="56">
        <f t="shared" si="27"/>
        <v>-2269.279</v>
      </c>
      <c r="P164" s="56">
        <f t="shared" si="28"/>
        <v>-303.55595000000017</v>
      </c>
      <c r="Q164" s="56">
        <f t="shared" si="21"/>
        <v>-5126.2163795606602</v>
      </c>
      <c r="R164" s="95">
        <f t="shared" si="22"/>
        <v>7712.0537520078033</v>
      </c>
      <c r="S164" s="63"/>
      <c r="T164" s="43"/>
      <c r="U164" s="92" t="s">
        <v>230</v>
      </c>
      <c r="V164" s="93">
        <v>2</v>
      </c>
      <c r="W164" s="41">
        <f t="shared" si="23"/>
        <v>-13394.989899858305</v>
      </c>
    </row>
    <row r="165" spans="1:23" ht="15" customHeight="1" x14ac:dyDescent="0.2">
      <c r="A165" s="41">
        <v>498</v>
      </c>
      <c r="B165" s="75" t="s">
        <v>108</v>
      </c>
      <c r="C165" s="61">
        <v>2375</v>
      </c>
      <c r="D165" s="59">
        <v>21</v>
      </c>
      <c r="E165" s="55">
        <v>8.69</v>
      </c>
      <c r="F165" s="56">
        <v>4165.8397037849045</v>
      </c>
      <c r="G165" s="56">
        <f t="shared" si="24"/>
        <v>-4158.4698026904871</v>
      </c>
      <c r="H165" s="57">
        <v>-1678.6067368421052</v>
      </c>
      <c r="I165" s="57">
        <v>-78.761178947368435</v>
      </c>
      <c r="J165" s="57">
        <f t="shared" si="25"/>
        <v>-2401.1018869010136</v>
      </c>
      <c r="K165" s="57">
        <v>-2241.5802840503979</v>
      </c>
      <c r="L165" s="57">
        <v>-102.98160708850789</v>
      </c>
      <c r="M165" s="57">
        <v>-56.539995762107424</v>
      </c>
      <c r="N165" s="56">
        <f t="shared" si="26"/>
        <v>7.3699010944174006</v>
      </c>
      <c r="O165" s="56">
        <f t="shared" si="27"/>
        <v>-3986.6910000000003</v>
      </c>
      <c r="P165" s="56">
        <f t="shared" si="28"/>
        <v>-187.05780000000004</v>
      </c>
      <c r="Q165" s="56">
        <f t="shared" si="21"/>
        <v>-5702.6169813899069</v>
      </c>
      <c r="R165" s="95">
        <f t="shared" si="22"/>
        <v>9893.869296489147</v>
      </c>
      <c r="S165" s="63"/>
      <c r="T165" s="90"/>
      <c r="U165" s="92" t="s">
        <v>220</v>
      </c>
      <c r="V165" s="93">
        <v>6</v>
      </c>
      <c r="W165" s="41">
        <f t="shared" si="23"/>
        <v>-134282.48993500514</v>
      </c>
    </row>
    <row r="166" spans="1:23" ht="15" customHeight="1" x14ac:dyDescent="0.2">
      <c r="A166" s="41">
        <v>500</v>
      </c>
      <c r="B166" s="75" t="s">
        <v>109</v>
      </c>
      <c r="C166" s="61">
        <v>9700</v>
      </c>
      <c r="D166" s="59">
        <v>19.5</v>
      </c>
      <c r="E166" s="55">
        <v>7.1899999999999995</v>
      </c>
      <c r="F166" s="56">
        <v>2324.619870581414</v>
      </c>
      <c r="G166" s="56">
        <f t="shared" si="24"/>
        <v>-2317.2690515575332</v>
      </c>
      <c r="H166" s="57">
        <v>-2105.9118556701033</v>
      </c>
      <c r="I166" s="57">
        <v>-63.948407216494871</v>
      </c>
      <c r="J166" s="57">
        <f t="shared" si="25"/>
        <v>-147.40878867093468</v>
      </c>
      <c r="K166" s="57">
        <v>-352.37645030419475</v>
      </c>
      <c r="L166" s="57">
        <v>126.09777385087499</v>
      </c>
      <c r="M166" s="57">
        <v>78.869887782385064</v>
      </c>
      <c r="N166" s="56">
        <f t="shared" si="26"/>
        <v>7.3508190238808311</v>
      </c>
      <c r="O166" s="56">
        <f t="shared" si="27"/>
        <v>-20427.345000000001</v>
      </c>
      <c r="P166" s="56">
        <f t="shared" si="28"/>
        <v>-620.29955000000029</v>
      </c>
      <c r="Q166" s="56">
        <f t="shared" si="21"/>
        <v>-1429.8652501080664</v>
      </c>
      <c r="R166" s="95">
        <f t="shared" si="22"/>
        <v>22548.812744639719</v>
      </c>
      <c r="S166" s="63"/>
      <c r="T166" s="43"/>
      <c r="U166" s="92" t="s">
        <v>231</v>
      </c>
      <c r="V166" s="93">
        <v>1</v>
      </c>
      <c r="W166" s="41">
        <f t="shared" si="23"/>
        <v>765037.91148913512</v>
      </c>
    </row>
    <row r="167" spans="1:23" ht="15" customHeight="1" x14ac:dyDescent="0.2">
      <c r="A167" s="41">
        <v>503</v>
      </c>
      <c r="B167" s="75" t="s">
        <v>110</v>
      </c>
      <c r="C167" s="61">
        <v>7917</v>
      </c>
      <c r="D167" s="59">
        <v>21</v>
      </c>
      <c r="E167" s="55">
        <v>8.69</v>
      </c>
      <c r="F167" s="56">
        <v>3555.2739097214335</v>
      </c>
      <c r="G167" s="56">
        <f t="shared" si="24"/>
        <v>-3547.9030872291974</v>
      </c>
      <c r="H167" s="57">
        <v>-1741.9981053429328</v>
      </c>
      <c r="I167" s="57">
        <v>-36.93365542503475</v>
      </c>
      <c r="J167" s="57">
        <f t="shared" si="25"/>
        <v>-1768.9713264612299</v>
      </c>
      <c r="K167" s="57">
        <v>-1478.5792921326167</v>
      </c>
      <c r="L167" s="57">
        <v>-134.61289175416127</v>
      </c>
      <c r="M167" s="57">
        <v>-155.77914257445204</v>
      </c>
      <c r="N167" s="56">
        <f t="shared" si="26"/>
        <v>7.3708224922361296</v>
      </c>
      <c r="O167" s="56">
        <f t="shared" si="27"/>
        <v>-13791.398999999999</v>
      </c>
      <c r="P167" s="56">
        <f t="shared" si="28"/>
        <v>-292.40375000000012</v>
      </c>
      <c r="Q167" s="56">
        <f t="shared" si="21"/>
        <v>-14004.945991593557</v>
      </c>
      <c r="R167" s="95">
        <f t="shared" si="22"/>
        <v>28147.103543264591</v>
      </c>
      <c r="S167" s="63"/>
      <c r="T167" s="43"/>
      <c r="U167" s="92" t="s">
        <v>222</v>
      </c>
      <c r="V167" s="93">
        <v>2</v>
      </c>
      <c r="W167" s="41">
        <f t="shared" si="23"/>
        <v>-1233303.4717619368</v>
      </c>
    </row>
    <row r="168" spans="1:23" ht="15" customHeight="1" x14ac:dyDescent="0.2">
      <c r="A168" s="41">
        <v>505</v>
      </c>
      <c r="B168" s="75" t="s">
        <v>111</v>
      </c>
      <c r="C168" s="61">
        <v>20621</v>
      </c>
      <c r="D168" s="59">
        <v>20.5</v>
      </c>
      <c r="E168" s="55">
        <v>8.19</v>
      </c>
      <c r="F168" s="56">
        <v>2717.7430761007813</v>
      </c>
      <c r="G168" s="56">
        <f t="shared" si="24"/>
        <v>-2710.3819157154712</v>
      </c>
      <c r="H168" s="57">
        <v>-1980.2722952330148</v>
      </c>
      <c r="I168" s="57">
        <v>-39.755482275350381</v>
      </c>
      <c r="J168" s="57">
        <f t="shared" si="25"/>
        <v>-690.35413820710608</v>
      </c>
      <c r="K168" s="57">
        <v>-717.10010305800927</v>
      </c>
      <c r="L168" s="57">
        <v>29.485696428051138</v>
      </c>
      <c r="M168" s="57">
        <v>-2.7397315771479498</v>
      </c>
      <c r="N168" s="56">
        <f t="shared" si="26"/>
        <v>7.361160385310086</v>
      </c>
      <c r="O168" s="56">
        <f t="shared" si="27"/>
        <v>-40835.195</v>
      </c>
      <c r="P168" s="56">
        <f t="shared" si="28"/>
        <v>-819.79780000000017</v>
      </c>
      <c r="Q168" s="56">
        <f t="shared" si="21"/>
        <v>-14235.792683968733</v>
      </c>
      <c r="R168" s="95">
        <f t="shared" si="22"/>
        <v>56042.579972274216</v>
      </c>
      <c r="S168" s="63"/>
      <c r="T168" s="43"/>
      <c r="U168" s="92" t="s">
        <v>231</v>
      </c>
      <c r="V168" s="93">
        <v>3</v>
      </c>
      <c r="W168" s="41">
        <f t="shared" si="23"/>
        <v>-56496.004852367871</v>
      </c>
    </row>
    <row r="169" spans="1:23" ht="15" customHeight="1" x14ac:dyDescent="0.2">
      <c r="A169" s="41">
        <v>508</v>
      </c>
      <c r="B169" s="75" t="s">
        <v>283</v>
      </c>
      <c r="C169" s="61">
        <v>10723</v>
      </c>
      <c r="D169" s="59">
        <v>22</v>
      </c>
      <c r="E169" s="55">
        <v>9.69</v>
      </c>
      <c r="F169" s="56">
        <v>4034.719391202711</v>
      </c>
      <c r="G169" s="56">
        <f t="shared" si="24"/>
        <v>-4027.8819931891503</v>
      </c>
      <c r="H169" s="57">
        <v>-1896.7095961950947</v>
      </c>
      <c r="I169" s="57">
        <v>-43.004177935279323</v>
      </c>
      <c r="J169" s="57">
        <f t="shared" si="25"/>
        <v>-2088.1682190587762</v>
      </c>
      <c r="K169" s="57">
        <v>-2230.866720488169</v>
      </c>
      <c r="L169" s="57">
        <v>73.640410525446569</v>
      </c>
      <c r="M169" s="57">
        <v>69.058090903946209</v>
      </c>
      <c r="N169" s="56">
        <f t="shared" si="26"/>
        <v>6.8373980135606871</v>
      </c>
      <c r="O169" s="56">
        <f t="shared" si="27"/>
        <v>-20338.417000000001</v>
      </c>
      <c r="P169" s="56">
        <f t="shared" si="28"/>
        <v>-461.13380000000018</v>
      </c>
      <c r="Q169" s="56">
        <f t="shared" si="21"/>
        <v>-22391.427812967257</v>
      </c>
      <c r="R169" s="95">
        <f t="shared" si="22"/>
        <v>43264.296031866674</v>
      </c>
      <c r="S169" s="63"/>
      <c r="T169" s="43"/>
      <c r="U169" s="92" t="s">
        <v>219</v>
      </c>
      <c r="V169" s="93">
        <v>3</v>
      </c>
      <c r="W169" s="41">
        <f t="shared" si="23"/>
        <v>740509.90876301518</v>
      </c>
    </row>
    <row r="170" spans="1:23" ht="15" customHeight="1" x14ac:dyDescent="0.2">
      <c r="A170" s="41">
        <v>507</v>
      </c>
      <c r="B170" s="75" t="s">
        <v>112</v>
      </c>
      <c r="C170" s="61">
        <v>6266</v>
      </c>
      <c r="D170" s="59">
        <v>19.75</v>
      </c>
      <c r="E170" s="55">
        <v>7.4399999999999995</v>
      </c>
      <c r="F170" s="56">
        <v>3960.4732971646995</v>
      </c>
      <c r="G170" s="56">
        <f t="shared" si="24"/>
        <v>-3953.1441269718089</v>
      </c>
      <c r="H170" s="57">
        <v>-1579.2416214490904</v>
      </c>
      <c r="I170" s="57">
        <v>-104.01435525055859</v>
      </c>
      <c r="J170" s="57">
        <f t="shared" si="25"/>
        <v>-2269.8881502721601</v>
      </c>
      <c r="K170" s="57">
        <v>-2618.9314576879506</v>
      </c>
      <c r="L170" s="57">
        <v>187.461614229932</v>
      </c>
      <c r="M170" s="57">
        <v>161.58169318585846</v>
      </c>
      <c r="N170" s="56">
        <f t="shared" si="26"/>
        <v>7.329170192890615</v>
      </c>
      <c r="O170" s="56">
        <f t="shared" si="27"/>
        <v>-9895.5280000000002</v>
      </c>
      <c r="P170" s="56">
        <f t="shared" si="28"/>
        <v>-651.75395000000015</v>
      </c>
      <c r="Q170" s="56">
        <f t="shared" si="21"/>
        <v>-14223.119149605356</v>
      </c>
      <c r="R170" s="95">
        <f t="shared" si="22"/>
        <v>24816.32568003401</v>
      </c>
      <c r="S170" s="63"/>
      <c r="T170" s="90"/>
      <c r="U170" s="92" t="s">
        <v>218</v>
      </c>
      <c r="V170" s="93">
        <v>1</v>
      </c>
      <c r="W170" s="41">
        <f t="shared" si="23"/>
        <v>1012470.8895025891</v>
      </c>
    </row>
    <row r="171" spans="1:23" ht="15" customHeight="1" x14ac:dyDescent="0.2">
      <c r="A171" s="41">
        <v>504</v>
      </c>
      <c r="B171" s="75" t="s">
        <v>282</v>
      </c>
      <c r="C171" s="61">
        <v>1985</v>
      </c>
      <c r="D171" s="59">
        <v>21.5</v>
      </c>
      <c r="E171" s="55">
        <v>9.19</v>
      </c>
      <c r="F171" s="56">
        <v>3147.7692281932109</v>
      </c>
      <c r="G171" s="56">
        <f t="shared" si="24"/>
        <v>-3140.4020468145554</v>
      </c>
      <c r="H171" s="57">
        <v>-1531.0055415617128</v>
      </c>
      <c r="I171" s="57">
        <v>-66.74871536523932</v>
      </c>
      <c r="J171" s="57">
        <f t="shared" si="25"/>
        <v>-1542.6477898876033</v>
      </c>
      <c r="K171" s="57">
        <v>-1571.4494578901579</v>
      </c>
      <c r="L171" s="57">
        <v>-4.3300148822611444</v>
      </c>
      <c r="M171" s="57">
        <v>33.131682884815802</v>
      </c>
      <c r="N171" s="56">
        <f t="shared" si="26"/>
        <v>7.3671813786554594</v>
      </c>
      <c r="O171" s="56">
        <f t="shared" si="27"/>
        <v>-3039.0460000000003</v>
      </c>
      <c r="P171" s="56">
        <f t="shared" si="28"/>
        <v>-132.49620000000004</v>
      </c>
      <c r="Q171" s="56">
        <f t="shared" si="21"/>
        <v>-3062.1558629268925</v>
      </c>
      <c r="R171" s="95">
        <f t="shared" si="22"/>
        <v>6248.3219179635234</v>
      </c>
      <c r="S171" s="63"/>
      <c r="T171" s="90"/>
      <c r="U171" s="92" t="s">
        <v>248</v>
      </c>
      <c r="V171" s="93">
        <v>4</v>
      </c>
      <c r="W171" s="41">
        <f t="shared" si="23"/>
        <v>65766.390526359362</v>
      </c>
    </row>
    <row r="172" spans="1:23" ht="15" customHeight="1" x14ac:dyDescent="0.2">
      <c r="A172" s="41">
        <v>531</v>
      </c>
      <c r="B172" s="75" t="s">
        <v>113</v>
      </c>
      <c r="C172" s="61">
        <v>5651</v>
      </c>
      <c r="D172" s="59">
        <v>20.75</v>
      </c>
      <c r="E172" s="55">
        <v>8.44</v>
      </c>
      <c r="F172" s="56">
        <v>3334.3387845522384</v>
      </c>
      <c r="G172" s="56">
        <f t="shared" si="24"/>
        <v>-3332.0386635045179</v>
      </c>
      <c r="H172" s="57">
        <v>-1771.8150769775261</v>
      </c>
      <c r="I172" s="57">
        <v>-38.345177844629283</v>
      </c>
      <c r="J172" s="57">
        <f t="shared" si="25"/>
        <v>-1521.8784086823628</v>
      </c>
      <c r="K172" s="57">
        <v>-1403.2093573162099</v>
      </c>
      <c r="L172" s="57">
        <v>-47.199691150714131</v>
      </c>
      <c r="M172" s="57">
        <v>-71.469360215438684</v>
      </c>
      <c r="N172" s="56">
        <f t="shared" si="26"/>
        <v>2.300121047720495</v>
      </c>
      <c r="O172" s="56">
        <f t="shared" si="27"/>
        <v>-10012.527</v>
      </c>
      <c r="P172" s="56">
        <f t="shared" si="28"/>
        <v>-216.68860000000009</v>
      </c>
      <c r="Q172" s="56">
        <f t="shared" si="21"/>
        <v>-8600.1348874640316</v>
      </c>
      <c r="R172" s="95">
        <f t="shared" si="22"/>
        <v>18842.348471504702</v>
      </c>
      <c r="S172" s="63"/>
      <c r="T172" s="43"/>
      <c r="U172" s="92" t="s">
        <v>220</v>
      </c>
      <c r="V172" s="93">
        <v>3</v>
      </c>
      <c r="W172" s="41">
        <f t="shared" si="23"/>
        <v>-403873.35457744403</v>
      </c>
    </row>
    <row r="173" spans="1:23" ht="15" customHeight="1" x14ac:dyDescent="0.2">
      <c r="A173" s="41">
        <v>535</v>
      </c>
      <c r="B173" s="75" t="s">
        <v>114</v>
      </c>
      <c r="C173" s="61">
        <v>10945</v>
      </c>
      <c r="D173" s="59">
        <v>21.5</v>
      </c>
      <c r="E173" s="55">
        <v>9.19</v>
      </c>
      <c r="F173" s="56">
        <v>3538.4101455660807</v>
      </c>
      <c r="G173" s="56">
        <f t="shared" si="24"/>
        <v>-3531.3187807586737</v>
      </c>
      <c r="H173" s="57">
        <v>-1404.1787117405208</v>
      </c>
      <c r="I173" s="57">
        <v>-30.240050251256289</v>
      </c>
      <c r="J173" s="57">
        <f t="shared" si="25"/>
        <v>-2096.9000187668967</v>
      </c>
      <c r="K173" s="57">
        <v>-2037.903809774971</v>
      </c>
      <c r="L173" s="57">
        <v>-1.0917172218563098</v>
      </c>
      <c r="M173" s="57">
        <v>-57.904491770069512</v>
      </c>
      <c r="N173" s="56">
        <f t="shared" si="26"/>
        <v>7.0913648074069897</v>
      </c>
      <c r="O173" s="56">
        <f t="shared" si="27"/>
        <v>-15368.736000000001</v>
      </c>
      <c r="P173" s="56">
        <f t="shared" si="28"/>
        <v>-330.97735000000011</v>
      </c>
      <c r="Q173" s="56">
        <f t="shared" si="21"/>
        <v>-22950.570705403687</v>
      </c>
      <c r="R173" s="95">
        <f t="shared" si="22"/>
        <v>38727.89904322075</v>
      </c>
      <c r="S173" s="62"/>
      <c r="T173" s="43"/>
      <c r="U173" s="92" t="s">
        <v>214</v>
      </c>
      <c r="V173" s="93">
        <v>4</v>
      </c>
      <c r="W173" s="41">
        <f t="shared" si="23"/>
        <v>-633764.6624234108</v>
      </c>
    </row>
    <row r="174" spans="1:23" ht="15" customHeight="1" x14ac:dyDescent="0.2">
      <c r="A174" s="41">
        <v>536</v>
      </c>
      <c r="B174" s="75" t="s">
        <v>115</v>
      </c>
      <c r="C174" s="61">
        <v>32847</v>
      </c>
      <c r="D174" s="59">
        <v>19.75</v>
      </c>
      <c r="E174" s="55">
        <v>7.4399999999999995</v>
      </c>
      <c r="F174" s="56">
        <v>2763.9035891759636</v>
      </c>
      <c r="G174" s="56">
        <f t="shared" si="24"/>
        <v>-2758.7025769353995</v>
      </c>
      <c r="H174" s="57">
        <v>-2088.1575486345787</v>
      </c>
      <c r="I174" s="57">
        <v>-54.164319420342814</v>
      </c>
      <c r="J174" s="57">
        <f t="shared" si="25"/>
        <v>-616.38070888047787</v>
      </c>
      <c r="K174" s="57">
        <v>-713.21410641725652</v>
      </c>
      <c r="L174" s="57">
        <v>47.054993291703461</v>
      </c>
      <c r="M174" s="57">
        <v>49.778404245075208</v>
      </c>
      <c r="N174" s="56">
        <f t="shared" si="26"/>
        <v>5.2010122405640686</v>
      </c>
      <c r="O174" s="56">
        <f t="shared" si="27"/>
        <v>-68589.710999999996</v>
      </c>
      <c r="P174" s="56">
        <f t="shared" si="28"/>
        <v>-1779.1354000000003</v>
      </c>
      <c r="Q174" s="56">
        <f t="shared" si="21"/>
        <v>-20246.257144597057</v>
      </c>
      <c r="R174" s="95">
        <f t="shared" si="22"/>
        <v>90785.941193662889</v>
      </c>
      <c r="S174" s="62"/>
      <c r="T174" s="90"/>
      <c r="U174" s="92" t="s">
        <v>219</v>
      </c>
      <c r="V174" s="93">
        <v>4</v>
      </c>
      <c r="W174" s="41">
        <f t="shared" si="23"/>
        <v>1635071.2442379855</v>
      </c>
    </row>
    <row r="175" spans="1:23" ht="15" customHeight="1" x14ac:dyDescent="0.2">
      <c r="A175" s="41">
        <v>538</v>
      </c>
      <c r="B175" s="75" t="s">
        <v>285</v>
      </c>
      <c r="C175" s="61">
        <v>4844</v>
      </c>
      <c r="D175" s="59">
        <v>21</v>
      </c>
      <c r="E175" s="55">
        <v>8.69</v>
      </c>
      <c r="F175" s="56">
        <v>2966.5437373780305</v>
      </c>
      <c r="G175" s="56">
        <f t="shared" si="24"/>
        <v>-2959.1710577451277</v>
      </c>
      <c r="H175" s="57">
        <v>-1887.4244426094137</v>
      </c>
      <c r="I175" s="57">
        <v>-24.084805945499596</v>
      </c>
      <c r="J175" s="57">
        <f t="shared" si="25"/>
        <v>-1047.6618091902142</v>
      </c>
      <c r="K175" s="57">
        <v>-776.7772326219183</v>
      </c>
      <c r="L175" s="57">
        <v>-130.40984464721836</v>
      </c>
      <c r="M175" s="57">
        <v>-140.47473192107748</v>
      </c>
      <c r="N175" s="56">
        <f t="shared" si="26"/>
        <v>7.372679632902873</v>
      </c>
      <c r="O175" s="56">
        <f t="shared" si="27"/>
        <v>-9142.6839999999993</v>
      </c>
      <c r="P175" s="56">
        <f t="shared" si="28"/>
        <v>-116.66680000000005</v>
      </c>
      <c r="Q175" s="56">
        <f t="shared" si="21"/>
        <v>-5074.8738037173971</v>
      </c>
      <c r="R175" s="95">
        <f t="shared" si="22"/>
        <v>14369.937863859181</v>
      </c>
      <c r="S175" s="63"/>
      <c r="T175" s="43"/>
      <c r="U175" s="92" t="s">
        <v>224</v>
      </c>
      <c r="V175" s="93">
        <v>3</v>
      </c>
      <c r="W175" s="41">
        <f t="shared" si="23"/>
        <v>-680459.60142569931</v>
      </c>
    </row>
    <row r="176" spans="1:23" ht="15" customHeight="1" x14ac:dyDescent="0.2">
      <c r="A176" s="41">
        <v>541</v>
      </c>
      <c r="B176" s="75" t="s">
        <v>116</v>
      </c>
      <c r="C176" s="61">
        <v>8082</v>
      </c>
      <c r="D176" s="59">
        <v>20.5</v>
      </c>
      <c r="E176" s="55">
        <v>8.19</v>
      </c>
      <c r="F176" s="56">
        <v>3951.654303193046</v>
      </c>
      <c r="G176" s="56">
        <f t="shared" si="24"/>
        <v>-3944.6508472457376</v>
      </c>
      <c r="H176" s="57">
        <v>-1502.43429844098</v>
      </c>
      <c r="I176" s="57">
        <v>-94.711457560009933</v>
      </c>
      <c r="J176" s="57">
        <f t="shared" si="25"/>
        <v>-2347.5050912447477</v>
      </c>
      <c r="K176" s="57">
        <v>-3115.8925315391452</v>
      </c>
      <c r="L176" s="57">
        <v>478.52701146558996</v>
      </c>
      <c r="M176" s="57">
        <v>289.8604288288077</v>
      </c>
      <c r="N176" s="56">
        <f t="shared" si="26"/>
        <v>7.0034559473083391</v>
      </c>
      <c r="O176" s="56">
        <f t="shared" si="27"/>
        <v>-12142.674000000001</v>
      </c>
      <c r="P176" s="56">
        <f t="shared" si="28"/>
        <v>-765.4580000000002</v>
      </c>
      <c r="Q176" s="56">
        <f t="shared" si="21"/>
        <v>-18972.536147440049</v>
      </c>
      <c r="R176" s="95">
        <f t="shared" si="22"/>
        <v>31937.270078406196</v>
      </c>
      <c r="S176" s="63"/>
      <c r="T176" s="43"/>
      <c r="U176" s="92" t="s">
        <v>216</v>
      </c>
      <c r="V176" s="93">
        <v>4</v>
      </c>
      <c r="W176" s="41">
        <f t="shared" si="23"/>
        <v>2342651.9857944236</v>
      </c>
    </row>
    <row r="177" spans="1:23" ht="15" customHeight="1" x14ac:dyDescent="0.2">
      <c r="A177" s="41">
        <v>543</v>
      </c>
      <c r="B177" s="75" t="s">
        <v>117</v>
      </c>
      <c r="C177" s="61">
        <v>41577</v>
      </c>
      <c r="D177" s="59">
        <v>19.5</v>
      </c>
      <c r="E177" s="55">
        <v>7.1899999999999995</v>
      </c>
      <c r="F177" s="56">
        <v>2749.8234159732237</v>
      </c>
      <c r="G177" s="56">
        <f t="shared" si="24"/>
        <v>-2743.4211461508326</v>
      </c>
      <c r="H177" s="57">
        <v>-2429.0416095437381</v>
      </c>
      <c r="I177" s="57">
        <v>-50.007991197056086</v>
      </c>
      <c r="J177" s="57">
        <f t="shared" si="25"/>
        <v>-264.37154541003838</v>
      </c>
      <c r="K177" s="57">
        <v>-185.05188717692408</v>
      </c>
      <c r="L177" s="57">
        <v>-36.794914295442254</v>
      </c>
      <c r="M177" s="57">
        <v>-42.524743937672064</v>
      </c>
      <c r="N177" s="56">
        <f t="shared" si="26"/>
        <v>6.4022698223911902</v>
      </c>
      <c r="O177" s="56">
        <f t="shared" si="27"/>
        <v>-100992.26300000001</v>
      </c>
      <c r="P177" s="56">
        <f t="shared" si="28"/>
        <v>-2079.1822500000007</v>
      </c>
      <c r="Q177" s="56">
        <f t="shared" si="21"/>
        <v>-10991.775743513166</v>
      </c>
      <c r="R177" s="95">
        <f t="shared" si="22"/>
        <v>114329.40816591872</v>
      </c>
      <c r="S177" s="63"/>
      <c r="T177" s="43"/>
      <c r="U177" s="92" t="s">
        <v>214</v>
      </c>
      <c r="V177" s="93">
        <v>5</v>
      </c>
      <c r="W177" s="41">
        <f t="shared" si="23"/>
        <v>-1768051.2786965915</v>
      </c>
    </row>
    <row r="178" spans="1:23" ht="15" customHeight="1" x14ac:dyDescent="0.2">
      <c r="A178" s="41">
        <v>893</v>
      </c>
      <c r="B178" s="75" t="s">
        <v>313</v>
      </c>
      <c r="C178" s="61">
        <v>7533</v>
      </c>
      <c r="D178" s="59">
        <v>21</v>
      </c>
      <c r="E178" s="55">
        <v>8.69</v>
      </c>
      <c r="F178" s="56">
        <v>3450.4541379046759</v>
      </c>
      <c r="G178" s="56">
        <f t="shared" si="24"/>
        <v>-3443.4551018430857</v>
      </c>
      <c r="H178" s="57">
        <v>-1655.9366786140979</v>
      </c>
      <c r="I178" s="57">
        <v>-163.84736492765168</v>
      </c>
      <c r="J178" s="57">
        <f t="shared" si="25"/>
        <v>-1623.671058301336</v>
      </c>
      <c r="K178" s="57">
        <v>-1422.5840529272723</v>
      </c>
      <c r="L178" s="57">
        <v>-100.62384996894163</v>
      </c>
      <c r="M178" s="57">
        <v>-100.46315540512208</v>
      </c>
      <c r="N178" s="56">
        <f t="shared" si="26"/>
        <v>6.9990360615902318</v>
      </c>
      <c r="O178" s="56">
        <f t="shared" si="27"/>
        <v>-12474.171</v>
      </c>
      <c r="P178" s="56">
        <f t="shared" si="28"/>
        <v>-1234.2622000000001</v>
      </c>
      <c r="Q178" s="56">
        <f t="shared" si="21"/>
        <v>-12231.114082183965</v>
      </c>
      <c r="R178" s="95">
        <f t="shared" si="22"/>
        <v>25992.271020835924</v>
      </c>
      <c r="S178" s="63"/>
      <c r="T178" s="43"/>
      <c r="U178" s="92" t="s">
        <v>222</v>
      </c>
      <c r="V178" s="93">
        <v>1</v>
      </c>
      <c r="W178" s="41">
        <f t="shared" si="23"/>
        <v>-756788.94966678461</v>
      </c>
    </row>
    <row r="179" spans="1:23" ht="15" customHeight="1" x14ac:dyDescent="0.2">
      <c r="A179" s="104">
        <v>740</v>
      </c>
      <c r="B179" s="223" t="s">
        <v>303</v>
      </c>
      <c r="C179" s="224">
        <v>35944</v>
      </c>
      <c r="D179" s="225">
        <v>22.5</v>
      </c>
      <c r="E179" s="226">
        <v>10.19</v>
      </c>
      <c r="F179" s="227">
        <v>3980.4749861067221</v>
      </c>
      <c r="G179" s="227">
        <f t="shared" si="24"/>
        <v>-3973.099044662732</v>
      </c>
      <c r="H179" s="227">
        <v>-1737.6362118851546</v>
      </c>
      <c r="I179" s="227">
        <v>-70.200431226352123</v>
      </c>
      <c r="J179" s="227">
        <f t="shared" si="25"/>
        <v>-2165.2624015512256</v>
      </c>
      <c r="K179" s="227">
        <v>-1871.9623078702002</v>
      </c>
      <c r="L179" s="227">
        <v>-179.67565241643237</v>
      </c>
      <c r="M179" s="57">
        <v>-113.62444126459303</v>
      </c>
      <c r="N179" s="227">
        <f t="shared" si="26"/>
        <v>7.3759414439900866</v>
      </c>
      <c r="O179" s="227">
        <f t="shared" si="27"/>
        <v>-62457.59599999999</v>
      </c>
      <c r="P179" s="227">
        <f t="shared" si="28"/>
        <v>-2523.2843000000007</v>
      </c>
      <c r="Q179" s="227">
        <f t="shared" si="21"/>
        <v>-77828.191761357244</v>
      </c>
      <c r="R179" s="228">
        <f t="shared" si="22"/>
        <v>143074.19290062002</v>
      </c>
      <c r="S179" s="229"/>
      <c r="T179" s="230"/>
      <c r="U179" s="231" t="s">
        <v>222</v>
      </c>
      <c r="V179" s="232">
        <v>1</v>
      </c>
      <c r="W179" s="41">
        <f t="shared" si="23"/>
        <v>-4084116.9168145321</v>
      </c>
    </row>
    <row r="180" spans="1:23" ht="15" customHeight="1" x14ac:dyDescent="0.2">
      <c r="A180" s="41">
        <v>895</v>
      </c>
      <c r="B180" s="75" t="s">
        <v>314</v>
      </c>
      <c r="C180" s="61">
        <v>15567</v>
      </c>
      <c r="D180" s="59">
        <v>20.75</v>
      </c>
      <c r="E180" s="55">
        <v>8.44</v>
      </c>
      <c r="F180" s="56">
        <v>3668.8166393684091</v>
      </c>
      <c r="G180" s="56">
        <f t="shared" si="24"/>
        <v>-3661.4583149756363</v>
      </c>
      <c r="H180" s="57">
        <v>-1961.0340463801631</v>
      </c>
      <c r="I180" s="57">
        <v>-67.79951178775616</v>
      </c>
      <c r="J180" s="57">
        <f t="shared" si="25"/>
        <v>-1632.6247568077172</v>
      </c>
      <c r="K180" s="57">
        <v>-1455.8558435155778</v>
      </c>
      <c r="L180" s="57">
        <v>-119.39896035942807</v>
      </c>
      <c r="M180" s="57">
        <v>-57.369952932711328</v>
      </c>
      <c r="N180" s="56">
        <f t="shared" si="26"/>
        <v>7.358324392772829</v>
      </c>
      <c r="O180" s="56">
        <f t="shared" si="27"/>
        <v>-30527.417000000001</v>
      </c>
      <c r="P180" s="56">
        <f t="shared" si="28"/>
        <v>-1055.4350000000002</v>
      </c>
      <c r="Q180" s="56">
        <f t="shared" si="21"/>
        <v>-25415.069589225732</v>
      </c>
      <c r="R180" s="95">
        <f t="shared" si="22"/>
        <v>57112.46862504803</v>
      </c>
      <c r="S180" s="63"/>
      <c r="T180" s="43"/>
      <c r="U180" s="92" t="s">
        <v>231</v>
      </c>
      <c r="V180" s="93">
        <v>2</v>
      </c>
      <c r="W180" s="41">
        <f t="shared" si="23"/>
        <v>-893078.05730351724</v>
      </c>
    </row>
    <row r="181" spans="1:23" ht="15" customHeight="1" x14ac:dyDescent="0.2">
      <c r="A181" s="41">
        <v>529</v>
      </c>
      <c r="B181" s="75" t="s">
        <v>284</v>
      </c>
      <c r="C181" s="61">
        <v>18871</v>
      </c>
      <c r="D181" s="59">
        <v>18.5</v>
      </c>
      <c r="E181" s="55">
        <v>6.1899999999999995</v>
      </c>
      <c r="F181" s="56">
        <v>3017.2376929310399</v>
      </c>
      <c r="G181" s="56">
        <f t="shared" si="24"/>
        <v>-3010.8317943497732</v>
      </c>
      <c r="H181" s="57">
        <v>-2364.6209527846959</v>
      </c>
      <c r="I181" s="57">
        <v>-122.20465794075568</v>
      </c>
      <c r="J181" s="57">
        <f t="shared" si="25"/>
        <v>-524.00618362432147</v>
      </c>
      <c r="K181" s="57">
        <v>-566.73929857931307</v>
      </c>
      <c r="L181" s="57">
        <v>82.612157584715362</v>
      </c>
      <c r="M181" s="57">
        <v>-39.879042629723713</v>
      </c>
      <c r="N181" s="56">
        <f t="shared" si="26"/>
        <v>6.4058985812666833</v>
      </c>
      <c r="O181" s="56">
        <f t="shared" si="27"/>
        <v>-44622.761999999995</v>
      </c>
      <c r="P181" s="56">
        <f t="shared" si="28"/>
        <v>-2306.1241000000005</v>
      </c>
      <c r="Q181" s="56">
        <f t="shared" si="21"/>
        <v>-9888.5206911745699</v>
      </c>
      <c r="R181" s="95">
        <f t="shared" si="22"/>
        <v>56938.292503301651</v>
      </c>
      <c r="S181" s="63"/>
      <c r="T181" s="43"/>
      <c r="U181" s="92" t="s">
        <v>218</v>
      </c>
      <c r="V181" s="93">
        <v>5</v>
      </c>
      <c r="W181" s="41">
        <f t="shared" si="23"/>
        <v>-752557.41346551618</v>
      </c>
    </row>
    <row r="182" spans="1:23" ht="15" customHeight="1" x14ac:dyDescent="0.2">
      <c r="A182" s="41">
        <v>545</v>
      </c>
      <c r="B182" s="75" t="s">
        <v>286</v>
      </c>
      <c r="C182" s="61">
        <v>9389</v>
      </c>
      <c r="D182" s="59">
        <v>21</v>
      </c>
      <c r="E182" s="55">
        <v>8.69</v>
      </c>
      <c r="F182" s="56">
        <v>3703.039675631785</v>
      </c>
      <c r="G182" s="56">
        <f t="shared" si="24"/>
        <v>-3695.6802805841521</v>
      </c>
      <c r="H182" s="57">
        <v>-1591.1807434231548</v>
      </c>
      <c r="I182" s="57">
        <v>-76.468282032165348</v>
      </c>
      <c r="J182" s="57">
        <f t="shared" si="25"/>
        <v>-2028.0312551288321</v>
      </c>
      <c r="K182" s="57">
        <v>-2006.6953525132371</v>
      </c>
      <c r="L182" s="57">
        <v>17.191241625816204</v>
      </c>
      <c r="M182" s="57">
        <v>-38.527144241411094</v>
      </c>
      <c r="N182" s="56">
        <f t="shared" si="26"/>
        <v>7.3593950476329155</v>
      </c>
      <c r="O182" s="56">
        <f t="shared" si="27"/>
        <v>-14939.596</v>
      </c>
      <c r="P182" s="56">
        <f t="shared" si="28"/>
        <v>-717.96070000000043</v>
      </c>
      <c r="Q182" s="56">
        <f t="shared" si="21"/>
        <v>-19041.185454404604</v>
      </c>
      <c r="R182" s="95">
        <f t="shared" si="22"/>
        <v>34767.839514506835</v>
      </c>
      <c r="S182" s="63"/>
      <c r="T182" s="90"/>
      <c r="U182" s="92" t="s">
        <v>219</v>
      </c>
      <c r="V182" s="93">
        <v>2</v>
      </c>
      <c r="W182" s="41">
        <f t="shared" si="23"/>
        <v>-361731.35728260875</v>
      </c>
    </row>
    <row r="183" spans="1:23" ht="15" customHeight="1" x14ac:dyDescent="0.2">
      <c r="A183" s="41">
        <v>560</v>
      </c>
      <c r="B183" s="75" t="s">
        <v>118</v>
      </c>
      <c r="C183" s="61">
        <v>16288</v>
      </c>
      <c r="D183" s="59">
        <v>20.75</v>
      </c>
      <c r="E183" s="55">
        <v>8.44</v>
      </c>
      <c r="F183" s="56">
        <v>3243.4058175646323</v>
      </c>
      <c r="G183" s="56">
        <f t="shared" si="24"/>
        <v>-3236.0356240032506</v>
      </c>
      <c r="H183" s="57">
        <v>-1689.2258104125738</v>
      </c>
      <c r="I183" s="57">
        <v>-48.51744535854619</v>
      </c>
      <c r="J183" s="57">
        <f t="shared" si="25"/>
        <v>-1498.2923682321309</v>
      </c>
      <c r="K183" s="57">
        <v>-1408.3413799469549</v>
      </c>
      <c r="L183" s="57">
        <v>-54.587193991721009</v>
      </c>
      <c r="M183" s="57">
        <v>-35.363794293454959</v>
      </c>
      <c r="N183" s="56">
        <f t="shared" si="26"/>
        <v>7.3701935613817113</v>
      </c>
      <c r="O183" s="56">
        <f t="shared" si="27"/>
        <v>-27514.11</v>
      </c>
      <c r="P183" s="56">
        <f t="shared" si="28"/>
        <v>-790.25215000000037</v>
      </c>
      <c r="Q183" s="56">
        <f t="shared" si="21"/>
        <v>-24404.186093764951</v>
      </c>
      <c r="R183" s="95">
        <f t="shared" si="22"/>
        <v>52828.593956492732</v>
      </c>
      <c r="S183" s="63"/>
      <c r="T183" s="43"/>
      <c r="U183" s="92" t="s">
        <v>242</v>
      </c>
      <c r="V183" s="93">
        <v>3</v>
      </c>
      <c r="W183" s="41">
        <f t="shared" si="23"/>
        <v>-576005.48145179439</v>
      </c>
    </row>
    <row r="184" spans="1:23" ht="15" customHeight="1" x14ac:dyDescent="0.2">
      <c r="A184" s="41">
        <v>561</v>
      </c>
      <c r="B184" s="75" t="s">
        <v>119</v>
      </c>
      <c r="C184" s="61">
        <v>1417</v>
      </c>
      <c r="D184" s="59">
        <v>19.5</v>
      </c>
      <c r="E184" s="55">
        <v>7.1899999999999995</v>
      </c>
      <c r="F184" s="56">
        <v>3267.3496427020104</v>
      </c>
      <c r="G184" s="56">
        <f t="shared" si="24"/>
        <v>-3259.9787441175649</v>
      </c>
      <c r="H184" s="57">
        <v>-1482.7904022582923</v>
      </c>
      <c r="I184" s="57">
        <v>-92.015984474241392</v>
      </c>
      <c r="J184" s="57">
        <f t="shared" si="25"/>
        <v>-1685.1723573850311</v>
      </c>
      <c r="K184" s="57">
        <v>-1760.8459674367975</v>
      </c>
      <c r="L184" s="57">
        <v>43.098798799526925</v>
      </c>
      <c r="M184" s="57">
        <v>32.574811252239549</v>
      </c>
      <c r="N184" s="56">
        <f t="shared" si="26"/>
        <v>7.3708985844455128</v>
      </c>
      <c r="O184" s="56">
        <f t="shared" si="27"/>
        <v>-2101.114</v>
      </c>
      <c r="P184" s="56">
        <f t="shared" si="28"/>
        <v>-130.38665000000006</v>
      </c>
      <c r="Q184" s="56">
        <f t="shared" si="21"/>
        <v>-2387.8892304145888</v>
      </c>
      <c r="R184" s="95">
        <f t="shared" si="22"/>
        <v>4629.8344437087489</v>
      </c>
      <c r="S184" s="63"/>
      <c r="T184" s="43"/>
      <c r="U184" s="92" t="s">
        <v>218</v>
      </c>
      <c r="V184" s="93">
        <v>5</v>
      </c>
      <c r="W184" s="41">
        <f t="shared" si="23"/>
        <v>46158.507544423439</v>
      </c>
    </row>
    <row r="185" spans="1:23" ht="15" customHeight="1" x14ac:dyDescent="0.2">
      <c r="A185" s="41">
        <v>562</v>
      </c>
      <c r="B185" s="75" t="s">
        <v>120</v>
      </c>
      <c r="C185" s="61">
        <v>9579</v>
      </c>
      <c r="D185" s="59">
        <v>22.25</v>
      </c>
      <c r="E185" s="55">
        <v>9.94</v>
      </c>
      <c r="F185" s="56">
        <v>3650.9876627710805</v>
      </c>
      <c r="G185" s="56">
        <f t="shared" si="24"/>
        <v>-3643.6155086808658</v>
      </c>
      <c r="H185" s="57">
        <v>-1631.5543376135297</v>
      </c>
      <c r="I185" s="57">
        <v>-56.432153669485352</v>
      </c>
      <c r="J185" s="57">
        <f t="shared" si="25"/>
        <v>-1955.6290173978509</v>
      </c>
      <c r="K185" s="57">
        <v>-1836.6535970904085</v>
      </c>
      <c r="L185" s="57">
        <v>-71.626238318574579</v>
      </c>
      <c r="M185" s="57">
        <v>-47.349181988867628</v>
      </c>
      <c r="N185" s="56">
        <f t="shared" si="26"/>
        <v>7.3721540902147353</v>
      </c>
      <c r="O185" s="56">
        <f t="shared" si="27"/>
        <v>-15628.659000000001</v>
      </c>
      <c r="P185" s="56">
        <f t="shared" si="28"/>
        <v>-540.56360000000018</v>
      </c>
      <c r="Q185" s="56">
        <f t="shared" si="21"/>
        <v>-18732.970357654012</v>
      </c>
      <c r="R185" s="95">
        <f t="shared" si="22"/>
        <v>34972.810821684179</v>
      </c>
      <c r="S185" s="63"/>
      <c r="T185" s="90"/>
      <c r="U185" s="92" t="s">
        <v>248</v>
      </c>
      <c r="V185" s="93">
        <v>3</v>
      </c>
      <c r="W185" s="41">
        <f t="shared" si="23"/>
        <v>-453557.81427136302</v>
      </c>
    </row>
    <row r="186" spans="1:23" ht="15" customHeight="1" x14ac:dyDescent="0.2">
      <c r="A186" s="41">
        <v>563</v>
      </c>
      <c r="B186" s="75" t="s">
        <v>121</v>
      </c>
      <c r="C186" s="61">
        <v>7725</v>
      </c>
      <c r="D186" s="59">
        <v>21.75</v>
      </c>
      <c r="E186" s="55">
        <v>9.44</v>
      </c>
      <c r="F186" s="56">
        <v>3795.0980906718778</v>
      </c>
      <c r="G186" s="56">
        <f t="shared" si="24"/>
        <v>-3787.7250610664728</v>
      </c>
      <c r="H186" s="57">
        <v>-1575.3800647249191</v>
      </c>
      <c r="I186" s="57">
        <v>-42.540025889967659</v>
      </c>
      <c r="J186" s="57">
        <f t="shared" si="25"/>
        <v>-2169.8049704515861</v>
      </c>
      <c r="K186" s="57">
        <v>-2239.1294224935637</v>
      </c>
      <c r="L186" s="57">
        <v>79.345064427593499</v>
      </c>
      <c r="M186" s="57">
        <v>-10.020612385615834</v>
      </c>
      <c r="N186" s="56">
        <f t="shared" si="26"/>
        <v>7.3730296054050086</v>
      </c>
      <c r="O186" s="56">
        <f t="shared" si="27"/>
        <v>-12169.811</v>
      </c>
      <c r="P186" s="56">
        <f t="shared" si="28"/>
        <v>-328.6217000000002</v>
      </c>
      <c r="Q186" s="56">
        <f t="shared" si="21"/>
        <v>-16761.743396738504</v>
      </c>
      <c r="R186" s="95">
        <f t="shared" si="22"/>
        <v>29317.132750440254</v>
      </c>
      <c r="S186" s="63"/>
      <c r="T186" s="43"/>
      <c r="U186" s="92" t="s">
        <v>217</v>
      </c>
      <c r="V186" s="93">
        <v>4</v>
      </c>
      <c r="W186" s="41">
        <f t="shared" si="23"/>
        <v>-77409.230678882319</v>
      </c>
    </row>
    <row r="187" spans="1:23" ht="15" customHeight="1" x14ac:dyDescent="0.2">
      <c r="A187" s="41">
        <v>309</v>
      </c>
      <c r="B187" s="75" t="s">
        <v>81</v>
      </c>
      <c r="C187" s="61">
        <v>7172</v>
      </c>
      <c r="D187" s="59">
        <v>22.25</v>
      </c>
      <c r="E187" s="55">
        <v>9.94</v>
      </c>
      <c r="F187" s="56">
        <v>3745.6247682852154</v>
      </c>
      <c r="G187" s="56">
        <f t="shared" si="24"/>
        <v>-3738.2442913932218</v>
      </c>
      <c r="H187" s="57">
        <v>-1503.9142498605688</v>
      </c>
      <c r="I187" s="57">
        <v>-58.907431678750712</v>
      </c>
      <c r="J187" s="57">
        <f t="shared" si="25"/>
        <v>-2175.422609853902</v>
      </c>
      <c r="K187" s="57">
        <v>-2335.5794771809474</v>
      </c>
      <c r="L187" s="57">
        <v>101.21405741754845</v>
      </c>
      <c r="M187" s="57">
        <v>58.942809909496873</v>
      </c>
      <c r="N187" s="56">
        <f t="shared" si="26"/>
        <v>7.3804768919935668</v>
      </c>
      <c r="O187" s="56">
        <f t="shared" si="27"/>
        <v>-10786.073</v>
      </c>
      <c r="P187" s="56">
        <f t="shared" si="28"/>
        <v>-422.48410000000013</v>
      </c>
      <c r="Q187" s="56">
        <f t="shared" si="21"/>
        <v>-15602.130957872187</v>
      </c>
      <c r="R187" s="95">
        <f t="shared" si="22"/>
        <v>26863.620838141564</v>
      </c>
      <c r="S187" s="63"/>
      <c r="T187" s="43"/>
      <c r="U187" s="92" t="s">
        <v>214</v>
      </c>
      <c r="V187" s="93">
        <v>3</v>
      </c>
      <c r="W187" s="41">
        <f t="shared" si="23"/>
        <v>422737.83267091156</v>
      </c>
    </row>
    <row r="188" spans="1:23" ht="15" customHeight="1" x14ac:dyDescent="0.2">
      <c r="A188" s="41">
        <v>576</v>
      </c>
      <c r="B188" s="75" t="s">
        <v>122</v>
      </c>
      <c r="C188" s="61">
        <v>3197</v>
      </c>
      <c r="D188" s="59">
        <v>21</v>
      </c>
      <c r="E188" s="55">
        <v>8.69</v>
      </c>
      <c r="F188" s="56">
        <v>4185.9799870484076</v>
      </c>
      <c r="G188" s="56">
        <f t="shared" si="24"/>
        <v>-4178.5844186740724</v>
      </c>
      <c r="H188" s="57">
        <v>-1497.9271191742259</v>
      </c>
      <c r="I188" s="57">
        <v>-117.1341101032218</v>
      </c>
      <c r="J188" s="57">
        <f t="shared" si="25"/>
        <v>-2563.5231893966252</v>
      </c>
      <c r="K188" s="57">
        <v>-2778.4774215763396</v>
      </c>
      <c r="L188" s="57">
        <v>91.183734370407706</v>
      </c>
      <c r="M188" s="57">
        <v>123.77049780930673</v>
      </c>
      <c r="N188" s="56">
        <f t="shared" si="26"/>
        <v>7.3955683743351983</v>
      </c>
      <c r="O188" s="56">
        <f t="shared" si="27"/>
        <v>-4788.8730000000005</v>
      </c>
      <c r="P188" s="56">
        <f t="shared" si="28"/>
        <v>-374.47775000000013</v>
      </c>
      <c r="Q188" s="56">
        <f t="shared" si="21"/>
        <v>-8195.5836365010109</v>
      </c>
      <c r="R188" s="95">
        <f t="shared" si="22"/>
        <v>13382.578018593758</v>
      </c>
      <c r="S188" s="63"/>
      <c r="T188" s="43"/>
      <c r="U188" s="92" t="s">
        <v>216</v>
      </c>
      <c r="V188" s="93">
        <v>3</v>
      </c>
      <c r="W188" s="41">
        <f t="shared" si="23"/>
        <v>395694.28149635362</v>
      </c>
    </row>
    <row r="189" spans="1:23" ht="15" customHeight="1" x14ac:dyDescent="0.2">
      <c r="A189" s="41">
        <v>578</v>
      </c>
      <c r="B189" s="75" t="s">
        <v>123</v>
      </c>
      <c r="C189" s="61">
        <v>3564</v>
      </c>
      <c r="D189" s="59">
        <v>22</v>
      </c>
      <c r="E189" s="55">
        <v>9.69</v>
      </c>
      <c r="F189" s="56">
        <v>4100.3363462072139</v>
      </c>
      <c r="G189" s="56">
        <f t="shared" si="24"/>
        <v>-4107.675367846994</v>
      </c>
      <c r="H189" s="57">
        <v>-1422.0266554433222</v>
      </c>
      <c r="I189" s="57">
        <v>-56.563664421997778</v>
      </c>
      <c r="J189" s="57">
        <f t="shared" si="25"/>
        <v>-2629.0850479816736</v>
      </c>
      <c r="K189" s="57">
        <v>-2810.0992632030566</v>
      </c>
      <c r="L189" s="57">
        <v>103.81278760567359</v>
      </c>
      <c r="M189" s="57">
        <v>77.201427615709065</v>
      </c>
      <c r="N189" s="56">
        <f t="shared" si="26"/>
        <v>-7.3390216397801851</v>
      </c>
      <c r="O189" s="56">
        <f t="shared" si="27"/>
        <v>-5068.1030000000001</v>
      </c>
      <c r="P189" s="56">
        <f t="shared" si="28"/>
        <v>-201.5929000000001</v>
      </c>
      <c r="Q189" s="56">
        <f t="shared" si="21"/>
        <v>-9370.0591110066853</v>
      </c>
      <c r="R189" s="95">
        <f t="shared" si="22"/>
        <v>14613.59873788251</v>
      </c>
      <c r="S189" s="63"/>
      <c r="T189" s="43"/>
      <c r="U189" s="92" t="s">
        <v>217</v>
      </c>
      <c r="V189" s="93">
        <v>2</v>
      </c>
      <c r="W189" s="41">
        <f t="shared" si="23"/>
        <v>275145.88802238711</v>
      </c>
    </row>
    <row r="190" spans="1:23" ht="15" customHeight="1" x14ac:dyDescent="0.2">
      <c r="A190" s="41">
        <v>445</v>
      </c>
      <c r="B190" s="75" t="s">
        <v>289</v>
      </c>
      <c r="C190" s="61">
        <v>15494</v>
      </c>
      <c r="D190" s="59">
        <v>19.75</v>
      </c>
      <c r="E190" s="55">
        <v>7.4399999999999995</v>
      </c>
      <c r="F190" s="56">
        <v>3271.5071493848964</v>
      </c>
      <c r="G190" s="56">
        <f t="shared" si="24"/>
        <v>-3264.1401621438263</v>
      </c>
      <c r="H190" s="57">
        <v>-2133.4205498902802</v>
      </c>
      <c r="I190" s="57">
        <v>-40.286039757325426</v>
      </c>
      <c r="J190" s="57">
        <f t="shared" si="25"/>
        <v>-1090.4335724962209</v>
      </c>
      <c r="K190" s="57">
        <v>-1099.297614869201</v>
      </c>
      <c r="L190" s="57">
        <v>-26.43894070744323</v>
      </c>
      <c r="M190" s="57">
        <v>35.302983080423147</v>
      </c>
      <c r="N190" s="56">
        <f t="shared" si="26"/>
        <v>7.3669872410700918</v>
      </c>
      <c r="O190" s="56">
        <f t="shared" si="27"/>
        <v>-33055.218000000001</v>
      </c>
      <c r="P190" s="56">
        <f t="shared" si="28"/>
        <v>-624.19190000000015</v>
      </c>
      <c r="Q190" s="56">
        <f t="shared" si="21"/>
        <v>-16895.177772256444</v>
      </c>
      <c r="R190" s="95">
        <f t="shared" si="22"/>
        <v>50688.731772569583</v>
      </c>
      <c r="S190" s="63"/>
      <c r="T190" s="90"/>
      <c r="U190" s="92" t="s">
        <v>219</v>
      </c>
      <c r="V190" s="93">
        <v>4</v>
      </c>
      <c r="W190" s="41">
        <f t="shared" si="23"/>
        <v>546984.41984807618</v>
      </c>
    </row>
    <row r="191" spans="1:23" ht="15" customHeight="1" x14ac:dyDescent="0.2">
      <c r="A191" s="41">
        <v>580</v>
      </c>
      <c r="B191" s="75" t="s">
        <v>124</v>
      </c>
      <c r="C191" s="61">
        <v>5373</v>
      </c>
      <c r="D191" s="59">
        <v>19.5</v>
      </c>
      <c r="E191" s="55">
        <v>7.1899999999999995</v>
      </c>
      <c r="F191" s="56">
        <v>4184.552721162162</v>
      </c>
      <c r="G191" s="56">
        <f t="shared" si="24"/>
        <v>-4177.1575413598175</v>
      </c>
      <c r="H191" s="57">
        <v>-1552.1952354364414</v>
      </c>
      <c r="I191" s="57">
        <v>-86.767699609156907</v>
      </c>
      <c r="J191" s="57">
        <f t="shared" si="25"/>
        <v>-2538.1946063142191</v>
      </c>
      <c r="K191" s="57">
        <v>-2864.2668999382399</v>
      </c>
      <c r="L191" s="57">
        <v>157.27666955188306</v>
      </c>
      <c r="M191" s="57">
        <v>168.79562407213763</v>
      </c>
      <c r="N191" s="56">
        <f t="shared" si="26"/>
        <v>7.3951798023445008</v>
      </c>
      <c r="O191" s="56">
        <f t="shared" si="27"/>
        <v>-8339.9449999999997</v>
      </c>
      <c r="P191" s="56">
        <f t="shared" si="28"/>
        <v>-466.20285000000007</v>
      </c>
      <c r="Q191" s="56">
        <f t="shared" si="21"/>
        <v>-13637.719619726298</v>
      </c>
      <c r="R191" s="95">
        <f t="shared" si="22"/>
        <v>22483.601770804296</v>
      </c>
      <c r="S191" s="63"/>
      <c r="T191" s="43"/>
      <c r="U191" s="92" t="s">
        <v>234</v>
      </c>
      <c r="V191" s="93">
        <v>2</v>
      </c>
      <c r="W191" s="41">
        <f t="shared" si="23"/>
        <v>906938.88813959551</v>
      </c>
    </row>
    <row r="192" spans="1:23" ht="15" customHeight="1" x14ac:dyDescent="0.2">
      <c r="A192" s="41">
        <v>581</v>
      </c>
      <c r="B192" s="75" t="s">
        <v>125</v>
      </c>
      <c r="C192" s="61">
        <v>6808</v>
      </c>
      <c r="D192" s="59">
        <v>21</v>
      </c>
      <c r="E192" s="55">
        <v>8.69</v>
      </c>
      <c r="F192" s="56">
        <v>3616.6898066921112</v>
      </c>
      <c r="G192" s="56">
        <f t="shared" si="24"/>
        <v>-3610.4572789937997</v>
      </c>
      <c r="H192" s="57">
        <v>-1560.7187132784959</v>
      </c>
      <c r="I192" s="57">
        <v>-89.563227085781492</v>
      </c>
      <c r="J192" s="57">
        <f t="shared" si="25"/>
        <v>-1960.1753386295222</v>
      </c>
      <c r="K192" s="57">
        <v>-2147.8658037261071</v>
      </c>
      <c r="L192" s="57">
        <v>128.5373795798856</v>
      </c>
      <c r="M192" s="57">
        <v>59.153085516699264</v>
      </c>
      <c r="N192" s="56">
        <f t="shared" si="26"/>
        <v>6.2325276983115145</v>
      </c>
      <c r="O192" s="56">
        <f t="shared" si="27"/>
        <v>-10625.373</v>
      </c>
      <c r="P192" s="56">
        <f t="shared" si="28"/>
        <v>-609.74645000000044</v>
      </c>
      <c r="Q192" s="56">
        <f t="shared" si="21"/>
        <v>-13344.873705389788</v>
      </c>
      <c r="R192" s="95">
        <f t="shared" si="22"/>
        <v>24622.424203959894</v>
      </c>
      <c r="S192" s="63"/>
      <c r="T192" s="43"/>
      <c r="U192" s="92" t="s">
        <v>243</v>
      </c>
      <c r="V192" s="93">
        <v>3</v>
      </c>
      <c r="W192" s="41">
        <f t="shared" si="23"/>
        <v>402714.20619768859</v>
      </c>
    </row>
    <row r="193" spans="1:23" ht="15" customHeight="1" x14ac:dyDescent="0.2">
      <c r="A193" s="41">
        <v>599</v>
      </c>
      <c r="B193" s="75" t="s">
        <v>290</v>
      </c>
      <c r="C193" s="61">
        <v>11060</v>
      </c>
      <c r="D193" s="59">
        <v>20.5</v>
      </c>
      <c r="E193" s="55">
        <v>8.19</v>
      </c>
      <c r="F193" s="56">
        <v>2973.3738219671354</v>
      </c>
      <c r="G193" s="56">
        <f t="shared" si="24"/>
        <v>-2967.9653244884762</v>
      </c>
      <c r="H193" s="57">
        <v>-1591.0472875226039</v>
      </c>
      <c r="I193" s="57">
        <v>-89.612228752260421</v>
      </c>
      <c r="J193" s="57">
        <f t="shared" si="25"/>
        <v>-1287.3058082136117</v>
      </c>
      <c r="K193" s="57">
        <v>-953.82084484716381</v>
      </c>
      <c r="L193" s="57">
        <v>-140.4849633664478</v>
      </c>
      <c r="M193" s="57">
        <v>-193</v>
      </c>
      <c r="N193" s="56">
        <f t="shared" si="26"/>
        <v>5.4084974786592284</v>
      </c>
      <c r="O193" s="56">
        <f t="shared" si="27"/>
        <v>-17596.983</v>
      </c>
      <c r="P193" s="56">
        <f t="shared" si="28"/>
        <v>-991.11125000000027</v>
      </c>
      <c r="Q193" s="56">
        <f t="shared" si="21"/>
        <v>-14237.602238842544</v>
      </c>
      <c r="R193" s="95">
        <f t="shared" si="22"/>
        <v>32885.514470956521</v>
      </c>
      <c r="S193" s="63"/>
      <c r="T193" s="43"/>
      <c r="U193" s="92" t="s">
        <v>214</v>
      </c>
      <c r="V193" s="93">
        <v>3</v>
      </c>
      <c r="W193" s="41">
        <f t="shared" si="23"/>
        <v>-2134580</v>
      </c>
    </row>
    <row r="194" spans="1:23" ht="15" customHeight="1" x14ac:dyDescent="0.2">
      <c r="A194" s="41">
        <v>583</v>
      </c>
      <c r="B194" s="75" t="s">
        <v>126</v>
      </c>
      <c r="C194" s="61">
        <v>947</v>
      </c>
      <c r="D194" s="59">
        <v>21.5</v>
      </c>
      <c r="E194" s="55">
        <v>9.19</v>
      </c>
      <c r="F194" s="56">
        <v>5411.5584146477086</v>
      </c>
      <c r="G194" s="56">
        <f t="shared" si="24"/>
        <v>-5463.2325277985719</v>
      </c>
      <c r="H194" s="57">
        <v>-1665.2101372756072</v>
      </c>
      <c r="I194" s="57">
        <v>-94.409556494192188</v>
      </c>
      <c r="J194" s="57">
        <f t="shared" si="25"/>
        <v>-3703.6128340287723</v>
      </c>
      <c r="K194" s="57">
        <v>-3360.2135987487045</v>
      </c>
      <c r="L194" s="57">
        <v>-472.22520684721127</v>
      </c>
      <c r="M194" s="57">
        <v>128.82597156714337</v>
      </c>
      <c r="N194" s="56">
        <f t="shared" si="26"/>
        <v>-51.674113150863377</v>
      </c>
      <c r="O194" s="56">
        <f t="shared" si="27"/>
        <v>-1576.954</v>
      </c>
      <c r="P194" s="56">
        <f t="shared" si="28"/>
        <v>-89.405850000000001</v>
      </c>
      <c r="Q194" s="56">
        <f t="shared" si="21"/>
        <v>-3507.3213538252476</v>
      </c>
      <c r="R194" s="95">
        <f t="shared" si="22"/>
        <v>5124.7458186713802</v>
      </c>
      <c r="S194" s="63"/>
      <c r="T194" s="43"/>
      <c r="U194" s="92" t="s">
        <v>222</v>
      </c>
      <c r="V194" s="93">
        <v>1</v>
      </c>
      <c r="W194" s="41">
        <f t="shared" si="23"/>
        <v>121998.19507408477</v>
      </c>
    </row>
    <row r="195" spans="1:23" ht="15" customHeight="1" x14ac:dyDescent="0.2">
      <c r="A195" s="41">
        <v>854</v>
      </c>
      <c r="B195" s="75" t="s">
        <v>191</v>
      </c>
      <c r="C195" s="61">
        <v>3676</v>
      </c>
      <c r="D195" s="59">
        <v>20.25</v>
      </c>
      <c r="E195" s="55">
        <v>7.9399999999999995</v>
      </c>
      <c r="F195" s="56">
        <v>5237.9305998137488</v>
      </c>
      <c r="G195" s="56">
        <f t="shared" si="24"/>
        <v>-5231.5003510989027</v>
      </c>
      <c r="H195" s="57">
        <v>-1654.320184983678</v>
      </c>
      <c r="I195" s="57">
        <v>-59.305549510337343</v>
      </c>
      <c r="J195" s="57">
        <f t="shared" si="25"/>
        <v>-3517.8746166048873</v>
      </c>
      <c r="K195" s="57">
        <v>-3241.9224487952188</v>
      </c>
      <c r="L195" s="57">
        <v>-62.423702030362222</v>
      </c>
      <c r="M195" s="57">
        <v>-213.52846577930646</v>
      </c>
      <c r="N195" s="56">
        <f t="shared" si="26"/>
        <v>6.4302487148461296</v>
      </c>
      <c r="O195" s="56">
        <f t="shared" si="27"/>
        <v>-6081.2809999999999</v>
      </c>
      <c r="P195" s="56">
        <f t="shared" si="28"/>
        <v>-218.00720000000007</v>
      </c>
      <c r="Q195" s="56">
        <f t="shared" si="21"/>
        <v>-12931.707090639566</v>
      </c>
      <c r="R195" s="95">
        <f t="shared" si="22"/>
        <v>19254.63288491534</v>
      </c>
      <c r="S195" s="63"/>
      <c r="T195" s="43"/>
      <c r="U195" s="92" t="s">
        <v>228</v>
      </c>
      <c r="V195" s="93">
        <v>2</v>
      </c>
      <c r="W195" s="41">
        <f t="shared" si="23"/>
        <v>-784930.64020473056</v>
      </c>
    </row>
    <row r="196" spans="1:23" ht="15" customHeight="1" x14ac:dyDescent="0.2">
      <c r="A196" s="41">
        <v>577</v>
      </c>
      <c r="B196" s="75" t="s">
        <v>288</v>
      </c>
      <c r="C196" s="61">
        <v>10628</v>
      </c>
      <c r="D196" s="59">
        <v>20.75</v>
      </c>
      <c r="E196" s="55">
        <v>8.44</v>
      </c>
      <c r="F196" s="56">
        <v>3070.2368438838307</v>
      </c>
      <c r="G196" s="56">
        <f t="shared" si="24"/>
        <v>-3062.9247817855621</v>
      </c>
      <c r="H196" s="57">
        <v>-2046.1366202484005</v>
      </c>
      <c r="I196" s="57">
        <v>-39.741856417011682</v>
      </c>
      <c r="J196" s="57">
        <f t="shared" si="25"/>
        <v>-977.04630512015001</v>
      </c>
      <c r="K196" s="57">
        <v>-738.22197034388228</v>
      </c>
      <c r="L196" s="57">
        <v>-123.09859561305609</v>
      </c>
      <c r="M196" s="57">
        <v>-115.72573916321167</v>
      </c>
      <c r="N196" s="56">
        <f t="shared" si="26"/>
        <v>7.3120620982685978</v>
      </c>
      <c r="O196" s="56">
        <f t="shared" si="27"/>
        <v>-21746.34</v>
      </c>
      <c r="P196" s="56">
        <f t="shared" si="28"/>
        <v>-422.3764500000002</v>
      </c>
      <c r="Q196" s="56">
        <f t="shared" si="21"/>
        <v>-10384.048130816955</v>
      </c>
      <c r="R196" s="95">
        <f t="shared" si="22"/>
        <v>32630.477176797354</v>
      </c>
      <c r="S196" s="62"/>
      <c r="T196" s="90"/>
      <c r="U196" s="92" t="s">
        <v>216</v>
      </c>
      <c r="V196" s="93">
        <v>7</v>
      </c>
      <c r="W196" s="41">
        <f t="shared" si="23"/>
        <v>-1229933.1558266135</v>
      </c>
    </row>
    <row r="197" spans="1:23" ht="15" customHeight="1" x14ac:dyDescent="0.2">
      <c r="A197" s="41">
        <v>584</v>
      </c>
      <c r="B197" s="75" t="s">
        <v>127</v>
      </c>
      <c r="C197" s="61">
        <v>2893</v>
      </c>
      <c r="D197" s="59">
        <v>21</v>
      </c>
      <c r="E197" s="55">
        <v>8.69</v>
      </c>
      <c r="F197" s="56">
        <v>3300.4504451536923</v>
      </c>
      <c r="G197" s="56">
        <f t="shared" si="24"/>
        <v>-3293.0724784035901</v>
      </c>
      <c r="H197" s="57">
        <v>-1238.4690632561355</v>
      </c>
      <c r="I197" s="57">
        <v>-62.02874179052889</v>
      </c>
      <c r="J197" s="57">
        <f t="shared" si="25"/>
        <v>-1992.5746733569258</v>
      </c>
      <c r="K197" s="57">
        <v>-2106.2171688903072</v>
      </c>
      <c r="L197" s="57">
        <v>120.91096586657144</v>
      </c>
      <c r="M197" s="57">
        <v>-7.268470333189839</v>
      </c>
      <c r="N197" s="56">
        <f t="shared" si="26"/>
        <v>7.3779667501021322</v>
      </c>
      <c r="O197" s="56">
        <f t="shared" si="27"/>
        <v>-3582.8910000000001</v>
      </c>
      <c r="P197" s="56">
        <f t="shared" si="28"/>
        <v>-179.44915000000009</v>
      </c>
      <c r="Q197" s="56">
        <f t="shared" si="21"/>
        <v>-5764.5185300215862</v>
      </c>
      <c r="R197" s="95">
        <f t="shared" si="22"/>
        <v>9548.2031378296324</v>
      </c>
      <c r="S197" s="63"/>
      <c r="T197" s="43"/>
      <c r="U197" s="92" t="s">
        <v>220</v>
      </c>
      <c r="V197" s="93">
        <v>1</v>
      </c>
      <c r="W197" s="41">
        <f t="shared" si="23"/>
        <v>-21027.684673918204</v>
      </c>
    </row>
    <row r="198" spans="1:23" ht="15" customHeight="1" x14ac:dyDescent="0.2">
      <c r="A198" s="41">
        <v>588</v>
      </c>
      <c r="B198" s="75" t="s">
        <v>128</v>
      </c>
      <c r="C198" s="61">
        <v>1832</v>
      </c>
      <c r="D198" s="59">
        <v>21</v>
      </c>
      <c r="E198" s="55">
        <v>8.69</v>
      </c>
      <c r="F198" s="56">
        <v>4010.5407201933231</v>
      </c>
      <c r="G198" s="56">
        <f t="shared" si="24"/>
        <v>-4003.1684113103511</v>
      </c>
      <c r="H198" s="57">
        <v>-1273.1970524017468</v>
      </c>
      <c r="I198" s="57">
        <v>-131.49222161572058</v>
      </c>
      <c r="J198" s="57">
        <f t="shared" si="25"/>
        <v>-2598.4791372928835</v>
      </c>
      <c r="K198" s="57">
        <v>-2873.8233761030024</v>
      </c>
      <c r="L198" s="57">
        <v>142.61111163944591</v>
      </c>
      <c r="M198" s="57">
        <v>132.73312717067319</v>
      </c>
      <c r="N198" s="56">
        <f t="shared" si="26"/>
        <v>7.3723088829719927</v>
      </c>
      <c r="O198" s="56">
        <f t="shared" si="27"/>
        <v>-2332.4969999999998</v>
      </c>
      <c r="P198" s="56">
        <f t="shared" si="28"/>
        <v>-240.89375000000013</v>
      </c>
      <c r="Q198" s="56">
        <f t="shared" si="21"/>
        <v>-4760.4137795205634</v>
      </c>
      <c r="R198" s="95">
        <f t="shared" si="22"/>
        <v>7347.3105993941681</v>
      </c>
      <c r="S198" s="63"/>
      <c r="T198" s="43"/>
      <c r="U198" s="92" t="s">
        <v>231</v>
      </c>
      <c r="V198" s="93">
        <v>2</v>
      </c>
      <c r="W198" s="41">
        <f t="shared" si="23"/>
        <v>243167.08897667329</v>
      </c>
    </row>
    <row r="199" spans="1:23" ht="15" customHeight="1" x14ac:dyDescent="0.2">
      <c r="A199" s="41">
        <v>592</v>
      </c>
      <c r="B199" s="75" t="s">
        <v>129</v>
      </c>
      <c r="C199" s="61">
        <v>4081</v>
      </c>
      <c r="D199" s="59">
        <v>21.25</v>
      </c>
      <c r="E199" s="55">
        <v>8.94</v>
      </c>
      <c r="F199" s="56">
        <v>2959.6041620122028</v>
      </c>
      <c r="G199" s="56">
        <f t="shared" si="24"/>
        <v>-2952.5905659779246</v>
      </c>
      <c r="H199" s="57">
        <v>-1528.0747365841705</v>
      </c>
      <c r="I199" s="57">
        <v>-68.567030139671687</v>
      </c>
      <c r="J199" s="57">
        <f t="shared" si="25"/>
        <v>-1355.9487992540821</v>
      </c>
      <c r="K199" s="57">
        <v>-1682.7457759287065</v>
      </c>
      <c r="L199" s="57">
        <v>208.01114065343626</v>
      </c>
      <c r="M199" s="57">
        <v>118.78583602118812</v>
      </c>
      <c r="N199" s="56">
        <f t="shared" si="26"/>
        <v>7.01359603427818</v>
      </c>
      <c r="O199" s="56">
        <f t="shared" si="27"/>
        <v>-6236.0730000000003</v>
      </c>
      <c r="P199" s="56">
        <f t="shared" si="28"/>
        <v>-279.82205000000016</v>
      </c>
      <c r="Q199" s="56">
        <f t="shared" si="21"/>
        <v>-5533.6270497559099</v>
      </c>
      <c r="R199" s="95">
        <f t="shared" si="22"/>
        <v>12078.1445851718</v>
      </c>
      <c r="S199" s="63"/>
      <c r="T199" s="43"/>
      <c r="U199" s="92" t="s">
        <v>220</v>
      </c>
      <c r="V199" s="93">
        <v>4</v>
      </c>
      <c r="W199" s="41">
        <f t="shared" si="23"/>
        <v>484764.99680246873</v>
      </c>
    </row>
    <row r="200" spans="1:23" ht="15" customHeight="1" x14ac:dyDescent="0.2">
      <c r="A200" s="41">
        <v>593</v>
      </c>
      <c r="B200" s="75" t="s">
        <v>130</v>
      </c>
      <c r="C200" s="61">
        <v>19051</v>
      </c>
      <c r="D200" s="59">
        <v>22</v>
      </c>
      <c r="E200" s="55">
        <v>9.69</v>
      </c>
      <c r="F200" s="56">
        <v>4216.5951824420972</v>
      </c>
      <c r="G200" s="56">
        <f t="shared" si="24"/>
        <v>-4209.252586556503</v>
      </c>
      <c r="H200" s="57">
        <v>-1732.5070599968506</v>
      </c>
      <c r="I200" s="57">
        <v>-70.257495669518704</v>
      </c>
      <c r="J200" s="57">
        <f t="shared" si="25"/>
        <v>-2406.4880308901338</v>
      </c>
      <c r="K200" s="57">
        <v>-2339.4010656943287</v>
      </c>
      <c r="L200" s="57">
        <v>-19.741938897836199</v>
      </c>
      <c r="M200" s="57">
        <v>-47.345026297969127</v>
      </c>
      <c r="N200" s="56">
        <f t="shared" si="26"/>
        <v>7.3425958855941644</v>
      </c>
      <c r="O200" s="56">
        <f t="shared" si="27"/>
        <v>-33005.991999999998</v>
      </c>
      <c r="P200" s="56">
        <f t="shared" si="28"/>
        <v>-1338.4755500000008</v>
      </c>
      <c r="Q200" s="56">
        <f t="shared" si="21"/>
        <v>-45846.003476487946</v>
      </c>
      <c r="R200" s="95">
        <f t="shared" si="22"/>
        <v>80330.354820704408</v>
      </c>
      <c r="S200" s="63"/>
      <c r="T200" s="43"/>
      <c r="U200" s="92" t="s">
        <v>239</v>
      </c>
      <c r="V200" s="93">
        <v>2</v>
      </c>
      <c r="W200" s="41">
        <f t="shared" si="23"/>
        <v>-901970.09600260982</v>
      </c>
    </row>
    <row r="201" spans="1:23" ht="15" customHeight="1" x14ac:dyDescent="0.2">
      <c r="A201" s="41">
        <v>595</v>
      </c>
      <c r="B201" s="75" t="s">
        <v>131</v>
      </c>
      <c r="C201" s="61">
        <v>4787</v>
      </c>
      <c r="D201" s="59">
        <v>20.75</v>
      </c>
      <c r="E201" s="55">
        <v>8.44</v>
      </c>
      <c r="F201" s="56">
        <v>4752.121155385229</v>
      </c>
      <c r="G201" s="56">
        <f t="shared" si="24"/>
        <v>-4744.746230596551</v>
      </c>
      <c r="H201" s="57">
        <v>-1296.724462084813</v>
      </c>
      <c r="I201" s="57">
        <v>-91.099811990808476</v>
      </c>
      <c r="J201" s="57">
        <f t="shared" si="25"/>
        <v>-3356.9219565209291</v>
      </c>
      <c r="K201" s="57">
        <v>-3239.2532283017345</v>
      </c>
      <c r="L201" s="57">
        <v>-47.179446698662268</v>
      </c>
      <c r="M201" s="57">
        <v>-70.489281520532785</v>
      </c>
      <c r="N201" s="56">
        <f t="shared" si="26"/>
        <v>7.3749247886780722</v>
      </c>
      <c r="O201" s="56">
        <f t="shared" si="27"/>
        <v>-6207.42</v>
      </c>
      <c r="P201" s="56">
        <f t="shared" si="28"/>
        <v>-436.09480000000019</v>
      </c>
      <c r="Q201" s="56">
        <f t="shared" si="21"/>
        <v>-16069.585405865688</v>
      </c>
      <c r="R201" s="95">
        <f t="shared" si="22"/>
        <v>22748.403970829091</v>
      </c>
      <c r="S201" s="63"/>
      <c r="T201" s="90"/>
      <c r="U201" s="92" t="s">
        <v>248</v>
      </c>
      <c r="V201" s="93">
        <v>4</v>
      </c>
      <c r="W201" s="41">
        <f t="shared" si="23"/>
        <v>-337432.19063879043</v>
      </c>
    </row>
    <row r="202" spans="1:23" ht="15" customHeight="1" x14ac:dyDescent="0.2">
      <c r="A202" s="41">
        <v>601</v>
      </c>
      <c r="B202" s="75" t="s">
        <v>132</v>
      </c>
      <c r="C202" s="61">
        <v>4261</v>
      </c>
      <c r="D202" s="59">
        <v>21</v>
      </c>
      <c r="E202" s="55">
        <v>8.69</v>
      </c>
      <c r="F202" s="56">
        <v>3942.2807533860441</v>
      </c>
      <c r="G202" s="56">
        <f t="shared" si="24"/>
        <v>-3934.8895893191084</v>
      </c>
      <c r="H202" s="57">
        <v>-1334.4111710865993</v>
      </c>
      <c r="I202" s="57">
        <v>-107.37986388171792</v>
      </c>
      <c r="J202" s="57">
        <f t="shared" si="25"/>
        <v>-2493.0985543507913</v>
      </c>
      <c r="K202" s="57">
        <v>-2758.7775095755737</v>
      </c>
      <c r="L202" s="57">
        <v>188.31785567357332</v>
      </c>
      <c r="M202" s="57">
        <v>77.36109955120898</v>
      </c>
      <c r="N202" s="56">
        <f t="shared" si="26"/>
        <v>7.3911640669357439</v>
      </c>
      <c r="O202" s="56">
        <f t="shared" si="27"/>
        <v>-5685.9260000000004</v>
      </c>
      <c r="P202" s="56">
        <f t="shared" si="28"/>
        <v>-457.54560000000009</v>
      </c>
      <c r="Q202" s="56">
        <f t="shared" si="21"/>
        <v>-10623.092940088723</v>
      </c>
      <c r="R202" s="95">
        <f t="shared" si="22"/>
        <v>16798.058290177934</v>
      </c>
      <c r="S202" s="63"/>
      <c r="T202" s="43"/>
      <c r="U202" s="92" t="s">
        <v>231</v>
      </c>
      <c r="V202" s="93">
        <v>2</v>
      </c>
      <c r="W202" s="41">
        <f t="shared" si="23"/>
        <v>329635.64518770145</v>
      </c>
    </row>
    <row r="203" spans="1:23" ht="15" customHeight="1" x14ac:dyDescent="0.2">
      <c r="A203" s="41">
        <v>607</v>
      </c>
      <c r="B203" s="75" t="s">
        <v>133</v>
      </c>
      <c r="C203" s="61">
        <v>4609</v>
      </c>
      <c r="D203" s="59">
        <v>20.25</v>
      </c>
      <c r="E203" s="55">
        <v>7.9399999999999995</v>
      </c>
      <c r="F203" s="56">
        <v>3590.0153556236287</v>
      </c>
      <c r="G203" s="56">
        <f t="shared" si="24"/>
        <v>-3582.6355879335574</v>
      </c>
      <c r="H203" s="57">
        <v>-1311.892818398785</v>
      </c>
      <c r="I203" s="57">
        <v>-73.017292254285138</v>
      </c>
      <c r="J203" s="57">
        <f t="shared" si="25"/>
        <v>-2197.7254772804872</v>
      </c>
      <c r="K203" s="57">
        <v>-2458.5360175337287</v>
      </c>
      <c r="L203" s="57">
        <v>125.30076681300511</v>
      </c>
      <c r="M203" s="57">
        <v>135.50977344023619</v>
      </c>
      <c r="N203" s="56">
        <f t="shared" si="26"/>
        <v>7.3797676900712759</v>
      </c>
      <c r="O203" s="56">
        <f t="shared" si="27"/>
        <v>-6046.5140000000001</v>
      </c>
      <c r="P203" s="56">
        <f t="shared" si="28"/>
        <v>-336.53670000000017</v>
      </c>
      <c r="Q203" s="56">
        <f t="shared" si="21"/>
        <v>-10129.316724785765</v>
      </c>
      <c r="R203" s="95">
        <f t="shared" si="22"/>
        <v>16546.380774069305</v>
      </c>
      <c r="S203" s="63"/>
      <c r="T203" s="43"/>
      <c r="U203" s="92" t="s">
        <v>242</v>
      </c>
      <c r="V203" s="93">
        <v>2</v>
      </c>
      <c r="W203" s="41">
        <f t="shared" si="23"/>
        <v>624564.54578604863</v>
      </c>
    </row>
    <row r="204" spans="1:23" ht="15" customHeight="1" x14ac:dyDescent="0.2">
      <c r="A204" s="41">
        <v>614</v>
      </c>
      <c r="B204" s="75" t="s">
        <v>134</v>
      </c>
      <c r="C204" s="61">
        <v>3633</v>
      </c>
      <c r="D204" s="59">
        <v>21.75</v>
      </c>
      <c r="E204" s="55">
        <v>9.44</v>
      </c>
      <c r="F204" s="56">
        <v>5217.1830262942713</v>
      </c>
      <c r="G204" s="56">
        <f t="shared" si="24"/>
        <v>-5211.0760432759671</v>
      </c>
      <c r="H204" s="57">
        <v>-1333.2953481970824</v>
      </c>
      <c r="I204" s="57">
        <v>-64.199724745389517</v>
      </c>
      <c r="J204" s="57">
        <f t="shared" si="25"/>
        <v>-3813.5809703334953</v>
      </c>
      <c r="K204" s="57">
        <v>-3126.5746330090469</v>
      </c>
      <c r="L204" s="57">
        <v>-297.62947725429609</v>
      </c>
      <c r="M204" s="57">
        <v>-389.37686007015259</v>
      </c>
      <c r="N204" s="56">
        <f t="shared" si="26"/>
        <v>6.1069830183041631</v>
      </c>
      <c r="O204" s="56">
        <f t="shared" si="27"/>
        <v>-4843.8620000000001</v>
      </c>
      <c r="P204" s="56">
        <f t="shared" si="28"/>
        <v>-233.23760000000013</v>
      </c>
      <c r="Q204" s="56">
        <f t="shared" si="21"/>
        <v>-13854.739665221588</v>
      </c>
      <c r="R204" s="95">
        <f t="shared" si="22"/>
        <v>18954.02593452709</v>
      </c>
      <c r="S204" s="63"/>
      <c r="T204" s="43"/>
      <c r="U204" s="92" t="s">
        <v>216</v>
      </c>
      <c r="V204" s="93">
        <v>3</v>
      </c>
      <c r="W204" s="41">
        <f t="shared" si="23"/>
        <v>-1414606.1326348644</v>
      </c>
    </row>
    <row r="205" spans="1:23" ht="15" customHeight="1" x14ac:dyDescent="0.2">
      <c r="A205" s="41">
        <v>615</v>
      </c>
      <c r="B205" s="75" t="s">
        <v>135</v>
      </c>
      <c r="C205" s="61">
        <v>8399</v>
      </c>
      <c r="D205" s="59">
        <v>20.5</v>
      </c>
      <c r="E205" s="55">
        <v>8.19</v>
      </c>
      <c r="F205" s="56">
        <v>4083.0379837967994</v>
      </c>
      <c r="G205" s="56">
        <f t="shared" si="24"/>
        <v>-4075.8535730156846</v>
      </c>
      <c r="H205" s="57">
        <v>-1307.6696035242292</v>
      </c>
      <c r="I205" s="57">
        <v>-92.975705441123964</v>
      </c>
      <c r="J205" s="57">
        <f t="shared" si="25"/>
        <v>-2675.2082640503313</v>
      </c>
      <c r="K205" s="57">
        <v>-2909.8694036878396</v>
      </c>
      <c r="L205" s="57">
        <v>237.3152804731304</v>
      </c>
      <c r="M205" s="57">
        <v>-2.6541408356222291</v>
      </c>
      <c r="N205" s="56">
        <f t="shared" si="26"/>
        <v>7.1844107811148206</v>
      </c>
      <c r="O205" s="56">
        <f t="shared" si="27"/>
        <v>-10983.117</v>
      </c>
      <c r="P205" s="56">
        <f t="shared" si="28"/>
        <v>-780.90295000000015</v>
      </c>
      <c r="Q205" s="56">
        <f t="shared" si="21"/>
        <v>-22469.074209758732</v>
      </c>
      <c r="R205" s="95">
        <f t="shared" si="22"/>
        <v>34293.436025909323</v>
      </c>
      <c r="S205" s="63"/>
      <c r="T205" s="43"/>
      <c r="U205" s="92" t="s">
        <v>218</v>
      </c>
      <c r="V205" s="93">
        <v>1</v>
      </c>
      <c r="W205" s="41">
        <f t="shared" si="23"/>
        <v>-22292.128878391104</v>
      </c>
    </row>
    <row r="206" spans="1:23" ht="15" customHeight="1" x14ac:dyDescent="0.2">
      <c r="A206" s="41">
        <v>616</v>
      </c>
      <c r="B206" s="75" t="s">
        <v>136</v>
      </c>
      <c r="C206" s="61">
        <v>2013</v>
      </c>
      <c r="D206" s="59">
        <v>22</v>
      </c>
      <c r="E206" s="55">
        <v>9.69</v>
      </c>
      <c r="F206" s="56">
        <v>3045.8070487172099</v>
      </c>
      <c r="G206" s="56">
        <f t="shared" si="24"/>
        <v>-3038.4278655997305</v>
      </c>
      <c r="H206" s="57">
        <v>-1739.281172379533</v>
      </c>
      <c r="I206" s="57">
        <v>-67.028365623447627</v>
      </c>
      <c r="J206" s="57">
        <f t="shared" si="25"/>
        <v>-1232.1183275967496</v>
      </c>
      <c r="K206" s="57">
        <v>-1175.4492872639762</v>
      </c>
      <c r="L206" s="57">
        <v>-11.938964772019103</v>
      </c>
      <c r="M206" s="57">
        <v>-44.730075560754472</v>
      </c>
      <c r="N206" s="56">
        <f t="shared" si="26"/>
        <v>7.3791831174794424</v>
      </c>
      <c r="O206" s="56">
        <f t="shared" si="27"/>
        <v>-3501.1730000000002</v>
      </c>
      <c r="P206" s="56">
        <f t="shared" si="28"/>
        <v>-134.92810000000006</v>
      </c>
      <c r="Q206" s="56">
        <f t="shared" si="21"/>
        <v>-2480.2541934522574</v>
      </c>
      <c r="R206" s="95">
        <f t="shared" si="22"/>
        <v>6131.2095890677429</v>
      </c>
      <c r="S206" s="63"/>
      <c r="T206" s="43"/>
      <c r="U206" s="92" t="s">
        <v>214</v>
      </c>
      <c r="V206" s="93">
        <v>2</v>
      </c>
      <c r="W206" s="41">
        <f t="shared" si="23"/>
        <v>-90041.642103798746</v>
      </c>
    </row>
    <row r="207" spans="1:23" ht="15" customHeight="1" x14ac:dyDescent="0.2">
      <c r="A207" s="41">
        <v>619</v>
      </c>
      <c r="B207" s="75" t="s">
        <v>137</v>
      </c>
      <c r="C207" s="61">
        <v>3117</v>
      </c>
      <c r="D207" s="59">
        <v>21.5</v>
      </c>
      <c r="E207" s="55">
        <v>9.19</v>
      </c>
      <c r="F207" s="56">
        <v>3844.7960008364576</v>
      </c>
      <c r="G207" s="56">
        <f t="shared" si="24"/>
        <v>-3837.4092833392242</v>
      </c>
      <c r="H207" s="57">
        <v>-1409.6814244465832</v>
      </c>
      <c r="I207" s="57">
        <v>-55.675874238049431</v>
      </c>
      <c r="J207" s="57">
        <f t="shared" si="25"/>
        <v>-2372.0519846545917</v>
      </c>
      <c r="K207" s="57">
        <v>-2660.3581102591797</v>
      </c>
      <c r="L207" s="57">
        <v>186.03348820768332</v>
      </c>
      <c r="M207" s="57">
        <v>102.27263739690503</v>
      </c>
      <c r="N207" s="56">
        <f t="shared" si="26"/>
        <v>7.3867174972333487</v>
      </c>
      <c r="O207" s="56">
        <f t="shared" si="27"/>
        <v>-4393.9769999999999</v>
      </c>
      <c r="P207" s="56">
        <f t="shared" si="28"/>
        <v>-173.54170000000008</v>
      </c>
      <c r="Q207" s="56">
        <f t="shared" ref="Q207:Q270" si="29">C207*J207*0.001</f>
        <v>-7393.6860361683621</v>
      </c>
      <c r="R207" s="95">
        <f t="shared" ref="R207:R270" si="30">F207*C207*0.001</f>
        <v>11984.22913460724</v>
      </c>
      <c r="S207" s="63"/>
      <c r="T207" s="43"/>
      <c r="U207" s="92" t="s">
        <v>234</v>
      </c>
      <c r="V207" s="93">
        <v>2</v>
      </c>
      <c r="W207" s="41">
        <f t="shared" ref="W207:W270" si="31">M207*C207</f>
        <v>318783.81076615298</v>
      </c>
    </row>
    <row r="208" spans="1:23" ht="15" customHeight="1" x14ac:dyDescent="0.2">
      <c r="A208" s="41">
        <v>620</v>
      </c>
      <c r="B208" s="75" t="s">
        <v>138</v>
      </c>
      <c r="C208" s="61">
        <v>2824</v>
      </c>
      <c r="D208" s="59">
        <v>21.5</v>
      </c>
      <c r="E208" s="55">
        <v>9.19</v>
      </c>
      <c r="F208" s="56">
        <v>5208.6232318284574</v>
      </c>
      <c r="G208" s="56">
        <f t="shared" ref="G208:G271" si="32">H208+I208+J208</f>
        <v>-5201.23518282648</v>
      </c>
      <c r="H208" s="57">
        <v>-1393.3459631728044</v>
      </c>
      <c r="I208" s="57">
        <v>-131.97668201133149</v>
      </c>
      <c r="J208" s="57">
        <f t="shared" ref="J208:J271" si="33">K208+L208+M208</f>
        <v>-3675.9125376423444</v>
      </c>
      <c r="K208" s="57">
        <v>-3748.7993200520195</v>
      </c>
      <c r="L208" s="57">
        <v>141.10656369112891</v>
      </c>
      <c r="M208" s="57">
        <v>-68.219781281453606</v>
      </c>
      <c r="N208" s="56">
        <f t="shared" ref="N208:N271" si="34">F208+G208</f>
        <v>7.3880490019773788</v>
      </c>
      <c r="O208" s="56">
        <f t="shared" ref="O208:O271" si="35">C208*H208*0.001</f>
        <v>-3934.8089999999997</v>
      </c>
      <c r="P208" s="56">
        <f t="shared" ref="P208:P271" si="36">C208*I208*0.001</f>
        <v>-372.70215000000013</v>
      </c>
      <c r="Q208" s="56">
        <f t="shared" si="29"/>
        <v>-10380.77700630198</v>
      </c>
      <c r="R208" s="95">
        <f t="shared" si="30"/>
        <v>14709.152006683564</v>
      </c>
      <c r="S208" s="63"/>
      <c r="T208" s="43"/>
      <c r="U208" s="92" t="s">
        <v>220</v>
      </c>
      <c r="V208" s="93">
        <v>2</v>
      </c>
      <c r="W208" s="41">
        <f t="shared" si="31"/>
        <v>-192652.66233882497</v>
      </c>
    </row>
    <row r="209" spans="1:23" ht="15" customHeight="1" x14ac:dyDescent="0.2">
      <c r="A209" s="41">
        <v>623</v>
      </c>
      <c r="B209" s="75" t="s">
        <v>139</v>
      </c>
      <c r="C209" s="61">
        <v>2306</v>
      </c>
      <c r="D209" s="59">
        <v>20.5</v>
      </c>
      <c r="E209" s="55">
        <v>8.19</v>
      </c>
      <c r="F209" s="56">
        <v>4353.9166253970716</v>
      </c>
      <c r="G209" s="56">
        <f t="shared" si="32"/>
        <v>-4347.5095223299504</v>
      </c>
      <c r="H209" s="57">
        <v>-1527.9215091066783</v>
      </c>
      <c r="I209" s="57">
        <v>-183.91140503035567</v>
      </c>
      <c r="J209" s="57">
        <f t="shared" si="33"/>
        <v>-2635.6766081929163</v>
      </c>
      <c r="K209" s="57">
        <v>-3201.6593573558771</v>
      </c>
      <c r="L209" s="57">
        <v>221.81247407073465</v>
      </c>
      <c r="M209" s="57">
        <v>344.17027509222578</v>
      </c>
      <c r="N209" s="56">
        <f t="shared" si="34"/>
        <v>6.4071030671211702</v>
      </c>
      <c r="O209" s="56">
        <f t="shared" si="35"/>
        <v>-3523.3870000000002</v>
      </c>
      <c r="P209" s="56">
        <f t="shared" si="36"/>
        <v>-424.09970000000021</v>
      </c>
      <c r="Q209" s="56">
        <f t="shared" si="29"/>
        <v>-6077.8702584928651</v>
      </c>
      <c r="R209" s="95">
        <f t="shared" si="30"/>
        <v>10040.131738165646</v>
      </c>
      <c r="S209" s="63"/>
      <c r="T209" s="90"/>
      <c r="U209" s="92" t="s">
        <v>230</v>
      </c>
      <c r="V209" s="93">
        <v>3</v>
      </c>
      <c r="W209" s="41">
        <f t="shared" si="31"/>
        <v>793656.65436267259</v>
      </c>
    </row>
    <row r="210" spans="1:23" ht="15" customHeight="1" x14ac:dyDescent="0.2">
      <c r="A210" s="41">
        <v>625</v>
      </c>
      <c r="B210" s="75" t="s">
        <v>140</v>
      </c>
      <c r="C210" s="61">
        <v>3290</v>
      </c>
      <c r="D210" s="59">
        <v>20.25</v>
      </c>
      <c r="E210" s="55">
        <v>7.9399999999999995</v>
      </c>
      <c r="F210" s="56">
        <v>3224.3642639258696</v>
      </c>
      <c r="G210" s="56">
        <f t="shared" si="32"/>
        <v>-3218.0398080715731</v>
      </c>
      <c r="H210" s="57">
        <v>-1654.9003039513677</v>
      </c>
      <c r="I210" s="57">
        <v>-51.776899696048652</v>
      </c>
      <c r="J210" s="57">
        <f t="shared" si="33"/>
        <v>-1511.3626044241569</v>
      </c>
      <c r="K210" s="57">
        <v>-2142.2223903449085</v>
      </c>
      <c r="L210" s="57">
        <v>433.65602137483796</v>
      </c>
      <c r="M210" s="57">
        <v>197.20376454591349</v>
      </c>
      <c r="N210" s="56">
        <f t="shared" si="34"/>
        <v>6.3244558542965024</v>
      </c>
      <c r="O210" s="56">
        <f t="shared" si="35"/>
        <v>-5444.6220000000003</v>
      </c>
      <c r="P210" s="56">
        <f t="shared" si="36"/>
        <v>-170.34600000000006</v>
      </c>
      <c r="Q210" s="56">
        <f t="shared" si="29"/>
        <v>-4972.3829685554765</v>
      </c>
      <c r="R210" s="95">
        <f t="shared" si="30"/>
        <v>10608.15842831611</v>
      </c>
      <c r="S210" s="63"/>
      <c r="T210" s="43"/>
      <c r="U210" s="92" t="s">
        <v>216</v>
      </c>
      <c r="V210" s="93">
        <v>3</v>
      </c>
      <c r="W210" s="41">
        <f t="shared" si="31"/>
        <v>648800.38535605534</v>
      </c>
    </row>
    <row r="211" spans="1:23" ht="15" customHeight="1" x14ac:dyDescent="0.2">
      <c r="A211" s="41">
        <v>626</v>
      </c>
      <c r="B211" s="75" t="s">
        <v>141</v>
      </c>
      <c r="C211" s="61">
        <v>5562</v>
      </c>
      <c r="D211" s="59">
        <v>19.75</v>
      </c>
      <c r="E211" s="55">
        <v>7.4399999999999995</v>
      </c>
      <c r="F211" s="56">
        <v>4425.0344530349857</v>
      </c>
      <c r="G211" s="56">
        <f t="shared" si="32"/>
        <v>-4418.7713553413669</v>
      </c>
      <c r="H211" s="57">
        <v>-1597.133585041352</v>
      </c>
      <c r="I211" s="57">
        <v>-317.9664149586481</v>
      </c>
      <c r="J211" s="57">
        <f t="shared" si="33"/>
        <v>-2503.6713553413665</v>
      </c>
      <c r="K211" s="57">
        <v>-2453.0096450509095</v>
      </c>
      <c r="L211" s="57">
        <v>29.059133245258483</v>
      </c>
      <c r="M211" s="57">
        <v>-79.72084353571563</v>
      </c>
      <c r="N211" s="56">
        <f t="shared" si="34"/>
        <v>6.2630976936188745</v>
      </c>
      <c r="O211" s="56">
        <f t="shared" si="35"/>
        <v>-8883.2569999999996</v>
      </c>
      <c r="P211" s="56">
        <f t="shared" si="36"/>
        <v>-1768.5292000000006</v>
      </c>
      <c r="Q211" s="56">
        <f t="shared" si="29"/>
        <v>-13925.420078408681</v>
      </c>
      <c r="R211" s="95">
        <f t="shared" si="30"/>
        <v>24612.041627780593</v>
      </c>
      <c r="S211" s="63"/>
      <c r="T211" s="43"/>
      <c r="U211" s="92" t="s">
        <v>216</v>
      </c>
      <c r="V211" s="93">
        <v>1</v>
      </c>
      <c r="W211" s="41">
        <f t="shared" si="31"/>
        <v>-443407.33174565033</v>
      </c>
    </row>
    <row r="212" spans="1:23" ht="15" customHeight="1" x14ac:dyDescent="0.2">
      <c r="A212" s="41">
        <v>630</v>
      </c>
      <c r="B212" s="75" t="s">
        <v>142</v>
      </c>
      <c r="C212" s="61">
        <v>1562</v>
      </c>
      <c r="D212" s="59">
        <v>19.75</v>
      </c>
      <c r="E212" s="55">
        <v>7.4399999999999995</v>
      </c>
      <c r="F212" s="56">
        <v>3892.2334592749489</v>
      </c>
      <c r="G212" s="56">
        <f t="shared" si="32"/>
        <v>-3884.8799763736706</v>
      </c>
      <c r="H212" s="57">
        <v>-1465.9225352112676</v>
      </c>
      <c r="I212" s="57">
        <v>-101.47871318822027</v>
      </c>
      <c r="J212" s="57">
        <f t="shared" si="33"/>
        <v>-2317.4787279741827</v>
      </c>
      <c r="K212" s="57">
        <v>-2054.0955593634703</v>
      </c>
      <c r="L212" s="57">
        <v>-64.421710344063413</v>
      </c>
      <c r="M212" s="57">
        <v>-198.96145826664912</v>
      </c>
      <c r="N212" s="56">
        <f t="shared" si="34"/>
        <v>7.3534829012783121</v>
      </c>
      <c r="O212" s="56">
        <f t="shared" si="35"/>
        <v>-2289.7710000000002</v>
      </c>
      <c r="P212" s="56">
        <f t="shared" si="36"/>
        <v>-158.50975000000005</v>
      </c>
      <c r="Q212" s="56">
        <f t="shared" si="29"/>
        <v>-3619.9017730956734</v>
      </c>
      <c r="R212" s="95">
        <f t="shared" si="30"/>
        <v>6079.6686633874697</v>
      </c>
      <c r="S212" s="63"/>
      <c r="T212" s="43"/>
      <c r="U212" s="92" t="s">
        <v>219</v>
      </c>
      <c r="V212" s="93">
        <v>2</v>
      </c>
      <c r="W212" s="41">
        <f t="shared" si="31"/>
        <v>-310777.79781250592</v>
      </c>
    </row>
    <row r="213" spans="1:23" ht="15" customHeight="1" x14ac:dyDescent="0.2">
      <c r="A213" s="41">
        <v>631</v>
      </c>
      <c r="B213" s="75" t="s">
        <v>143</v>
      </c>
      <c r="C213" s="61">
        <v>2136</v>
      </c>
      <c r="D213" s="59">
        <v>21</v>
      </c>
      <c r="E213" s="55">
        <v>8.69</v>
      </c>
      <c r="F213" s="56">
        <v>3183.7298451722077</v>
      </c>
      <c r="G213" s="56">
        <f t="shared" si="32"/>
        <v>-3176.3417121392922</v>
      </c>
      <c r="H213" s="57">
        <v>-1960.8117977528091</v>
      </c>
      <c r="I213" s="57">
        <v>-41.252598314606765</v>
      </c>
      <c r="J213" s="57">
        <f t="shared" si="33"/>
        <v>-1174.2773160718762</v>
      </c>
      <c r="K213" s="57">
        <v>-1362.3497074285042</v>
      </c>
      <c r="L213" s="57">
        <v>76.51174481299374</v>
      </c>
      <c r="M213" s="57">
        <v>111.56064654363428</v>
      </c>
      <c r="N213" s="56">
        <f t="shared" si="34"/>
        <v>7.388133032915448</v>
      </c>
      <c r="O213" s="56">
        <f t="shared" si="35"/>
        <v>-4188.2939999999999</v>
      </c>
      <c r="P213" s="56">
        <f t="shared" si="36"/>
        <v>-88.115550000000042</v>
      </c>
      <c r="Q213" s="56">
        <f t="shared" si="29"/>
        <v>-2508.2563471295275</v>
      </c>
      <c r="R213" s="95">
        <f t="shared" si="30"/>
        <v>6800.4469492878352</v>
      </c>
      <c r="S213" s="63"/>
      <c r="T213" s="43"/>
      <c r="U213" s="92" t="s">
        <v>214</v>
      </c>
      <c r="V213" s="93">
        <v>3</v>
      </c>
      <c r="W213" s="41">
        <f t="shared" si="31"/>
        <v>238293.54101720281</v>
      </c>
    </row>
    <row r="214" spans="1:23" ht="15" customHeight="1" x14ac:dyDescent="0.2">
      <c r="A214" s="41">
        <v>624</v>
      </c>
      <c r="B214" s="75" t="s">
        <v>297</v>
      </c>
      <c r="C214" s="61">
        <v>5354</v>
      </c>
      <c r="D214" s="59">
        <v>20.25</v>
      </c>
      <c r="E214" s="55">
        <v>7.9399999999999995</v>
      </c>
      <c r="F214" s="56">
        <v>3293.3313930853574</v>
      </c>
      <c r="G214" s="56">
        <f t="shared" si="32"/>
        <v>-3292.0270288435554</v>
      </c>
      <c r="H214" s="57">
        <v>-2013.2375793799029</v>
      </c>
      <c r="I214" s="57">
        <v>-38.410926410160648</v>
      </c>
      <c r="J214" s="57">
        <f t="shared" si="33"/>
        <v>-1240.3785230534918</v>
      </c>
      <c r="K214" s="57">
        <v>-1333.5457426591727</v>
      </c>
      <c r="L214" s="57">
        <v>30.548131339229752</v>
      </c>
      <c r="M214" s="57">
        <v>62.619088266451072</v>
      </c>
      <c r="N214" s="56">
        <f t="shared" si="34"/>
        <v>1.3043642418019772</v>
      </c>
      <c r="O214" s="56">
        <f t="shared" si="35"/>
        <v>-10778.874</v>
      </c>
      <c r="P214" s="56">
        <f t="shared" si="36"/>
        <v>-205.65210000000013</v>
      </c>
      <c r="Q214" s="56">
        <f t="shared" si="29"/>
        <v>-6640.9866124283953</v>
      </c>
      <c r="R214" s="95">
        <f t="shared" si="30"/>
        <v>17632.496278579005</v>
      </c>
      <c r="S214" s="63"/>
      <c r="T214" s="43"/>
      <c r="U214" s="92" t="s">
        <v>216</v>
      </c>
      <c r="V214" s="93">
        <v>2</v>
      </c>
      <c r="W214" s="41">
        <f t="shared" si="31"/>
        <v>335262.59857857903</v>
      </c>
    </row>
    <row r="215" spans="1:23" ht="15" customHeight="1" x14ac:dyDescent="0.2">
      <c r="A215" s="41">
        <v>608</v>
      </c>
      <c r="B215" s="75" t="s">
        <v>293</v>
      </c>
      <c r="C215" s="61">
        <v>2275</v>
      </c>
      <c r="D215" s="59">
        <v>20.5</v>
      </c>
      <c r="E215" s="55">
        <v>8.19</v>
      </c>
      <c r="F215" s="56">
        <v>3953.274835106607</v>
      </c>
      <c r="G215" s="56">
        <f t="shared" si="32"/>
        <v>-3945.8759001475273</v>
      </c>
      <c r="H215" s="57">
        <v>-1502.065934065934</v>
      </c>
      <c r="I215" s="57">
        <v>-61.788329670329674</v>
      </c>
      <c r="J215" s="57">
        <f t="shared" si="33"/>
        <v>-2382.0216364112634</v>
      </c>
      <c r="K215" s="57">
        <v>-2310.6294301722955</v>
      </c>
      <c r="L215" s="57">
        <v>-23.32981191244399</v>
      </c>
      <c r="M215" s="57">
        <v>-48.062394326524114</v>
      </c>
      <c r="N215" s="56">
        <f t="shared" si="34"/>
        <v>7.3989349590797246</v>
      </c>
      <c r="O215" s="56">
        <f t="shared" si="35"/>
        <v>-3417.2000000000003</v>
      </c>
      <c r="P215" s="56">
        <f t="shared" si="36"/>
        <v>-140.56845000000001</v>
      </c>
      <c r="Q215" s="56">
        <f t="shared" si="29"/>
        <v>-5419.0992228356245</v>
      </c>
      <c r="R215" s="95">
        <f t="shared" si="30"/>
        <v>8993.7002498675301</v>
      </c>
      <c r="S215" s="63"/>
      <c r="T215" s="90"/>
      <c r="U215" s="92" t="s">
        <v>224</v>
      </c>
      <c r="V215" s="93">
        <v>2</v>
      </c>
      <c r="W215" s="41">
        <f t="shared" si="31"/>
        <v>-109341.94709284235</v>
      </c>
    </row>
    <row r="216" spans="1:23" ht="15" customHeight="1" x14ac:dyDescent="0.2">
      <c r="A216" s="41">
        <v>635</v>
      </c>
      <c r="B216" s="75" t="s">
        <v>144</v>
      </c>
      <c r="C216" s="61">
        <v>6722</v>
      </c>
      <c r="D216" s="59">
        <v>21</v>
      </c>
      <c r="E216" s="55">
        <v>8.69</v>
      </c>
      <c r="F216" s="56">
        <v>3474.6847745109053</v>
      </c>
      <c r="G216" s="56">
        <f t="shared" si="32"/>
        <v>-3467.3062432752072</v>
      </c>
      <c r="H216" s="57">
        <v>-1625.5720023802439</v>
      </c>
      <c r="I216" s="57">
        <v>-57.167152633144909</v>
      </c>
      <c r="J216" s="57">
        <f t="shared" si="33"/>
        <v>-1784.5670882618183</v>
      </c>
      <c r="K216" s="57">
        <v>-2006.4181956542343</v>
      </c>
      <c r="L216" s="57">
        <v>136.63248360615285</v>
      </c>
      <c r="M216" s="57">
        <v>85.218623786263066</v>
      </c>
      <c r="N216" s="56">
        <f t="shared" si="34"/>
        <v>7.3785312356981194</v>
      </c>
      <c r="O216" s="56">
        <f t="shared" si="35"/>
        <v>-10927.094999999999</v>
      </c>
      <c r="P216" s="56">
        <f t="shared" si="36"/>
        <v>-384.27760000000012</v>
      </c>
      <c r="Q216" s="56">
        <f t="shared" si="29"/>
        <v>-11995.859967295943</v>
      </c>
      <c r="R216" s="95">
        <f t="shared" si="30"/>
        <v>23356.831054262308</v>
      </c>
      <c r="S216" s="62"/>
      <c r="T216" s="43"/>
      <c r="U216" s="92" t="s">
        <v>219</v>
      </c>
      <c r="V216" s="93">
        <v>3</v>
      </c>
      <c r="W216" s="41">
        <f t="shared" si="31"/>
        <v>572839.58909126034</v>
      </c>
    </row>
    <row r="217" spans="1:23" ht="15" customHeight="1" x14ac:dyDescent="0.2">
      <c r="A217" s="41">
        <v>636</v>
      </c>
      <c r="B217" s="75" t="s">
        <v>145</v>
      </c>
      <c r="C217" s="61">
        <v>8619</v>
      </c>
      <c r="D217" s="59">
        <v>21.25</v>
      </c>
      <c r="E217" s="55">
        <v>8.94</v>
      </c>
      <c r="F217" s="56">
        <v>3428.3840168239612</v>
      </c>
      <c r="G217" s="56">
        <f t="shared" si="32"/>
        <v>-3421.1825358054693</v>
      </c>
      <c r="H217" s="57">
        <v>-1546.9573036315119</v>
      </c>
      <c r="I217" s="57">
        <v>-55.751914375217567</v>
      </c>
      <c r="J217" s="57">
        <f t="shared" si="33"/>
        <v>-1818.4733177987396</v>
      </c>
      <c r="K217" s="57">
        <v>-1719.1862328271391</v>
      </c>
      <c r="L217" s="57">
        <v>-29.778407109619565</v>
      </c>
      <c r="M217" s="57">
        <v>-69.508677861981027</v>
      </c>
      <c r="N217" s="56">
        <f t="shared" si="34"/>
        <v>7.2014810184919043</v>
      </c>
      <c r="O217" s="56">
        <f t="shared" si="35"/>
        <v>-13333.225</v>
      </c>
      <c r="P217" s="56">
        <f t="shared" si="36"/>
        <v>-480.52575000000024</v>
      </c>
      <c r="Q217" s="56">
        <f t="shared" si="29"/>
        <v>-15673.421526107335</v>
      </c>
      <c r="R217" s="95">
        <f t="shared" si="30"/>
        <v>29549.241841005722</v>
      </c>
      <c r="S217" s="63"/>
      <c r="T217" s="90"/>
      <c r="U217" s="92" t="s">
        <v>218</v>
      </c>
      <c r="V217" s="93">
        <v>5</v>
      </c>
      <c r="W217" s="41">
        <f t="shared" si="31"/>
        <v>-599095.29449241445</v>
      </c>
    </row>
    <row r="218" spans="1:23" ht="15" customHeight="1" x14ac:dyDescent="0.2">
      <c r="A218" s="41">
        <v>681</v>
      </c>
      <c r="B218" s="75" t="s">
        <v>146</v>
      </c>
      <c r="C218" s="61">
        <v>3815</v>
      </c>
      <c r="D218" s="59">
        <v>20.5</v>
      </c>
      <c r="E218" s="55">
        <v>8.19</v>
      </c>
      <c r="F218" s="56">
        <v>4064.7362174409891</v>
      </c>
      <c r="G218" s="56">
        <f t="shared" si="32"/>
        <v>-4057.3529847099558</v>
      </c>
      <c r="H218" s="57">
        <v>-1404.2697247706421</v>
      </c>
      <c r="I218" s="57">
        <v>-84.689095674967277</v>
      </c>
      <c r="J218" s="57">
        <f t="shared" si="33"/>
        <v>-2568.3941642643463</v>
      </c>
      <c r="K218" s="57">
        <v>-2741.7535010709971</v>
      </c>
      <c r="L218" s="57">
        <v>110.27161348637878</v>
      </c>
      <c r="M218" s="57">
        <v>63.087723320272076</v>
      </c>
      <c r="N218" s="56">
        <f t="shared" si="34"/>
        <v>7.3832327310333312</v>
      </c>
      <c r="O218" s="56">
        <f t="shared" si="35"/>
        <v>-5357.2889999999998</v>
      </c>
      <c r="P218" s="56">
        <f t="shared" si="36"/>
        <v>-323.08890000000014</v>
      </c>
      <c r="Q218" s="56">
        <f t="shared" si="29"/>
        <v>-9798.4237366684811</v>
      </c>
      <c r="R218" s="95">
        <f t="shared" si="30"/>
        <v>15506.968669537373</v>
      </c>
      <c r="S218" s="63"/>
      <c r="T218" s="43"/>
      <c r="U218" s="92" t="s">
        <v>222</v>
      </c>
      <c r="V218" s="93">
        <v>2</v>
      </c>
      <c r="W218" s="41">
        <f t="shared" si="31"/>
        <v>240679.66446683797</v>
      </c>
    </row>
    <row r="219" spans="1:23" ht="15" customHeight="1" x14ac:dyDescent="0.2">
      <c r="A219" s="41">
        <v>683</v>
      </c>
      <c r="B219" s="75" t="s">
        <v>147</v>
      </c>
      <c r="C219" s="61">
        <v>4093</v>
      </c>
      <c r="D219" s="59">
        <v>19.75</v>
      </c>
      <c r="E219" s="55">
        <v>7.4399999999999995</v>
      </c>
      <c r="F219" s="56">
        <v>4038.5331924240327</v>
      </c>
      <c r="G219" s="56">
        <f t="shared" si="32"/>
        <v>-4031.1572324128583</v>
      </c>
      <c r="H219" s="57">
        <v>-1318.1478133398484</v>
      </c>
      <c r="I219" s="57">
        <v>-41.240728072318603</v>
      </c>
      <c r="J219" s="57">
        <f t="shared" si="33"/>
        <v>-2671.768691000691</v>
      </c>
      <c r="K219" s="57">
        <v>-2866.6099974463164</v>
      </c>
      <c r="L219" s="57">
        <v>211.43245807574144</v>
      </c>
      <c r="M219" s="57">
        <v>-16.591151630116372</v>
      </c>
      <c r="N219" s="56">
        <f t="shared" si="34"/>
        <v>7.3759600111743566</v>
      </c>
      <c r="O219" s="56">
        <f t="shared" si="35"/>
        <v>-5395.1790000000001</v>
      </c>
      <c r="P219" s="56">
        <f t="shared" si="36"/>
        <v>-168.79830000000004</v>
      </c>
      <c r="Q219" s="56">
        <f t="shared" si="29"/>
        <v>-10935.549252265828</v>
      </c>
      <c r="R219" s="95">
        <f t="shared" si="30"/>
        <v>16529.716356591565</v>
      </c>
      <c r="S219" s="63"/>
      <c r="T219" s="90"/>
      <c r="U219" s="92" t="s">
        <v>224</v>
      </c>
      <c r="V219" s="93">
        <v>5</v>
      </c>
      <c r="W219" s="41">
        <f t="shared" si="31"/>
        <v>-67907.583622066304</v>
      </c>
    </row>
    <row r="220" spans="1:23" ht="15" customHeight="1" x14ac:dyDescent="0.2">
      <c r="A220" s="41">
        <v>710</v>
      </c>
      <c r="B220" s="75" t="s">
        <v>299</v>
      </c>
      <c r="C220" s="61">
        <v>28674</v>
      </c>
      <c r="D220" s="59">
        <v>22</v>
      </c>
      <c r="E220" s="55">
        <v>9.69</v>
      </c>
      <c r="F220" s="56">
        <v>3538.2971308388269</v>
      </c>
      <c r="G220" s="56">
        <f t="shared" si="32"/>
        <v>-3531.8979521893207</v>
      </c>
      <c r="H220" s="57">
        <v>-1919.3210922787193</v>
      </c>
      <c r="I220" s="57">
        <v>-36.008570481969748</v>
      </c>
      <c r="J220" s="57">
        <f t="shared" si="33"/>
        <v>-1576.5682894286313</v>
      </c>
      <c r="K220" s="57">
        <v>-1276.2970000584178</v>
      </c>
      <c r="L220" s="57">
        <v>-184.26502688083295</v>
      </c>
      <c r="M220" s="57">
        <v>-116.00626248938059</v>
      </c>
      <c r="N220" s="56">
        <f t="shared" si="34"/>
        <v>6.3991786495062115</v>
      </c>
      <c r="O220" s="56">
        <f t="shared" si="35"/>
        <v>-55034.612999999998</v>
      </c>
      <c r="P220" s="56">
        <f t="shared" si="36"/>
        <v>-1032.5097500000006</v>
      </c>
      <c r="Q220" s="56">
        <f t="shared" si="29"/>
        <v>-45206.519131076573</v>
      </c>
      <c r="R220" s="95">
        <f t="shared" si="30"/>
        <v>101457.13192967253</v>
      </c>
      <c r="S220" s="63"/>
      <c r="T220" s="90"/>
      <c r="U220" s="92" t="s">
        <v>219</v>
      </c>
      <c r="V220" s="93">
        <v>5</v>
      </c>
      <c r="W220" s="41">
        <f t="shared" si="31"/>
        <v>-3326363.5706204991</v>
      </c>
    </row>
    <row r="221" spans="1:23" ht="15" customHeight="1" x14ac:dyDescent="0.2">
      <c r="A221" s="41">
        <v>684</v>
      </c>
      <c r="B221" s="75" t="s">
        <v>301</v>
      </c>
      <c r="C221" s="61">
        <v>39970</v>
      </c>
      <c r="D221" s="59">
        <v>20</v>
      </c>
      <c r="E221" s="55">
        <v>7.6899999999999995</v>
      </c>
      <c r="F221" s="56">
        <v>3304.3324736153504</v>
      </c>
      <c r="G221" s="56">
        <f t="shared" si="32"/>
        <v>-3297.9264097095602</v>
      </c>
      <c r="H221" s="57">
        <v>-2188.3918438829123</v>
      </c>
      <c r="I221" s="57">
        <v>-165.0356680010008</v>
      </c>
      <c r="J221" s="57">
        <f t="shared" si="33"/>
        <v>-944.49889782564696</v>
      </c>
      <c r="K221" s="57">
        <v>-1047.4554160803457</v>
      </c>
      <c r="L221" s="57">
        <v>50.855233863388506</v>
      </c>
      <c r="M221" s="57">
        <v>52.101284391310173</v>
      </c>
      <c r="N221" s="56">
        <f t="shared" si="34"/>
        <v>6.4060639057902335</v>
      </c>
      <c r="O221" s="56">
        <f t="shared" si="35"/>
        <v>-87470.021999999997</v>
      </c>
      <c r="P221" s="56">
        <f t="shared" si="36"/>
        <v>-6596.4756500000021</v>
      </c>
      <c r="Q221" s="56">
        <f t="shared" si="29"/>
        <v>-37751.620946091112</v>
      </c>
      <c r="R221" s="95">
        <f t="shared" si="30"/>
        <v>132074.16897040556</v>
      </c>
      <c r="S221" s="63"/>
      <c r="T221" s="43"/>
      <c r="U221" s="92" t="s">
        <v>239</v>
      </c>
      <c r="V221" s="93">
        <v>2</v>
      </c>
      <c r="W221" s="41">
        <f t="shared" si="31"/>
        <v>2082488.3371206676</v>
      </c>
    </row>
    <row r="222" spans="1:23" ht="15" customHeight="1" x14ac:dyDescent="0.2">
      <c r="A222" s="41">
        <v>686</v>
      </c>
      <c r="B222" s="75" t="s">
        <v>148</v>
      </c>
      <c r="C222" s="61">
        <v>3374</v>
      </c>
      <c r="D222" s="59">
        <v>22</v>
      </c>
      <c r="E222" s="55">
        <v>9.69</v>
      </c>
      <c r="F222" s="56">
        <v>4002.8965229723062</v>
      </c>
      <c r="G222" s="56">
        <f t="shared" si="32"/>
        <v>-3995.5127477049873</v>
      </c>
      <c r="H222" s="57">
        <v>-1429.6558980438649</v>
      </c>
      <c r="I222" s="57">
        <v>-63.22342916419683</v>
      </c>
      <c r="J222" s="57">
        <f t="shared" si="33"/>
        <v>-2502.6334204969257</v>
      </c>
      <c r="K222" s="57">
        <v>-3102.6346597737606</v>
      </c>
      <c r="L222" s="57">
        <v>359.07665051178077</v>
      </c>
      <c r="M222" s="57">
        <v>240.92458876505418</v>
      </c>
      <c r="N222" s="56">
        <f t="shared" si="34"/>
        <v>7.3837752673189243</v>
      </c>
      <c r="O222" s="56">
        <f t="shared" si="35"/>
        <v>-4823.6589999999997</v>
      </c>
      <c r="P222" s="56">
        <f t="shared" si="36"/>
        <v>-213.3158500000001</v>
      </c>
      <c r="Q222" s="56">
        <f t="shared" si="29"/>
        <v>-8443.8851607566266</v>
      </c>
      <c r="R222" s="95">
        <f t="shared" si="30"/>
        <v>13505.77286850856</v>
      </c>
      <c r="S222" s="63"/>
      <c r="T222" s="43"/>
      <c r="U222" s="92" t="s">
        <v>239</v>
      </c>
      <c r="V222" s="93">
        <v>1</v>
      </c>
      <c r="W222" s="41">
        <f t="shared" si="31"/>
        <v>812879.56249329285</v>
      </c>
    </row>
    <row r="223" spans="1:23" ht="15" customHeight="1" x14ac:dyDescent="0.2">
      <c r="A223" s="41">
        <v>687</v>
      </c>
      <c r="B223" s="75" t="s">
        <v>149</v>
      </c>
      <c r="C223" s="61">
        <v>1768</v>
      </c>
      <c r="D223" s="59">
        <v>21</v>
      </c>
      <c r="E223" s="55">
        <v>8.69</v>
      </c>
      <c r="F223" s="56">
        <v>4975.2856466871544</v>
      </c>
      <c r="G223" s="56">
        <f t="shared" si="32"/>
        <v>-4967.9075254113932</v>
      </c>
      <c r="H223" s="57">
        <v>-1236.0831447963801</v>
      </c>
      <c r="I223" s="57">
        <v>-221.73996040723989</v>
      </c>
      <c r="J223" s="57">
        <f t="shared" si="33"/>
        <v>-3510.0844202077733</v>
      </c>
      <c r="K223" s="57">
        <v>-3774.2090839348962</v>
      </c>
      <c r="L223" s="57">
        <v>204.0238152986353</v>
      </c>
      <c r="M223" s="57">
        <v>60.100848428487552</v>
      </c>
      <c r="N223" s="56">
        <f t="shared" si="34"/>
        <v>7.3781212757612593</v>
      </c>
      <c r="O223" s="56">
        <f t="shared" si="35"/>
        <v>-2185.395</v>
      </c>
      <c r="P223" s="56">
        <f t="shared" si="36"/>
        <v>-392.03625000000011</v>
      </c>
      <c r="Q223" s="56">
        <f t="shared" si="29"/>
        <v>-6205.8292549273428</v>
      </c>
      <c r="R223" s="95">
        <f t="shared" si="30"/>
        <v>8796.3050233428894</v>
      </c>
      <c r="S223" s="63"/>
      <c r="T223" s="43"/>
      <c r="U223" s="92" t="s">
        <v>243</v>
      </c>
      <c r="V223" s="93">
        <v>2</v>
      </c>
      <c r="W223" s="41">
        <f t="shared" si="31"/>
        <v>106258.30002156598</v>
      </c>
    </row>
    <row r="224" spans="1:23" ht="15" customHeight="1" x14ac:dyDescent="0.2">
      <c r="A224" s="41">
        <v>689</v>
      </c>
      <c r="B224" s="75" t="s">
        <v>150</v>
      </c>
      <c r="C224" s="61">
        <v>3626</v>
      </c>
      <c r="D224" s="59">
        <v>20.5</v>
      </c>
      <c r="E224" s="55">
        <v>8.19</v>
      </c>
      <c r="F224" s="56">
        <v>4135.3404689244426</v>
      </c>
      <c r="G224" s="56">
        <f t="shared" si="32"/>
        <v>-4129.1250499331645</v>
      </c>
      <c r="H224" s="57">
        <v>-1779.7297297297298</v>
      </c>
      <c r="I224" s="57">
        <v>-102.19502206287925</v>
      </c>
      <c r="J224" s="57">
        <f t="shared" si="33"/>
        <v>-2247.2002981405553</v>
      </c>
      <c r="K224" s="57">
        <v>-2819.4174803769438</v>
      </c>
      <c r="L224" s="57">
        <v>359.44250098096126</v>
      </c>
      <c r="M224" s="57">
        <v>212.77468125542748</v>
      </c>
      <c r="N224" s="56">
        <f t="shared" si="34"/>
        <v>6.2154189912780566</v>
      </c>
      <c r="O224" s="56">
        <f t="shared" si="35"/>
        <v>-6453.3</v>
      </c>
      <c r="P224" s="56">
        <f t="shared" si="36"/>
        <v>-370.55915000000016</v>
      </c>
      <c r="Q224" s="56">
        <f t="shared" si="29"/>
        <v>-8148.3482810576543</v>
      </c>
      <c r="R224" s="95">
        <f t="shared" si="30"/>
        <v>14994.744540320029</v>
      </c>
      <c r="S224" s="63"/>
      <c r="T224" s="43"/>
      <c r="U224" s="92" t="s">
        <v>216</v>
      </c>
      <c r="V224" s="93">
        <v>2</v>
      </c>
      <c r="W224" s="41">
        <f t="shared" si="31"/>
        <v>771520.99423218006</v>
      </c>
    </row>
    <row r="225" spans="1:23" ht="15" customHeight="1" x14ac:dyDescent="0.2">
      <c r="A225" s="41">
        <v>691</v>
      </c>
      <c r="B225" s="75" t="s">
        <v>151</v>
      </c>
      <c r="C225" s="61">
        <v>2901</v>
      </c>
      <c r="D225" s="59">
        <v>22</v>
      </c>
      <c r="E225" s="55">
        <v>9.69</v>
      </c>
      <c r="F225" s="56">
        <v>3818.5751232857515</v>
      </c>
      <c r="G225" s="56">
        <f t="shared" si="32"/>
        <v>-3811.1995721056637</v>
      </c>
      <c r="H225" s="57">
        <v>-1415.8510858324717</v>
      </c>
      <c r="I225" s="57">
        <v>-39.066132368148928</v>
      </c>
      <c r="J225" s="57">
        <f t="shared" si="33"/>
        <v>-2356.2823539050432</v>
      </c>
      <c r="K225" s="57">
        <v>-2448.577725288721</v>
      </c>
      <c r="L225" s="57">
        <v>108.66109197118881</v>
      </c>
      <c r="M225" s="57">
        <v>-16.365720587511262</v>
      </c>
      <c r="N225" s="56">
        <f t="shared" si="34"/>
        <v>7.3755511800877684</v>
      </c>
      <c r="O225" s="56">
        <f t="shared" si="35"/>
        <v>-4107.3840000000009</v>
      </c>
      <c r="P225" s="56">
        <f t="shared" si="36"/>
        <v>-113.33085000000004</v>
      </c>
      <c r="Q225" s="56">
        <f t="shared" si="29"/>
        <v>-6835.5751086785303</v>
      </c>
      <c r="R225" s="95">
        <f t="shared" si="30"/>
        <v>11077.686432651964</v>
      </c>
      <c r="S225" s="63"/>
      <c r="T225" s="43"/>
      <c r="U225" s="92" t="s">
        <v>226</v>
      </c>
      <c r="V225" s="93">
        <v>5</v>
      </c>
      <c r="W225" s="41">
        <f t="shared" si="31"/>
        <v>-47476.955424370171</v>
      </c>
    </row>
    <row r="226" spans="1:23" ht="15" customHeight="1" x14ac:dyDescent="0.2">
      <c r="A226" s="41">
        <v>680</v>
      </c>
      <c r="B226" s="75" t="s">
        <v>300</v>
      </c>
      <c r="C226" s="61">
        <v>24371</v>
      </c>
      <c r="D226" s="59">
        <v>19.75</v>
      </c>
      <c r="E226" s="55">
        <v>7.4399999999999995</v>
      </c>
      <c r="F226" s="56">
        <v>3108.829035065748</v>
      </c>
      <c r="G226" s="56">
        <f t="shared" si="32"/>
        <v>-3101.4538441490608</v>
      </c>
      <c r="H226" s="57">
        <v>-2172.0781666735056</v>
      </c>
      <c r="I226" s="57">
        <v>-66.892132042181302</v>
      </c>
      <c r="J226" s="57">
        <f t="shared" si="33"/>
        <v>-862.48354543337393</v>
      </c>
      <c r="K226" s="57">
        <v>-985.45523061785684</v>
      </c>
      <c r="L226" s="57">
        <v>61.866318520105615</v>
      </c>
      <c r="M226" s="57">
        <v>61.1053666643772</v>
      </c>
      <c r="N226" s="56">
        <f t="shared" si="34"/>
        <v>7.3751909166871883</v>
      </c>
      <c r="O226" s="56">
        <f t="shared" si="35"/>
        <v>-52935.717000000011</v>
      </c>
      <c r="P226" s="56">
        <f t="shared" si="36"/>
        <v>-1630.2281500000006</v>
      </c>
      <c r="Q226" s="56">
        <f t="shared" si="29"/>
        <v>-21019.586485756754</v>
      </c>
      <c r="R226" s="95">
        <f t="shared" si="30"/>
        <v>75765.272413587343</v>
      </c>
      <c r="S226" s="63"/>
      <c r="T226" s="43"/>
      <c r="U226" s="92" t="s">
        <v>220</v>
      </c>
      <c r="V226" s="93">
        <v>2</v>
      </c>
      <c r="W226" s="41">
        <f t="shared" si="31"/>
        <v>1489198.8909775368</v>
      </c>
    </row>
    <row r="227" spans="1:23" ht="15" customHeight="1" x14ac:dyDescent="0.2">
      <c r="A227" s="41">
        <v>694</v>
      </c>
      <c r="B227" s="75" t="s">
        <v>152</v>
      </c>
      <c r="C227" s="61">
        <v>29350</v>
      </c>
      <c r="D227" s="59">
        <v>20.5</v>
      </c>
      <c r="E227" s="55">
        <v>8.19</v>
      </c>
      <c r="F227" s="56">
        <v>3279.8683504274809</v>
      </c>
      <c r="G227" s="56">
        <f t="shared" si="32"/>
        <v>-3274.3810622863894</v>
      </c>
      <c r="H227" s="57">
        <v>-2124.3895741056217</v>
      </c>
      <c r="I227" s="57">
        <v>-79.384255536626924</v>
      </c>
      <c r="J227" s="57">
        <f t="shared" si="33"/>
        <v>-1070.6072326441408</v>
      </c>
      <c r="K227" s="57">
        <v>-903.19666138968012</v>
      </c>
      <c r="L227" s="57">
        <v>-141.36909569795216</v>
      </c>
      <c r="M227" s="57">
        <v>-26.041475556508345</v>
      </c>
      <c r="N227" s="56">
        <f t="shared" si="34"/>
        <v>5.4872881410915397</v>
      </c>
      <c r="O227" s="56">
        <f t="shared" si="35"/>
        <v>-62350.834000000003</v>
      </c>
      <c r="P227" s="56">
        <f t="shared" si="36"/>
        <v>-2329.9279000000006</v>
      </c>
      <c r="Q227" s="56">
        <f t="shared" si="29"/>
        <v>-31422.322278105534</v>
      </c>
      <c r="R227" s="95">
        <f t="shared" si="30"/>
        <v>96264.136085046557</v>
      </c>
      <c r="S227" s="63"/>
      <c r="T227" s="43"/>
      <c r="U227" s="92" t="s">
        <v>234</v>
      </c>
      <c r="V227" s="93">
        <v>1</v>
      </c>
      <c r="W227" s="41">
        <f t="shared" si="31"/>
        <v>-764317.30758351996</v>
      </c>
    </row>
    <row r="228" spans="1:23" ht="15" customHeight="1" x14ac:dyDescent="0.2">
      <c r="A228" s="41">
        <v>697</v>
      </c>
      <c r="B228" s="75" t="s">
        <v>153</v>
      </c>
      <c r="C228" s="61">
        <v>1416</v>
      </c>
      <c r="D228" s="59">
        <v>21.5</v>
      </c>
      <c r="E228" s="55">
        <v>9.19</v>
      </c>
      <c r="F228" s="56">
        <v>5210.3429665935628</v>
      </c>
      <c r="G228" s="56">
        <f t="shared" si="32"/>
        <v>-5252.0777947811366</v>
      </c>
      <c r="H228" s="57">
        <v>-1461.7203389830509</v>
      </c>
      <c r="I228" s="57">
        <v>-100.33799435028256</v>
      </c>
      <c r="J228" s="57">
        <f t="shared" si="33"/>
        <v>-3690.0194614478037</v>
      </c>
      <c r="K228" s="57">
        <v>-3775.5048037206461</v>
      </c>
      <c r="L228" s="57">
        <v>99.869871673363932</v>
      </c>
      <c r="M228" s="57">
        <v>-14.384529400521249</v>
      </c>
      <c r="N228" s="56">
        <f t="shared" si="34"/>
        <v>-41.734828187573839</v>
      </c>
      <c r="O228" s="56">
        <f t="shared" si="35"/>
        <v>-2069.7959999999998</v>
      </c>
      <c r="P228" s="56">
        <f t="shared" si="36"/>
        <v>-142.07860000000011</v>
      </c>
      <c r="Q228" s="56">
        <f t="shared" si="29"/>
        <v>-5225.0675574100906</v>
      </c>
      <c r="R228" s="95">
        <f t="shared" si="30"/>
        <v>7377.8456406964851</v>
      </c>
      <c r="S228" s="63"/>
      <c r="T228" s="43"/>
      <c r="U228" s="92" t="s">
        <v>222</v>
      </c>
      <c r="V228" s="93">
        <v>6</v>
      </c>
      <c r="W228" s="41">
        <f t="shared" si="31"/>
        <v>-20368.493631138088</v>
      </c>
    </row>
    <row r="229" spans="1:23" ht="15" customHeight="1" x14ac:dyDescent="0.2">
      <c r="A229" s="41">
        <v>698</v>
      </c>
      <c r="B229" s="75" t="s">
        <v>154</v>
      </c>
      <c r="C229" s="61">
        <v>61551</v>
      </c>
      <c r="D229" s="59">
        <v>21</v>
      </c>
      <c r="E229" s="55">
        <v>8.69</v>
      </c>
      <c r="F229" s="56">
        <v>3334.3306261266671</v>
      </c>
      <c r="G229" s="56">
        <f t="shared" si="32"/>
        <v>-3346.444132447215</v>
      </c>
      <c r="H229" s="57">
        <v>-1902.3650631183896</v>
      </c>
      <c r="I229" s="57">
        <v>-53.717343341294232</v>
      </c>
      <c r="J229" s="57">
        <f t="shared" si="33"/>
        <v>-1390.3617259875311</v>
      </c>
      <c r="K229" s="57">
        <v>-1047.3711023807059</v>
      </c>
      <c r="L229" s="57">
        <v>-206.69797582129942</v>
      </c>
      <c r="M229" s="57">
        <v>-136.29264778552573</v>
      </c>
      <c r="N229" s="56">
        <f t="shared" si="34"/>
        <v>-12.113506320547913</v>
      </c>
      <c r="O229" s="56">
        <f t="shared" si="35"/>
        <v>-117092.47200000001</v>
      </c>
      <c r="P229" s="56">
        <f t="shared" si="36"/>
        <v>-3306.3562000000011</v>
      </c>
      <c r="Q229" s="56">
        <f t="shared" si="29"/>
        <v>-85578.154596258537</v>
      </c>
      <c r="R229" s="95">
        <f t="shared" si="30"/>
        <v>205231.3843687225</v>
      </c>
      <c r="S229" s="63"/>
      <c r="T229" s="43"/>
      <c r="U229" s="92" t="s">
        <v>243</v>
      </c>
      <c r="V229" s="93">
        <v>3</v>
      </c>
      <c r="W229" s="41">
        <f t="shared" si="31"/>
        <v>-8388948.7638468947</v>
      </c>
    </row>
    <row r="230" spans="1:23" ht="15" customHeight="1" x14ac:dyDescent="0.2">
      <c r="A230" s="41">
        <v>700</v>
      </c>
      <c r="B230" s="75" t="s">
        <v>155</v>
      </c>
      <c r="C230" s="61">
        <v>5404</v>
      </c>
      <c r="D230" s="59">
        <v>20.5</v>
      </c>
      <c r="E230" s="55">
        <v>8.19</v>
      </c>
      <c r="F230" s="56">
        <v>3727.8734799375029</v>
      </c>
      <c r="G230" s="56">
        <f t="shared" si="32"/>
        <v>-3720.4860287351385</v>
      </c>
      <c r="H230" s="57">
        <v>-1944.428386380459</v>
      </c>
      <c r="I230" s="57">
        <v>-106.79967616580315</v>
      </c>
      <c r="J230" s="57">
        <f t="shared" si="33"/>
        <v>-1669.2579661888763</v>
      </c>
      <c r="K230" s="57">
        <v>-1913.548810241653</v>
      </c>
      <c r="L230" s="57">
        <v>152.65050514098013</v>
      </c>
      <c r="M230" s="57">
        <v>91.640338911796562</v>
      </c>
      <c r="N230" s="56">
        <f t="shared" si="34"/>
        <v>7.3874512023644456</v>
      </c>
      <c r="O230" s="56">
        <f t="shared" si="35"/>
        <v>-10507.691000000001</v>
      </c>
      <c r="P230" s="56">
        <f t="shared" si="36"/>
        <v>-577.14545000000021</v>
      </c>
      <c r="Q230" s="56">
        <f t="shared" si="29"/>
        <v>-9020.6700492846867</v>
      </c>
      <c r="R230" s="95">
        <f t="shared" si="30"/>
        <v>20145.428285582268</v>
      </c>
      <c r="S230" s="63"/>
      <c r="T230" s="43"/>
      <c r="U230" s="92" t="s">
        <v>214</v>
      </c>
      <c r="V230" s="93">
        <v>2</v>
      </c>
      <c r="W230" s="41">
        <f t="shared" si="31"/>
        <v>495224.39147934865</v>
      </c>
    </row>
    <row r="231" spans="1:23" ht="15" customHeight="1" x14ac:dyDescent="0.2">
      <c r="A231" s="41">
        <v>702</v>
      </c>
      <c r="B231" s="75" t="s">
        <v>156</v>
      </c>
      <c r="C231" s="61">
        <v>4689</v>
      </c>
      <c r="D231" s="59">
        <v>22.25</v>
      </c>
      <c r="E231" s="55">
        <v>9.94</v>
      </c>
      <c r="F231" s="56">
        <v>4435.3420086303731</v>
      </c>
      <c r="G231" s="56">
        <f t="shared" si="32"/>
        <v>-4427.9558420836875</v>
      </c>
      <c r="H231" s="57">
        <v>-1585.3254425250586</v>
      </c>
      <c r="I231" s="57">
        <v>-101.86884197056946</v>
      </c>
      <c r="J231" s="57">
        <f t="shared" si="33"/>
        <v>-2740.7615575880591</v>
      </c>
      <c r="K231" s="57">
        <v>-2691.4532779983556</v>
      </c>
      <c r="L231" s="57">
        <v>-15.773036354127807</v>
      </c>
      <c r="M231" s="57">
        <v>-33.53524323557599</v>
      </c>
      <c r="N231" s="56">
        <f t="shared" si="34"/>
        <v>7.3861665466856721</v>
      </c>
      <c r="O231" s="56">
        <f t="shared" si="35"/>
        <v>-7433.5910000000003</v>
      </c>
      <c r="P231" s="56">
        <f t="shared" si="36"/>
        <v>-477.66300000000024</v>
      </c>
      <c r="Q231" s="56">
        <f t="shared" si="29"/>
        <v>-12851.430943530409</v>
      </c>
      <c r="R231" s="95">
        <f t="shared" si="30"/>
        <v>20797.318678467822</v>
      </c>
      <c r="S231" s="62"/>
      <c r="T231" s="43"/>
      <c r="U231" s="92" t="s">
        <v>219</v>
      </c>
      <c r="V231" s="93">
        <v>3</v>
      </c>
      <c r="W231" s="41">
        <f t="shared" si="31"/>
        <v>-157246.75553161581</v>
      </c>
    </row>
    <row r="232" spans="1:23" ht="15" customHeight="1" x14ac:dyDescent="0.2">
      <c r="A232" s="41">
        <v>704</v>
      </c>
      <c r="B232" s="75" t="s">
        <v>157</v>
      </c>
      <c r="C232" s="61">
        <v>6045</v>
      </c>
      <c r="D232" s="59">
        <v>19.75</v>
      </c>
      <c r="E232" s="55">
        <v>7.4399999999999995</v>
      </c>
      <c r="F232" s="56">
        <v>2553.6216605747445</v>
      </c>
      <c r="G232" s="56">
        <f t="shared" si="32"/>
        <v>-2546.2651684373591</v>
      </c>
      <c r="H232" s="57">
        <v>-2049.4033085194374</v>
      </c>
      <c r="I232" s="57">
        <v>-52.984656741108374</v>
      </c>
      <c r="J232" s="57">
        <f t="shared" si="33"/>
        <v>-443.87720317681345</v>
      </c>
      <c r="K232" s="57">
        <v>-431.71960787223151</v>
      </c>
      <c r="L232" s="57">
        <v>26.947104382931045</v>
      </c>
      <c r="M232" s="57">
        <v>-39.104699687513005</v>
      </c>
      <c r="N232" s="56">
        <f t="shared" si="34"/>
        <v>7.3564921373854304</v>
      </c>
      <c r="O232" s="56">
        <f t="shared" si="35"/>
        <v>-12388.642999999998</v>
      </c>
      <c r="P232" s="56">
        <f t="shared" si="36"/>
        <v>-320.29225000000014</v>
      </c>
      <c r="Q232" s="56">
        <f t="shared" si="29"/>
        <v>-2683.2376932038374</v>
      </c>
      <c r="R232" s="95">
        <f t="shared" si="30"/>
        <v>15436.642938174329</v>
      </c>
      <c r="S232" s="63"/>
      <c r="T232" s="43"/>
      <c r="U232" s="92" t="s">
        <v>242</v>
      </c>
      <c r="V232" s="93">
        <v>2</v>
      </c>
      <c r="W232" s="41">
        <f t="shared" si="31"/>
        <v>-236387.9096110161</v>
      </c>
    </row>
    <row r="233" spans="1:23" ht="15" customHeight="1" x14ac:dyDescent="0.2">
      <c r="A233" s="41">
        <v>707</v>
      </c>
      <c r="B233" s="75" t="s">
        <v>158</v>
      </c>
      <c r="C233" s="61">
        <v>2435</v>
      </c>
      <c r="D233" s="59">
        <v>21.5</v>
      </c>
      <c r="E233" s="55">
        <v>9.19</v>
      </c>
      <c r="F233" s="56">
        <v>4539.5792752060033</v>
      </c>
      <c r="G233" s="56">
        <f t="shared" si="32"/>
        <v>-4532.1981153129254</v>
      </c>
      <c r="H233" s="57">
        <v>-1196.5987679671457</v>
      </c>
      <c r="I233" s="57">
        <v>-62.185277207392204</v>
      </c>
      <c r="J233" s="57">
        <f t="shared" si="33"/>
        <v>-3273.4140701383872</v>
      </c>
      <c r="K233" s="57">
        <v>-3316.439588166817</v>
      </c>
      <c r="L233" s="57">
        <v>-21.478183318372672</v>
      </c>
      <c r="M233" s="57">
        <v>64.503701346802671</v>
      </c>
      <c r="N233" s="56">
        <f t="shared" si="34"/>
        <v>7.3811598930778928</v>
      </c>
      <c r="O233" s="56">
        <f t="shared" si="35"/>
        <v>-2913.7179999999998</v>
      </c>
      <c r="P233" s="56">
        <f t="shared" si="36"/>
        <v>-151.42115000000004</v>
      </c>
      <c r="Q233" s="56">
        <f t="shared" si="29"/>
        <v>-7970.7632607869728</v>
      </c>
      <c r="R233" s="95">
        <f t="shared" si="30"/>
        <v>11053.875535126619</v>
      </c>
      <c r="S233" s="62"/>
      <c r="T233" s="90"/>
      <c r="U233" s="92" t="s">
        <v>218</v>
      </c>
      <c r="V233" s="93">
        <v>5</v>
      </c>
      <c r="W233" s="41">
        <f t="shared" si="31"/>
        <v>157066.51277946451</v>
      </c>
    </row>
    <row r="234" spans="1:23" ht="15" customHeight="1" x14ac:dyDescent="0.2">
      <c r="A234" s="41">
        <v>202</v>
      </c>
      <c r="B234" s="75" t="s">
        <v>253</v>
      </c>
      <c r="C234" s="61">
        <v>32148</v>
      </c>
      <c r="D234" s="59">
        <v>19.25</v>
      </c>
      <c r="E234" s="55">
        <v>6.9399999999999995</v>
      </c>
      <c r="F234" s="56">
        <v>2897.2057824115946</v>
      </c>
      <c r="G234" s="56">
        <f t="shared" si="32"/>
        <v>-2890.8018754865357</v>
      </c>
      <c r="H234" s="57">
        <v>-2351.8063643150431</v>
      </c>
      <c r="I234" s="57">
        <v>-41.777135436108004</v>
      </c>
      <c r="J234" s="57">
        <f t="shared" si="33"/>
        <v>-497.2183757353846</v>
      </c>
      <c r="K234" s="57">
        <v>-490.29435818167411</v>
      </c>
      <c r="L234" s="57">
        <v>8.8257929308586842</v>
      </c>
      <c r="M234" s="57">
        <v>-15.749810484569208</v>
      </c>
      <c r="N234" s="56">
        <f t="shared" si="34"/>
        <v>6.4039069250588909</v>
      </c>
      <c r="O234" s="56">
        <f t="shared" si="35"/>
        <v>-75605.870999999999</v>
      </c>
      <c r="P234" s="56">
        <f t="shared" si="36"/>
        <v>-1343.0513500000002</v>
      </c>
      <c r="Q234" s="56">
        <f t="shared" si="29"/>
        <v>-15984.576343141145</v>
      </c>
      <c r="R234" s="95">
        <f t="shared" si="30"/>
        <v>93139.371492967955</v>
      </c>
      <c r="S234" s="63"/>
      <c r="T234" s="90"/>
      <c r="U234" s="92" t="s">
        <v>218</v>
      </c>
      <c r="V234" s="93">
        <v>5</v>
      </c>
      <c r="W234" s="41">
        <f t="shared" si="31"/>
        <v>-506324.90745793091</v>
      </c>
    </row>
    <row r="235" spans="1:23" ht="15" customHeight="1" x14ac:dyDescent="0.2">
      <c r="A235" s="41">
        <v>491</v>
      </c>
      <c r="B235" s="75" t="s">
        <v>280</v>
      </c>
      <c r="C235" s="61">
        <v>54605</v>
      </c>
      <c r="D235" s="59">
        <v>20</v>
      </c>
      <c r="E235" s="55">
        <v>7.6899999999999995</v>
      </c>
      <c r="F235" s="56">
        <v>3464.2811795694874</v>
      </c>
      <c r="G235" s="56">
        <f t="shared" si="32"/>
        <v>-3457.3831182079239</v>
      </c>
      <c r="H235" s="57">
        <v>-1861.5856057137626</v>
      </c>
      <c r="I235" s="57">
        <v>-68.232159142935643</v>
      </c>
      <c r="J235" s="57">
        <f t="shared" si="33"/>
        <v>-1527.5653533512254</v>
      </c>
      <c r="K235" s="57">
        <v>-1679.3188828957559</v>
      </c>
      <c r="L235" s="57">
        <v>67.848147192700864</v>
      </c>
      <c r="M235" s="57">
        <v>83.905382351829644</v>
      </c>
      <c r="N235" s="56">
        <f t="shared" si="34"/>
        <v>6.8980613615635775</v>
      </c>
      <c r="O235" s="56">
        <f t="shared" si="35"/>
        <v>-101651.882</v>
      </c>
      <c r="P235" s="56">
        <f t="shared" si="36"/>
        <v>-3725.817050000001</v>
      </c>
      <c r="Q235" s="56">
        <f t="shared" si="29"/>
        <v>-83412.706119743656</v>
      </c>
      <c r="R235" s="95">
        <f t="shared" si="30"/>
        <v>189167.07381039188</v>
      </c>
      <c r="S235" s="63"/>
      <c r="T235" s="43"/>
      <c r="U235" s="92" t="s">
        <v>216</v>
      </c>
      <c r="V235" s="93">
        <v>1</v>
      </c>
      <c r="W235" s="41">
        <f t="shared" si="31"/>
        <v>4581653.4033216573</v>
      </c>
    </row>
    <row r="236" spans="1:23" ht="15" customHeight="1" x14ac:dyDescent="0.2">
      <c r="A236" s="41">
        <v>729</v>
      </c>
      <c r="B236" s="75" t="s">
        <v>159</v>
      </c>
      <c r="C236" s="61">
        <v>10084</v>
      </c>
      <c r="D236" s="59">
        <v>21.5</v>
      </c>
      <c r="E236" s="55">
        <v>9.19</v>
      </c>
      <c r="F236" s="56">
        <v>3862.214838078929</v>
      </c>
      <c r="G236" s="56">
        <f t="shared" si="32"/>
        <v>-3854.8395639347191</v>
      </c>
      <c r="H236" s="57">
        <v>-1464.0046608488694</v>
      </c>
      <c r="I236" s="57">
        <v>-62.365653510511727</v>
      </c>
      <c r="J236" s="57">
        <f t="shared" si="33"/>
        <v>-2328.4692495753379</v>
      </c>
      <c r="K236" s="57">
        <v>-2361.3889472179385</v>
      </c>
      <c r="L236" s="57">
        <v>-4.2195115566644361</v>
      </c>
      <c r="M236" s="57">
        <v>37.139209199265423</v>
      </c>
      <c r="N236" s="56">
        <f t="shared" si="34"/>
        <v>7.375274144209925</v>
      </c>
      <c r="O236" s="56">
        <f t="shared" si="35"/>
        <v>-14763.023000000001</v>
      </c>
      <c r="P236" s="56">
        <f t="shared" si="36"/>
        <v>-628.89525000000026</v>
      </c>
      <c r="Q236" s="56">
        <f t="shared" si="29"/>
        <v>-23480.283912717707</v>
      </c>
      <c r="R236" s="95">
        <f t="shared" si="30"/>
        <v>38946.574427187923</v>
      </c>
      <c r="S236" s="62"/>
      <c r="T236" s="43"/>
      <c r="U236" s="92" t="s">
        <v>231</v>
      </c>
      <c r="V236" s="93">
        <v>3</v>
      </c>
      <c r="W236" s="41">
        <f t="shared" si="31"/>
        <v>374511.78556539252</v>
      </c>
    </row>
    <row r="237" spans="1:23" ht="15" customHeight="1" x14ac:dyDescent="0.2">
      <c r="A237" s="41">
        <v>738</v>
      </c>
      <c r="B237" s="75" t="s">
        <v>302</v>
      </c>
      <c r="C237" s="61">
        <v>2999</v>
      </c>
      <c r="D237" s="59">
        <v>21</v>
      </c>
      <c r="E237" s="55">
        <v>8.69</v>
      </c>
      <c r="F237" s="56">
        <v>3092.770039087085</v>
      </c>
      <c r="G237" s="56">
        <f t="shared" si="32"/>
        <v>-3085.3913421883126</v>
      </c>
      <c r="H237" s="57">
        <v>-1761.6685561853951</v>
      </c>
      <c r="I237" s="57">
        <v>-38.139979993331124</v>
      </c>
      <c r="J237" s="57">
        <f t="shared" si="33"/>
        <v>-1285.5828060095864</v>
      </c>
      <c r="K237" s="57">
        <v>-1137.3745494024095</v>
      </c>
      <c r="L237" s="57">
        <v>-55.902052799202274</v>
      </c>
      <c r="M237" s="57">
        <v>-92.306203807974612</v>
      </c>
      <c r="N237" s="56">
        <f t="shared" si="34"/>
        <v>7.3786968987724322</v>
      </c>
      <c r="O237" s="56">
        <f t="shared" si="35"/>
        <v>-5283.2439999999997</v>
      </c>
      <c r="P237" s="56">
        <f t="shared" si="36"/>
        <v>-114.38180000000006</v>
      </c>
      <c r="Q237" s="56">
        <f t="shared" si="29"/>
        <v>-3855.4628352227496</v>
      </c>
      <c r="R237" s="95">
        <f t="shared" si="30"/>
        <v>9275.2173472221675</v>
      </c>
      <c r="S237" s="63"/>
      <c r="T237" s="43"/>
      <c r="U237" s="92" t="s">
        <v>243</v>
      </c>
      <c r="V237" s="93">
        <v>2</v>
      </c>
      <c r="W237" s="41">
        <f t="shared" si="31"/>
        <v>-276826.30522011587</v>
      </c>
    </row>
    <row r="238" spans="1:23" ht="15" customHeight="1" x14ac:dyDescent="0.2">
      <c r="A238" s="41">
        <v>732</v>
      </c>
      <c r="B238" s="75" t="s">
        <v>160</v>
      </c>
      <c r="C238" s="61">
        <v>3781</v>
      </c>
      <c r="D238" s="59">
        <v>20.5</v>
      </c>
      <c r="E238" s="55">
        <v>8.19</v>
      </c>
      <c r="F238" s="56">
        <v>5518.637714608657</v>
      </c>
      <c r="G238" s="56">
        <f t="shared" si="32"/>
        <v>-5511.2384836734573</v>
      </c>
      <c r="H238" s="57">
        <v>-1509.6969055805343</v>
      </c>
      <c r="I238" s="57">
        <v>-97.383840253901127</v>
      </c>
      <c r="J238" s="57">
        <f t="shared" si="33"/>
        <v>-3904.157737839022</v>
      </c>
      <c r="K238" s="57">
        <v>-3943.5296853292825</v>
      </c>
      <c r="L238" s="57">
        <v>43.606304570334579</v>
      </c>
      <c r="M238" s="57">
        <v>-4.2343570800740054</v>
      </c>
      <c r="N238" s="56">
        <f t="shared" si="34"/>
        <v>7.3992309351997392</v>
      </c>
      <c r="O238" s="56">
        <f t="shared" si="35"/>
        <v>-5708.1639999999998</v>
      </c>
      <c r="P238" s="56">
        <f t="shared" si="36"/>
        <v>-368.20830000000018</v>
      </c>
      <c r="Q238" s="56">
        <f t="shared" si="29"/>
        <v>-14761.620406769343</v>
      </c>
      <c r="R238" s="95">
        <f t="shared" si="30"/>
        <v>20865.969198935334</v>
      </c>
      <c r="S238" s="63"/>
      <c r="T238" s="43"/>
      <c r="U238" s="92" t="s">
        <v>222</v>
      </c>
      <c r="V238" s="93">
        <v>2</v>
      </c>
      <c r="W238" s="41">
        <f t="shared" si="31"/>
        <v>-16010.104119759813</v>
      </c>
    </row>
    <row r="239" spans="1:23" ht="15" customHeight="1" x14ac:dyDescent="0.2">
      <c r="A239" s="41">
        <v>734</v>
      </c>
      <c r="B239" s="75" t="s">
        <v>161</v>
      </c>
      <c r="C239" s="61">
        <v>54238</v>
      </c>
      <c r="D239" s="59">
        <v>20.75</v>
      </c>
      <c r="E239" s="55">
        <v>8.44</v>
      </c>
      <c r="F239" s="56">
        <v>3388.2197469817634</v>
      </c>
      <c r="G239" s="56">
        <f t="shared" si="32"/>
        <v>-3380.9331527955624</v>
      </c>
      <c r="H239" s="57">
        <v>-1809.7722629890482</v>
      </c>
      <c r="I239" s="57">
        <v>-55.228113131015178</v>
      </c>
      <c r="J239" s="57">
        <f t="shared" si="33"/>
        <v>-1515.9327766754991</v>
      </c>
      <c r="K239" s="57">
        <v>-1459.5683037810059</v>
      </c>
      <c r="L239" s="57">
        <v>-57.421352351357591</v>
      </c>
      <c r="M239" s="57">
        <v>1.0568794568644648</v>
      </c>
      <c r="N239" s="56">
        <f t="shared" si="34"/>
        <v>7.2865941862010004</v>
      </c>
      <c r="O239" s="56">
        <f t="shared" si="35"/>
        <v>-98158.428</v>
      </c>
      <c r="P239" s="56">
        <f t="shared" si="36"/>
        <v>-2995.4624000000013</v>
      </c>
      <c r="Q239" s="56">
        <f t="shared" si="29"/>
        <v>-82221.161941325729</v>
      </c>
      <c r="R239" s="95">
        <f t="shared" si="30"/>
        <v>183770.26263679689</v>
      </c>
      <c r="S239" s="62"/>
      <c r="T239" s="43"/>
      <c r="U239" s="92" t="s">
        <v>219</v>
      </c>
      <c r="V239" s="93">
        <v>6</v>
      </c>
      <c r="W239" s="41">
        <f t="shared" si="31"/>
        <v>57323.027981414845</v>
      </c>
    </row>
    <row r="240" spans="1:23" ht="15" customHeight="1" x14ac:dyDescent="0.2">
      <c r="A240" s="41">
        <v>790</v>
      </c>
      <c r="B240" s="75" t="s">
        <v>181</v>
      </c>
      <c r="C240" s="61">
        <v>25372</v>
      </c>
      <c r="D240" s="59">
        <v>20.75</v>
      </c>
      <c r="E240" s="55">
        <v>8.44</v>
      </c>
      <c r="F240" s="56">
        <v>3594.476981251215</v>
      </c>
      <c r="G240" s="56">
        <f t="shared" si="32"/>
        <v>-3589.3563147922077</v>
      </c>
      <c r="H240" s="57">
        <v>-1654.3930711020023</v>
      </c>
      <c r="I240" s="57">
        <v>-52.983767539019404</v>
      </c>
      <c r="J240" s="57">
        <f t="shared" si="33"/>
        <v>-1881.9794761511857</v>
      </c>
      <c r="K240" s="57">
        <v>-1961.4452993162081</v>
      </c>
      <c r="L240" s="57">
        <v>58.974086268993091</v>
      </c>
      <c r="M240" s="57">
        <v>20.491736896029465</v>
      </c>
      <c r="N240" s="56">
        <f t="shared" si="34"/>
        <v>5.1206664590072251</v>
      </c>
      <c r="O240" s="56">
        <f t="shared" si="35"/>
        <v>-41975.260999999999</v>
      </c>
      <c r="P240" s="56">
        <f t="shared" si="36"/>
        <v>-1344.3041500000004</v>
      </c>
      <c r="Q240" s="56">
        <f t="shared" si="29"/>
        <v>-47749.583268907882</v>
      </c>
      <c r="R240" s="95">
        <f t="shared" si="30"/>
        <v>91199.069968305834</v>
      </c>
      <c r="S240" s="63"/>
      <c r="T240" s="90"/>
      <c r="U240" s="92" t="s">
        <v>219</v>
      </c>
      <c r="V240" s="93">
        <v>2</v>
      </c>
      <c r="W240" s="41">
        <f t="shared" si="31"/>
        <v>519916.34852605959</v>
      </c>
    </row>
    <row r="241" spans="1:26" ht="15" customHeight="1" x14ac:dyDescent="0.2">
      <c r="A241" s="41">
        <v>484</v>
      </c>
      <c r="B241" s="75" t="s">
        <v>279</v>
      </c>
      <c r="C241" s="61">
        <v>3246</v>
      </c>
      <c r="D241" s="59">
        <v>19.5</v>
      </c>
      <c r="E241" s="55">
        <v>7.1899999999999995</v>
      </c>
      <c r="F241" s="56">
        <v>3994.4889787178331</v>
      </c>
      <c r="G241" s="56">
        <f t="shared" si="32"/>
        <v>-3988.0871500138501</v>
      </c>
      <c r="H241" s="57">
        <v>-1538.073629081947</v>
      </c>
      <c r="I241" s="57">
        <v>-70.306084411583498</v>
      </c>
      <c r="J241" s="57">
        <f t="shared" si="33"/>
        <v>-2379.7074365203198</v>
      </c>
      <c r="K241" s="57">
        <v>-2660.4278745340312</v>
      </c>
      <c r="L241" s="57">
        <v>123.0298712782176</v>
      </c>
      <c r="M241" s="57">
        <v>157.6905667354938</v>
      </c>
      <c r="N241" s="56">
        <f t="shared" si="34"/>
        <v>6.4018287039830284</v>
      </c>
      <c r="O241" s="56">
        <f t="shared" si="35"/>
        <v>-4992.5870000000004</v>
      </c>
      <c r="P241" s="56">
        <f t="shared" si="36"/>
        <v>-228.21355000000005</v>
      </c>
      <c r="Q241" s="56">
        <f t="shared" si="29"/>
        <v>-7724.5303389449582</v>
      </c>
      <c r="R241" s="95">
        <f t="shared" si="30"/>
        <v>12966.111224918086</v>
      </c>
      <c r="S241" s="63"/>
      <c r="T241" s="43"/>
      <c r="U241" s="92" t="s">
        <v>219</v>
      </c>
      <c r="V241" s="93">
        <v>2</v>
      </c>
      <c r="W241" s="41">
        <f t="shared" si="31"/>
        <v>511863.57962341286</v>
      </c>
    </row>
    <row r="242" spans="1:26" ht="15" customHeight="1" x14ac:dyDescent="0.2">
      <c r="A242" s="211">
        <v>739</v>
      </c>
      <c r="B242" s="212" t="s">
        <v>162</v>
      </c>
      <c r="C242" s="213">
        <v>3667</v>
      </c>
      <c r="D242" s="214">
        <v>21</v>
      </c>
      <c r="E242" s="215">
        <v>8.69</v>
      </c>
      <c r="F242" s="216">
        <v>4340.7524057300989</v>
      </c>
      <c r="G242" s="216">
        <f t="shared" si="32"/>
        <v>-4333.3669075546877</v>
      </c>
      <c r="H242" s="216">
        <v>-1584.7332969730026</v>
      </c>
      <c r="I242" s="216">
        <v>-103.17113444232346</v>
      </c>
      <c r="J242" s="216">
        <f t="shared" si="33"/>
        <v>-2645.4624761393616</v>
      </c>
      <c r="K242" s="216">
        <v>-2775.4691634761971</v>
      </c>
      <c r="L242" s="216">
        <v>49.284796391329529</v>
      </c>
      <c r="M242" s="57">
        <v>80.721890945505919</v>
      </c>
      <c r="N242" s="216">
        <f t="shared" si="34"/>
        <v>7.3854981754111577</v>
      </c>
      <c r="O242" s="216">
        <f t="shared" si="35"/>
        <v>-5811.2170000000006</v>
      </c>
      <c r="P242" s="216">
        <f t="shared" si="36"/>
        <v>-378.32855000000018</v>
      </c>
      <c r="Q242" s="216">
        <f t="shared" si="29"/>
        <v>-9700.9109000030385</v>
      </c>
      <c r="R242" s="217">
        <f t="shared" si="30"/>
        <v>15917.539071812273</v>
      </c>
      <c r="S242" s="197"/>
      <c r="T242" s="218"/>
      <c r="U242" s="219" t="s">
        <v>220</v>
      </c>
      <c r="V242" s="220">
        <v>5</v>
      </c>
      <c r="W242" s="41">
        <f t="shared" si="31"/>
        <v>296007.17409717018</v>
      </c>
    </row>
    <row r="243" spans="1:26" ht="15" customHeight="1" x14ac:dyDescent="0.2">
      <c r="A243" s="41">
        <v>742</v>
      </c>
      <c r="B243" s="75" t="s">
        <v>163</v>
      </c>
      <c r="C243" s="61">
        <v>1103</v>
      </c>
      <c r="D243" s="59">
        <v>21.75</v>
      </c>
      <c r="E243" s="55">
        <v>9.44</v>
      </c>
      <c r="F243" s="56">
        <v>4634.0330350519716</v>
      </c>
      <c r="G243" s="56">
        <f t="shared" si="32"/>
        <v>-4626.642992619767</v>
      </c>
      <c r="H243" s="57">
        <v>-1474.9573889392566</v>
      </c>
      <c r="I243" s="57">
        <v>-248.83091568449689</v>
      </c>
      <c r="J243" s="57">
        <f t="shared" si="33"/>
        <v>-2902.8546879960136</v>
      </c>
      <c r="K243" s="57">
        <v>-2919.4714816245973</v>
      </c>
      <c r="L243" s="57">
        <v>12.143857648367197</v>
      </c>
      <c r="M243" s="57">
        <v>4.4729359802169029</v>
      </c>
      <c r="N243" s="56">
        <f t="shared" si="34"/>
        <v>7.3900424322046092</v>
      </c>
      <c r="O243" s="56">
        <f t="shared" si="35"/>
        <v>-1626.8779999999999</v>
      </c>
      <c r="P243" s="56">
        <f t="shared" si="36"/>
        <v>-274.46050000000008</v>
      </c>
      <c r="Q243" s="56">
        <f t="shared" si="29"/>
        <v>-3201.848720859603</v>
      </c>
      <c r="R243" s="95">
        <f t="shared" si="30"/>
        <v>5111.3384376623253</v>
      </c>
      <c r="S243" s="62"/>
      <c r="T243" s="43"/>
      <c r="U243" s="92" t="s">
        <v>215</v>
      </c>
      <c r="V243" s="93">
        <v>6</v>
      </c>
      <c r="W243" s="41">
        <f t="shared" si="31"/>
        <v>4933.648386179244</v>
      </c>
    </row>
    <row r="244" spans="1:26" ht="15" customHeight="1" x14ac:dyDescent="0.2">
      <c r="A244" s="41">
        <v>743</v>
      </c>
      <c r="B244" s="75" t="s">
        <v>164</v>
      </c>
      <c r="C244" s="61">
        <v>60880</v>
      </c>
      <c r="D244" s="59">
        <v>21</v>
      </c>
      <c r="E244" s="55">
        <v>8.69</v>
      </c>
      <c r="F244" s="56">
        <v>3157.9411096389172</v>
      </c>
      <c r="G244" s="56">
        <f t="shared" si="32"/>
        <v>-3150.9111745999735</v>
      </c>
      <c r="H244" s="57">
        <v>-1935.8499835742443</v>
      </c>
      <c r="I244" s="57">
        <v>-70.008935611038126</v>
      </c>
      <c r="J244" s="57">
        <f t="shared" si="33"/>
        <v>-1145.0522554146912</v>
      </c>
      <c r="K244" s="57">
        <v>-1070.674324224675</v>
      </c>
      <c r="L244" s="57">
        <v>-64.001478074768741</v>
      </c>
      <c r="M244" s="57">
        <v>-10.376453115247287</v>
      </c>
      <c r="N244" s="56">
        <f t="shared" si="34"/>
        <v>7.0299350389436768</v>
      </c>
      <c r="O244" s="56">
        <f t="shared" si="35"/>
        <v>-117854.54700000001</v>
      </c>
      <c r="P244" s="56">
        <f t="shared" si="36"/>
        <v>-4262.1440000000011</v>
      </c>
      <c r="Q244" s="56">
        <f t="shared" si="29"/>
        <v>-69710.781309646394</v>
      </c>
      <c r="R244" s="95">
        <f t="shared" si="30"/>
        <v>192255.45475481727</v>
      </c>
      <c r="S244" s="63"/>
      <c r="T244" s="43"/>
      <c r="U244" s="92" t="s">
        <v>216</v>
      </c>
      <c r="V244" s="93">
        <v>3</v>
      </c>
      <c r="W244" s="41">
        <f t="shared" si="31"/>
        <v>-631718.46565625479</v>
      </c>
    </row>
    <row r="245" spans="1:26" s="211" customFormat="1" ht="15" customHeight="1" x14ac:dyDescent="0.2">
      <c r="A245" s="41">
        <v>753</v>
      </c>
      <c r="B245" s="75" t="s">
        <v>304</v>
      </c>
      <c r="C245" s="61">
        <v>19034</v>
      </c>
      <c r="D245" s="59">
        <v>19.25</v>
      </c>
      <c r="E245" s="55">
        <v>6.9399999999999995</v>
      </c>
      <c r="F245" s="56">
        <v>2772.0781386019444</v>
      </c>
      <c r="G245" s="56">
        <f t="shared" si="32"/>
        <v>-2765.6733283940616</v>
      </c>
      <c r="H245" s="57">
        <v>-2538.2829147840707</v>
      </c>
      <c r="I245" s="57">
        <v>-70.197139329620711</v>
      </c>
      <c r="J245" s="57">
        <f t="shared" si="33"/>
        <v>-157.19327428037025</v>
      </c>
      <c r="K245" s="57">
        <v>-265.51179495055754</v>
      </c>
      <c r="L245" s="57">
        <v>80.045475354717667</v>
      </c>
      <c r="M245" s="57">
        <v>28.273045315469631</v>
      </c>
      <c r="N245" s="56">
        <f t="shared" si="34"/>
        <v>6.4048102078827469</v>
      </c>
      <c r="O245" s="56">
        <f t="shared" si="35"/>
        <v>-48313.677000000003</v>
      </c>
      <c r="P245" s="56">
        <f t="shared" si="36"/>
        <v>-1336.1323500000005</v>
      </c>
      <c r="Q245" s="56">
        <f t="shared" si="29"/>
        <v>-2992.0167826525671</v>
      </c>
      <c r="R245" s="95">
        <f t="shared" si="30"/>
        <v>52763.735290149409</v>
      </c>
      <c r="S245" s="63"/>
      <c r="T245" s="43"/>
      <c r="U245" s="92" t="s">
        <v>222</v>
      </c>
      <c r="V245" s="93">
        <v>3</v>
      </c>
      <c r="W245" s="41">
        <f t="shared" si="31"/>
        <v>538149.14453464898</v>
      </c>
      <c r="Z245" s="41"/>
    </row>
    <row r="246" spans="1:26" s="104" customFormat="1" ht="15" customHeight="1" x14ac:dyDescent="0.2">
      <c r="A246" s="41">
        <v>746</v>
      </c>
      <c r="B246" s="75" t="s">
        <v>165</v>
      </c>
      <c r="C246" s="61">
        <v>5154</v>
      </c>
      <c r="D246" s="59">
        <v>21.75</v>
      </c>
      <c r="E246" s="55">
        <v>9.44</v>
      </c>
      <c r="F246" s="56">
        <v>3831.7411664556871</v>
      </c>
      <c r="G246" s="56">
        <f t="shared" si="32"/>
        <v>-3824.365311090819</v>
      </c>
      <c r="H246" s="57">
        <v>-1334.7605743112147</v>
      </c>
      <c r="I246" s="57">
        <v>-117.60607295304621</v>
      </c>
      <c r="J246" s="57">
        <f t="shared" si="33"/>
        <v>-2371.9986638265582</v>
      </c>
      <c r="K246" s="57">
        <v>-2048.3105553510968</v>
      </c>
      <c r="L246" s="57">
        <v>-121.65672398672946</v>
      </c>
      <c r="M246" s="57">
        <v>-202.03138448873193</v>
      </c>
      <c r="N246" s="56">
        <f t="shared" si="34"/>
        <v>7.37585536486813</v>
      </c>
      <c r="O246" s="56">
        <f t="shared" si="35"/>
        <v>-6879.3559999999998</v>
      </c>
      <c r="P246" s="56">
        <f t="shared" si="36"/>
        <v>-606.14170000000024</v>
      </c>
      <c r="Q246" s="56">
        <f t="shared" si="29"/>
        <v>-12225.281113362082</v>
      </c>
      <c r="R246" s="95">
        <f t="shared" si="30"/>
        <v>19748.793971912612</v>
      </c>
      <c r="S246" s="63"/>
      <c r="T246" s="43"/>
      <c r="U246" s="92" t="s">
        <v>224</v>
      </c>
      <c r="V246" s="93">
        <v>1</v>
      </c>
      <c r="W246" s="41">
        <f t="shared" si="31"/>
        <v>-1041269.7556549243</v>
      </c>
      <c r="Z246" s="41"/>
    </row>
    <row r="247" spans="1:26" ht="15" customHeight="1" x14ac:dyDescent="0.2">
      <c r="A247" s="41">
        <v>747</v>
      </c>
      <c r="B247" s="75" t="s">
        <v>166</v>
      </c>
      <c r="C247" s="61">
        <v>1593</v>
      </c>
      <c r="D247" s="59">
        <v>21</v>
      </c>
      <c r="E247" s="55">
        <v>8.69</v>
      </c>
      <c r="F247" s="56">
        <v>4024.3832898654077</v>
      </c>
      <c r="G247" s="56">
        <f t="shared" si="32"/>
        <v>-4016.9890658022123</v>
      </c>
      <c r="H247" s="57">
        <v>-1243.6528562460767</v>
      </c>
      <c r="I247" s="57">
        <v>-110.01129943502829</v>
      </c>
      <c r="J247" s="57">
        <f t="shared" si="33"/>
        <v>-2663.3249101211072</v>
      </c>
      <c r="K247" s="57">
        <v>-2883.3872350908914</v>
      </c>
      <c r="L247" s="57">
        <v>99.605132146532696</v>
      </c>
      <c r="M247" s="57">
        <v>120.45719282325143</v>
      </c>
      <c r="N247" s="56">
        <f t="shared" si="34"/>
        <v>7.3942240631954519</v>
      </c>
      <c r="O247" s="56">
        <f t="shared" si="35"/>
        <v>-1981.1390000000004</v>
      </c>
      <c r="P247" s="56">
        <f t="shared" si="36"/>
        <v>-175.24800000000008</v>
      </c>
      <c r="Q247" s="56">
        <f t="shared" si="29"/>
        <v>-4242.6765818229233</v>
      </c>
      <c r="R247" s="95">
        <f t="shared" si="30"/>
        <v>6410.8425807555941</v>
      </c>
      <c r="S247" s="63"/>
      <c r="T247" s="43"/>
      <c r="U247" s="92" t="s">
        <v>216</v>
      </c>
      <c r="V247" s="93">
        <v>3</v>
      </c>
      <c r="W247" s="41">
        <f t="shared" si="31"/>
        <v>191888.30816743954</v>
      </c>
    </row>
    <row r="248" spans="1:26" ht="15" customHeight="1" x14ac:dyDescent="0.2">
      <c r="A248" s="41">
        <v>748</v>
      </c>
      <c r="B248" s="75" t="s">
        <v>167</v>
      </c>
      <c r="C248" s="61">
        <v>5526</v>
      </c>
      <c r="D248" s="59">
        <v>22</v>
      </c>
      <c r="E248" s="55">
        <v>9.69</v>
      </c>
      <c r="F248" s="56">
        <v>3236.5877387764858</v>
      </c>
      <c r="G248" s="56">
        <f t="shared" si="32"/>
        <v>-3229.340880793673</v>
      </c>
      <c r="H248" s="57">
        <v>-1524.5740137531668</v>
      </c>
      <c r="I248" s="57">
        <v>-41.357328990228027</v>
      </c>
      <c r="J248" s="57">
        <f t="shared" si="33"/>
        <v>-1663.4095380502781</v>
      </c>
      <c r="K248" s="57">
        <v>-2041.7008209310748</v>
      </c>
      <c r="L248" s="57">
        <v>275.04115150923565</v>
      </c>
      <c r="M248" s="57">
        <v>103.250131371561</v>
      </c>
      <c r="N248" s="56">
        <f t="shared" si="34"/>
        <v>7.2468579828127986</v>
      </c>
      <c r="O248" s="56">
        <f t="shared" si="35"/>
        <v>-8424.7960000000003</v>
      </c>
      <c r="P248" s="56">
        <f t="shared" si="36"/>
        <v>-228.54060000000007</v>
      </c>
      <c r="Q248" s="56">
        <f t="shared" si="29"/>
        <v>-9192.0011072658381</v>
      </c>
      <c r="R248" s="95">
        <f t="shared" si="30"/>
        <v>17885.38384447886</v>
      </c>
      <c r="S248" s="63"/>
      <c r="T248" s="43"/>
      <c r="U248" s="92" t="s">
        <v>239</v>
      </c>
      <c r="V248" s="93">
        <v>5</v>
      </c>
      <c r="W248" s="41">
        <f t="shared" si="31"/>
        <v>570560.22595924605</v>
      </c>
    </row>
    <row r="249" spans="1:26" ht="15" customHeight="1" x14ac:dyDescent="0.2">
      <c r="A249" s="41">
        <v>791</v>
      </c>
      <c r="B249" s="75" t="s">
        <v>182</v>
      </c>
      <c r="C249" s="61">
        <v>5816</v>
      </c>
      <c r="D249" s="59">
        <v>22.25</v>
      </c>
      <c r="E249" s="55">
        <v>9.94</v>
      </c>
      <c r="F249" s="56">
        <v>4604.2650340586088</v>
      </c>
      <c r="G249" s="56">
        <f t="shared" si="32"/>
        <v>-4596.8908923398521</v>
      </c>
      <c r="H249" s="57">
        <v>-1344.3737964236589</v>
      </c>
      <c r="I249" s="57">
        <v>-59.84237448418159</v>
      </c>
      <c r="J249" s="57">
        <f t="shared" si="33"/>
        <v>-3192.6747214320112</v>
      </c>
      <c r="K249" s="57">
        <v>-2942.3334152728444</v>
      </c>
      <c r="L249" s="57">
        <v>-50.476177178391112</v>
      </c>
      <c r="M249" s="57">
        <v>-199.86512898077603</v>
      </c>
      <c r="N249" s="56">
        <f t="shared" si="34"/>
        <v>7.3741417187566185</v>
      </c>
      <c r="O249" s="56">
        <f t="shared" si="35"/>
        <v>-7818.8780000000006</v>
      </c>
      <c r="P249" s="56">
        <f t="shared" si="36"/>
        <v>-348.04325000000011</v>
      </c>
      <c r="Q249" s="56">
        <f t="shared" si="29"/>
        <v>-18568.596179848577</v>
      </c>
      <c r="R249" s="95">
        <f t="shared" si="30"/>
        <v>26778.405438084868</v>
      </c>
      <c r="S249" s="63"/>
      <c r="T249" s="43"/>
      <c r="U249" s="92" t="s">
        <v>222</v>
      </c>
      <c r="V249" s="93">
        <v>2</v>
      </c>
      <c r="W249" s="41">
        <f t="shared" si="31"/>
        <v>-1162415.5901521933</v>
      </c>
    </row>
    <row r="250" spans="1:26" ht="15" customHeight="1" x14ac:dyDescent="0.2">
      <c r="A250" s="41">
        <v>749</v>
      </c>
      <c r="B250" s="75" t="s">
        <v>168</v>
      </c>
      <c r="C250" s="61">
        <v>21668</v>
      </c>
      <c r="D250" s="59">
        <v>21.25</v>
      </c>
      <c r="E250" s="55">
        <v>8.94</v>
      </c>
      <c r="F250" s="56">
        <v>2968.4272181025663</v>
      </c>
      <c r="G250" s="56">
        <f t="shared" si="32"/>
        <v>-2961.066567191061</v>
      </c>
      <c r="H250" s="57">
        <v>-1975.4750784567104</v>
      </c>
      <c r="I250" s="57">
        <v>-56.251186080856591</v>
      </c>
      <c r="J250" s="57">
        <f t="shared" si="33"/>
        <v>-929.34030265349429</v>
      </c>
      <c r="K250" s="57">
        <v>-819.00432306692005</v>
      </c>
      <c r="L250" s="57">
        <v>-41.265221709201306</v>
      </c>
      <c r="M250" s="57">
        <v>-69.070757877372841</v>
      </c>
      <c r="N250" s="56">
        <f t="shared" si="34"/>
        <v>7.3606509115052177</v>
      </c>
      <c r="O250" s="56">
        <f t="shared" si="35"/>
        <v>-42804.593999999997</v>
      </c>
      <c r="P250" s="56">
        <f t="shared" si="36"/>
        <v>-1218.8507000000006</v>
      </c>
      <c r="Q250" s="56">
        <f t="shared" si="29"/>
        <v>-20136.945677895914</v>
      </c>
      <c r="R250" s="95">
        <f t="shared" si="30"/>
        <v>64319.880961846407</v>
      </c>
      <c r="S250" s="63"/>
      <c r="T250" s="90"/>
      <c r="U250" s="92" t="s">
        <v>218</v>
      </c>
      <c r="V250" s="93">
        <v>4</v>
      </c>
      <c r="W250" s="41">
        <f t="shared" si="31"/>
        <v>-1496625.1816869148</v>
      </c>
    </row>
    <row r="251" spans="1:26" ht="15" customHeight="1" x14ac:dyDescent="0.2">
      <c r="A251" s="41">
        <v>751</v>
      </c>
      <c r="B251" s="75" t="s">
        <v>169</v>
      </c>
      <c r="C251" s="61">
        <v>3296</v>
      </c>
      <c r="D251" s="59">
        <v>22</v>
      </c>
      <c r="E251" s="55">
        <v>9.69</v>
      </c>
      <c r="F251" s="56">
        <v>3871.8925843072939</v>
      </c>
      <c r="G251" s="56">
        <f t="shared" si="32"/>
        <v>-3864.505592760142</v>
      </c>
      <c r="H251" s="57">
        <v>-1803.8343446601941</v>
      </c>
      <c r="I251" s="57">
        <v>-30.828003640776711</v>
      </c>
      <c r="J251" s="57">
        <f t="shared" si="33"/>
        <v>-2029.8432444591713</v>
      </c>
      <c r="K251" s="57">
        <v>-1646.7561407366788</v>
      </c>
      <c r="L251" s="57">
        <v>-161.34534592956737</v>
      </c>
      <c r="M251" s="57">
        <v>-221.74175779292503</v>
      </c>
      <c r="N251" s="56">
        <f t="shared" si="34"/>
        <v>7.3869915471518652</v>
      </c>
      <c r="O251" s="56">
        <f t="shared" si="35"/>
        <v>-5945.4380000000001</v>
      </c>
      <c r="P251" s="56">
        <f t="shared" si="36"/>
        <v>-101.60910000000004</v>
      </c>
      <c r="Q251" s="56">
        <f t="shared" si="29"/>
        <v>-6690.3633337374285</v>
      </c>
      <c r="R251" s="95">
        <f t="shared" si="30"/>
        <v>12761.75795787684</v>
      </c>
      <c r="S251" s="63"/>
      <c r="T251" s="90"/>
      <c r="U251" s="92" t="s">
        <v>218</v>
      </c>
      <c r="V251" s="93">
        <v>3</v>
      </c>
      <c r="W251" s="41">
        <f t="shared" si="31"/>
        <v>-730860.83368548087</v>
      </c>
    </row>
    <row r="252" spans="1:26" ht="15" customHeight="1" x14ac:dyDescent="0.2">
      <c r="A252" s="41">
        <v>755</v>
      </c>
      <c r="B252" s="75" t="s">
        <v>305</v>
      </c>
      <c r="C252" s="61">
        <v>6199</v>
      </c>
      <c r="D252" s="59">
        <v>21.5</v>
      </c>
      <c r="E252" s="55">
        <v>9.19</v>
      </c>
      <c r="F252" s="56">
        <v>2713.7555488988846</v>
      </c>
      <c r="G252" s="56">
        <f t="shared" si="32"/>
        <v>-2707.3500237893195</v>
      </c>
      <c r="H252" s="57">
        <v>-2339.175512179384</v>
      </c>
      <c r="I252" s="57">
        <v>-22.58210195192774</v>
      </c>
      <c r="J252" s="57">
        <f t="shared" si="33"/>
        <v>-345.59240965800802</v>
      </c>
      <c r="K252" s="57">
        <v>-256.43626618415527</v>
      </c>
      <c r="L252" s="57">
        <v>-70.048210543912532</v>
      </c>
      <c r="M252" s="57">
        <v>-19.107932929940183</v>
      </c>
      <c r="N252" s="56">
        <f t="shared" si="34"/>
        <v>6.4055251095651329</v>
      </c>
      <c r="O252" s="56">
        <f t="shared" si="35"/>
        <v>-14500.549000000003</v>
      </c>
      <c r="P252" s="56">
        <f t="shared" si="36"/>
        <v>-139.98645000000008</v>
      </c>
      <c r="Q252" s="56">
        <f t="shared" si="29"/>
        <v>-2142.3273474699918</v>
      </c>
      <c r="R252" s="95">
        <f t="shared" si="30"/>
        <v>16822.570647624187</v>
      </c>
      <c r="S252" s="63"/>
      <c r="T252" s="43"/>
      <c r="U252" s="92" t="s">
        <v>215</v>
      </c>
      <c r="V252" s="93">
        <v>2</v>
      </c>
      <c r="W252" s="41">
        <f t="shared" si="31"/>
        <v>-118450.0762326992</v>
      </c>
    </row>
    <row r="253" spans="1:26" ht="15" customHeight="1" x14ac:dyDescent="0.2">
      <c r="A253" s="41">
        <v>758</v>
      </c>
      <c r="B253" s="75" t="s">
        <v>170</v>
      </c>
      <c r="C253" s="61">
        <v>8820</v>
      </c>
      <c r="D253" s="59">
        <v>20</v>
      </c>
      <c r="E253" s="55">
        <v>7.6899999999999995</v>
      </c>
      <c r="F253" s="56">
        <v>3866.3312480799746</v>
      </c>
      <c r="G253" s="56">
        <f t="shared" si="32"/>
        <v>-3909.8799797479433</v>
      </c>
      <c r="H253" s="57">
        <v>-1887.8187074829932</v>
      </c>
      <c r="I253" s="57">
        <v>-90.97189909297056</v>
      </c>
      <c r="J253" s="57">
        <f t="shared" si="33"/>
        <v>-1931.0893731719793</v>
      </c>
      <c r="K253" s="57">
        <v>-1879.8846181994534</v>
      </c>
      <c r="L253" s="57">
        <v>93.426132831159649</v>
      </c>
      <c r="M253" s="57">
        <v>-144.63088780368571</v>
      </c>
      <c r="N253" s="56">
        <f t="shared" si="34"/>
        <v>-43.548731667968696</v>
      </c>
      <c r="O253" s="56">
        <f t="shared" si="35"/>
        <v>-16650.561000000002</v>
      </c>
      <c r="P253" s="56">
        <f t="shared" si="36"/>
        <v>-802.37215000000037</v>
      </c>
      <c r="Q253" s="56">
        <f t="shared" si="29"/>
        <v>-17032.208271376861</v>
      </c>
      <c r="R253" s="95">
        <f t="shared" si="30"/>
        <v>34101.041608065374</v>
      </c>
      <c r="S253" s="63"/>
      <c r="T253" s="43"/>
      <c r="U253" s="92" t="s">
        <v>219</v>
      </c>
      <c r="V253" s="93">
        <v>3</v>
      </c>
      <c r="W253" s="41">
        <f t="shared" si="31"/>
        <v>-1275644.430428508</v>
      </c>
    </row>
    <row r="254" spans="1:26" ht="15" customHeight="1" x14ac:dyDescent="0.2">
      <c r="A254" s="41">
        <v>759</v>
      </c>
      <c r="B254" s="75" t="s">
        <v>171</v>
      </c>
      <c r="C254" s="61">
        <v>2273</v>
      </c>
      <c r="D254" s="59">
        <v>21.75</v>
      </c>
      <c r="E254" s="55">
        <v>9.44</v>
      </c>
      <c r="F254" s="56">
        <v>3943.7295657002578</v>
      </c>
      <c r="G254" s="56">
        <f t="shared" si="32"/>
        <v>-3936.6041415429818</v>
      </c>
      <c r="H254" s="57">
        <v>-1209.2322921249449</v>
      </c>
      <c r="I254" s="57">
        <v>-74.699120105587369</v>
      </c>
      <c r="J254" s="57">
        <f t="shared" si="33"/>
        <v>-2652.6727293124495</v>
      </c>
      <c r="K254" s="57">
        <v>-2782.0862996892652</v>
      </c>
      <c r="L254" s="57">
        <v>134.10525858933954</v>
      </c>
      <c r="M254" s="57">
        <v>-4.6916882125240136</v>
      </c>
      <c r="N254" s="56">
        <f t="shared" si="34"/>
        <v>7.1254241572760293</v>
      </c>
      <c r="O254" s="56">
        <f t="shared" si="35"/>
        <v>-2748.585</v>
      </c>
      <c r="P254" s="56">
        <f t="shared" si="36"/>
        <v>-169.79110000000009</v>
      </c>
      <c r="Q254" s="56">
        <f t="shared" si="29"/>
        <v>-6029.525113727198</v>
      </c>
      <c r="R254" s="95">
        <f t="shared" si="30"/>
        <v>8964.0973028366861</v>
      </c>
      <c r="S254" s="63"/>
      <c r="T254" s="43"/>
      <c r="U254" s="92" t="s">
        <v>239</v>
      </c>
      <c r="V254" s="93">
        <v>2</v>
      </c>
      <c r="W254" s="41">
        <f t="shared" si="31"/>
        <v>-10664.207307067083</v>
      </c>
    </row>
    <row r="255" spans="1:26" ht="15" customHeight="1" x14ac:dyDescent="0.2">
      <c r="A255" s="41">
        <v>761</v>
      </c>
      <c r="B255" s="75" t="s">
        <v>172</v>
      </c>
      <c r="C255" s="61">
        <v>9173</v>
      </c>
      <c r="D255" s="59">
        <v>19.5</v>
      </c>
      <c r="E255" s="55">
        <v>7.1899999999999995</v>
      </c>
      <c r="F255" s="56">
        <v>3600.8827861907907</v>
      </c>
      <c r="G255" s="56">
        <f t="shared" si="32"/>
        <v>-3593.5201563383125</v>
      </c>
      <c r="H255" s="57">
        <v>-1596.8063883135289</v>
      </c>
      <c r="I255" s="57">
        <v>-42.363245394091372</v>
      </c>
      <c r="J255" s="57">
        <f t="shared" si="33"/>
        <v>-1954.3505226306925</v>
      </c>
      <c r="K255" s="57">
        <v>-2074.737008494877</v>
      </c>
      <c r="L255" s="57">
        <v>71.89523035721281</v>
      </c>
      <c r="M255" s="57">
        <v>48.491255506971854</v>
      </c>
      <c r="N255" s="56">
        <f t="shared" si="34"/>
        <v>7.3626298524782214</v>
      </c>
      <c r="O255" s="56">
        <f t="shared" si="35"/>
        <v>-14647.505000000003</v>
      </c>
      <c r="P255" s="56">
        <f t="shared" si="36"/>
        <v>-388.59805000000017</v>
      </c>
      <c r="Q255" s="56">
        <f t="shared" si="29"/>
        <v>-17927.25734409134</v>
      </c>
      <c r="R255" s="95">
        <f t="shared" si="30"/>
        <v>33030.897797728125</v>
      </c>
      <c r="S255" s="63"/>
      <c r="T255" s="43"/>
      <c r="U255" s="92" t="s">
        <v>234</v>
      </c>
      <c r="V255" s="93">
        <v>4</v>
      </c>
      <c r="W255" s="41">
        <f t="shared" si="31"/>
        <v>444810.28676545282</v>
      </c>
    </row>
    <row r="256" spans="1:26" ht="15" customHeight="1" x14ac:dyDescent="0.2">
      <c r="A256" s="41">
        <v>762</v>
      </c>
      <c r="B256" s="75" t="s">
        <v>173</v>
      </c>
      <c r="C256" s="61">
        <v>4336</v>
      </c>
      <c r="D256" s="59">
        <v>20.5</v>
      </c>
      <c r="E256" s="55">
        <v>8.19</v>
      </c>
      <c r="F256" s="56">
        <v>4094.565874181761</v>
      </c>
      <c r="G256" s="56">
        <f t="shared" si="32"/>
        <v>-4091.0257337857656</v>
      </c>
      <c r="H256" s="57">
        <v>-1430.67573800738</v>
      </c>
      <c r="I256" s="57">
        <v>-135.69818957564578</v>
      </c>
      <c r="J256" s="57">
        <f t="shared" si="33"/>
        <v>-2524.6518062027399</v>
      </c>
      <c r="K256" s="57">
        <v>-2807.9195536798175</v>
      </c>
      <c r="L256" s="57">
        <v>185.21987736838676</v>
      </c>
      <c r="M256" s="57">
        <v>98.047870108690717</v>
      </c>
      <c r="N256" s="56">
        <f t="shared" si="34"/>
        <v>3.5401403959954223</v>
      </c>
      <c r="O256" s="56">
        <f t="shared" si="35"/>
        <v>-6203.41</v>
      </c>
      <c r="P256" s="56">
        <f t="shared" si="36"/>
        <v>-588.38735000000008</v>
      </c>
      <c r="Q256" s="56">
        <f t="shared" si="29"/>
        <v>-10946.890231695081</v>
      </c>
      <c r="R256" s="95">
        <f t="shared" si="30"/>
        <v>17754.037630452116</v>
      </c>
      <c r="S256" s="63"/>
      <c r="T256" s="43"/>
      <c r="U256" s="92" t="s">
        <v>220</v>
      </c>
      <c r="V256" s="93">
        <v>2</v>
      </c>
      <c r="W256" s="41">
        <f t="shared" si="31"/>
        <v>425135.56479128293</v>
      </c>
    </row>
    <row r="257" spans="1:23" ht="15" customHeight="1" x14ac:dyDescent="0.2">
      <c r="A257" s="41">
        <v>765</v>
      </c>
      <c r="B257" s="75" t="s">
        <v>174</v>
      </c>
      <c r="C257" s="61">
        <v>10598</v>
      </c>
      <c r="D257" s="59">
        <v>21.25</v>
      </c>
      <c r="E257" s="55">
        <v>8.94</v>
      </c>
      <c r="F257" s="56">
        <v>3577.6952666180487</v>
      </c>
      <c r="G257" s="56">
        <f t="shared" si="32"/>
        <v>-3572.1521961292124</v>
      </c>
      <c r="H257" s="57">
        <v>-1694.0110398188338</v>
      </c>
      <c r="I257" s="57">
        <v>-69.057444800905856</v>
      </c>
      <c r="J257" s="57">
        <f t="shared" si="33"/>
        <v>-1809.0837115094728</v>
      </c>
      <c r="K257" s="57">
        <v>-1798.2715955227047</v>
      </c>
      <c r="L257" s="57">
        <v>-6.4120401544047336</v>
      </c>
      <c r="M257" s="57">
        <v>-4.4000758323635125</v>
      </c>
      <c r="N257" s="56">
        <f t="shared" si="34"/>
        <v>5.5430704888362925</v>
      </c>
      <c r="O257" s="56">
        <f t="shared" si="35"/>
        <v>-17953.129000000001</v>
      </c>
      <c r="P257" s="56">
        <f t="shared" si="36"/>
        <v>-731.87080000000026</v>
      </c>
      <c r="Q257" s="56">
        <f t="shared" si="29"/>
        <v>-19172.669174577393</v>
      </c>
      <c r="R257" s="95">
        <f t="shared" si="30"/>
        <v>37916.414435618084</v>
      </c>
      <c r="S257" s="63"/>
      <c r="T257" s="43"/>
      <c r="U257" s="92" t="s">
        <v>234</v>
      </c>
      <c r="V257" s="93">
        <v>3</v>
      </c>
      <c r="W257" s="41">
        <f t="shared" si="31"/>
        <v>-46632.003671388506</v>
      </c>
    </row>
    <row r="258" spans="1:23" ht="15" customHeight="1" x14ac:dyDescent="0.2">
      <c r="A258" s="41">
        <v>152</v>
      </c>
      <c r="B258" s="75" t="s">
        <v>247</v>
      </c>
      <c r="C258" s="61">
        <v>4842</v>
      </c>
      <c r="D258" s="59">
        <v>21.5</v>
      </c>
      <c r="E258" s="55">
        <v>9.19</v>
      </c>
      <c r="F258" s="56">
        <v>3406.9827821892445</v>
      </c>
      <c r="G258" s="56">
        <f t="shared" si="32"/>
        <v>-3399.6139064972922</v>
      </c>
      <c r="H258" s="57">
        <v>-1639.3341594382487</v>
      </c>
      <c r="I258" s="57">
        <v>-35.57662123089635</v>
      </c>
      <c r="J258" s="57">
        <f t="shared" si="33"/>
        <v>-1724.7031258281472</v>
      </c>
      <c r="K258" s="57">
        <v>-1916.0992189802687</v>
      </c>
      <c r="L258" s="57">
        <v>167.42563323518527</v>
      </c>
      <c r="M258" s="57">
        <v>23.970459916936363</v>
      </c>
      <c r="N258" s="56">
        <f t="shared" si="34"/>
        <v>7.3688756919523257</v>
      </c>
      <c r="O258" s="56">
        <f t="shared" si="35"/>
        <v>-7937.6559999999999</v>
      </c>
      <c r="P258" s="56">
        <f t="shared" si="36"/>
        <v>-172.26200000000011</v>
      </c>
      <c r="Q258" s="56">
        <f t="shared" si="29"/>
        <v>-8351.012535259888</v>
      </c>
      <c r="R258" s="95">
        <f t="shared" si="30"/>
        <v>16496.610631360323</v>
      </c>
      <c r="S258" s="63"/>
      <c r="T258" s="90"/>
      <c r="U258" s="92" t="s">
        <v>248</v>
      </c>
      <c r="V258" s="93">
        <v>2</v>
      </c>
      <c r="W258" s="41">
        <f t="shared" si="31"/>
        <v>116064.96691780587</v>
      </c>
    </row>
    <row r="259" spans="1:23" ht="15" customHeight="1" x14ac:dyDescent="0.2">
      <c r="A259" s="41">
        <v>151</v>
      </c>
      <c r="B259" s="75" t="s">
        <v>246</v>
      </c>
      <c r="C259" s="61">
        <v>2198</v>
      </c>
      <c r="D259" s="59">
        <v>22</v>
      </c>
      <c r="E259" s="55">
        <v>9.69</v>
      </c>
      <c r="F259" s="56">
        <v>4377.838452884951</v>
      </c>
      <c r="G259" s="56">
        <f t="shared" si="32"/>
        <v>-4370.4415095546246</v>
      </c>
      <c r="H259" s="57">
        <v>-1355.9376706096452</v>
      </c>
      <c r="I259" s="57">
        <v>-81.811214740673392</v>
      </c>
      <c r="J259" s="57">
        <f t="shared" si="33"/>
        <v>-2932.692624204306</v>
      </c>
      <c r="K259" s="57">
        <v>-3220.5073137615386</v>
      </c>
      <c r="L259" s="57">
        <v>240.41844551377332</v>
      </c>
      <c r="M259" s="57">
        <v>47.396244043459319</v>
      </c>
      <c r="N259" s="56">
        <f t="shared" si="34"/>
        <v>7.3969433303263941</v>
      </c>
      <c r="O259" s="56">
        <f t="shared" si="35"/>
        <v>-2980.3510000000006</v>
      </c>
      <c r="P259" s="56">
        <f t="shared" si="36"/>
        <v>-179.8210500000001</v>
      </c>
      <c r="Q259" s="56">
        <f t="shared" si="29"/>
        <v>-6446.0583880010645</v>
      </c>
      <c r="R259" s="95">
        <f t="shared" si="30"/>
        <v>9622.4889194411226</v>
      </c>
      <c r="S259" s="63"/>
      <c r="T259" s="90"/>
      <c r="U259" s="92" t="s">
        <v>215</v>
      </c>
      <c r="V259" s="93">
        <v>2</v>
      </c>
      <c r="W259" s="41">
        <f t="shared" si="31"/>
        <v>104176.94440752358</v>
      </c>
    </row>
    <row r="260" spans="1:23" ht="15" customHeight="1" x14ac:dyDescent="0.2">
      <c r="A260" s="41">
        <v>768</v>
      </c>
      <c r="B260" s="75" t="s">
        <v>175</v>
      </c>
      <c r="C260" s="61">
        <v>2789</v>
      </c>
      <c r="D260" s="59">
        <v>21.5</v>
      </c>
      <c r="E260" s="55">
        <v>9.19</v>
      </c>
      <c r="F260" s="56">
        <v>4937.4229280944328</v>
      </c>
      <c r="G260" s="56">
        <f t="shared" si="32"/>
        <v>-4930.0675194222968</v>
      </c>
      <c r="H260" s="57">
        <v>-1321.9376120473287</v>
      </c>
      <c r="I260" s="57">
        <v>-126.42142344926501</v>
      </c>
      <c r="J260" s="57">
        <f t="shared" si="33"/>
        <v>-3481.7084839257036</v>
      </c>
      <c r="K260" s="57">
        <v>-3178.4731384762008</v>
      </c>
      <c r="L260" s="57">
        <v>-239.26057909678897</v>
      </c>
      <c r="M260" s="57">
        <v>-63.974766352713857</v>
      </c>
      <c r="N260" s="56">
        <f t="shared" si="34"/>
        <v>7.3554086721360363</v>
      </c>
      <c r="O260" s="56">
        <f t="shared" si="35"/>
        <v>-3686.8839999999996</v>
      </c>
      <c r="P260" s="56">
        <f t="shared" si="36"/>
        <v>-352.58935000000008</v>
      </c>
      <c r="Q260" s="56">
        <f t="shared" si="29"/>
        <v>-9710.4849616687879</v>
      </c>
      <c r="R260" s="95">
        <f t="shared" si="30"/>
        <v>13770.472546455372</v>
      </c>
      <c r="S260" s="63"/>
      <c r="T260" s="43"/>
      <c r="U260" s="92" t="s">
        <v>239</v>
      </c>
      <c r="V260" s="93">
        <v>3</v>
      </c>
      <c r="W260" s="41">
        <f t="shared" si="31"/>
        <v>-178425.62335771896</v>
      </c>
    </row>
    <row r="261" spans="1:23" ht="15" customHeight="1" x14ac:dyDescent="0.2">
      <c r="A261" s="41">
        <v>777</v>
      </c>
      <c r="B261" s="75" t="s">
        <v>176</v>
      </c>
      <c r="C261" s="61">
        <v>8486</v>
      </c>
      <c r="D261" s="59">
        <v>20.5</v>
      </c>
      <c r="E261" s="55">
        <v>8.19</v>
      </c>
      <c r="F261" s="56">
        <v>4564.7756954486049</v>
      </c>
      <c r="G261" s="56">
        <f t="shared" si="32"/>
        <v>-4573.6662064423626</v>
      </c>
      <c r="H261" s="57">
        <v>-1514.6804148008484</v>
      </c>
      <c r="I261" s="57">
        <v>-97.664995286354042</v>
      </c>
      <c r="J261" s="57">
        <f t="shared" si="33"/>
        <v>-2961.3207963551604</v>
      </c>
      <c r="K261" s="57">
        <v>-2844.9313809835116</v>
      </c>
      <c r="L261" s="57">
        <v>-23.808727694749305</v>
      </c>
      <c r="M261" s="57">
        <v>-92.580687676899089</v>
      </c>
      <c r="N261" s="56">
        <f t="shared" si="34"/>
        <v>-8.8905109937577436</v>
      </c>
      <c r="O261" s="56">
        <f t="shared" si="35"/>
        <v>-12853.578</v>
      </c>
      <c r="P261" s="56">
        <f t="shared" si="36"/>
        <v>-828.78515000000039</v>
      </c>
      <c r="Q261" s="56">
        <f t="shared" si="29"/>
        <v>-25129.768277869891</v>
      </c>
      <c r="R261" s="95">
        <f t="shared" si="30"/>
        <v>38736.686551576859</v>
      </c>
      <c r="S261" s="63"/>
      <c r="T261" s="43"/>
      <c r="U261" s="92" t="s">
        <v>217</v>
      </c>
      <c r="V261" s="93">
        <v>2</v>
      </c>
      <c r="W261" s="41">
        <f t="shared" si="31"/>
        <v>-785639.71562616562</v>
      </c>
    </row>
    <row r="262" spans="1:23" ht="15" customHeight="1" x14ac:dyDescent="0.2">
      <c r="A262" s="41">
        <v>778</v>
      </c>
      <c r="B262" s="75" t="s">
        <v>177</v>
      </c>
      <c r="C262" s="61">
        <v>7419</v>
      </c>
      <c r="D262" s="59">
        <v>22</v>
      </c>
      <c r="E262" s="55">
        <v>9.69</v>
      </c>
      <c r="F262" s="56">
        <v>4225.7410167327871</v>
      </c>
      <c r="G262" s="56">
        <f t="shared" si="32"/>
        <v>-4218.3692508107351</v>
      </c>
      <c r="H262" s="57">
        <v>-1547.2702520555331</v>
      </c>
      <c r="I262" s="57">
        <v>-69.035611268365031</v>
      </c>
      <c r="J262" s="57">
        <f t="shared" si="33"/>
        <v>-2602.0633874868372</v>
      </c>
      <c r="K262" s="57">
        <v>-2717.9193667536197</v>
      </c>
      <c r="L262" s="57">
        <v>78.67150837055172</v>
      </c>
      <c r="M262" s="57">
        <v>37.184470896230891</v>
      </c>
      <c r="N262" s="56">
        <f t="shared" si="34"/>
        <v>7.3717659220519636</v>
      </c>
      <c r="O262" s="56">
        <f t="shared" si="35"/>
        <v>-11479.198</v>
      </c>
      <c r="P262" s="56">
        <f t="shared" si="36"/>
        <v>-512.17520000000025</v>
      </c>
      <c r="Q262" s="56">
        <f t="shared" si="29"/>
        <v>-19304.708271764845</v>
      </c>
      <c r="R262" s="95">
        <f t="shared" si="30"/>
        <v>31350.772603140547</v>
      </c>
      <c r="S262" s="63"/>
      <c r="T262" s="43"/>
      <c r="U262" s="92" t="s">
        <v>224</v>
      </c>
      <c r="V262" s="93">
        <v>3</v>
      </c>
      <c r="W262" s="41">
        <f t="shared" si="31"/>
        <v>275871.58957913698</v>
      </c>
    </row>
    <row r="263" spans="1:23" ht="15" customHeight="1" x14ac:dyDescent="0.2">
      <c r="A263" s="41">
        <v>781</v>
      </c>
      <c r="B263" s="75" t="s">
        <v>178</v>
      </c>
      <c r="C263" s="61">
        <v>4097</v>
      </c>
      <c r="D263" s="59">
        <v>19</v>
      </c>
      <c r="E263" s="55">
        <v>6.6899999999999995</v>
      </c>
      <c r="F263" s="56">
        <v>3834.8560137273048</v>
      </c>
      <c r="G263" s="56">
        <f t="shared" si="32"/>
        <v>-3827.4977389764044</v>
      </c>
      <c r="H263" s="57">
        <v>-1409.837686111789</v>
      </c>
      <c r="I263" s="57">
        <v>-103.06557237002689</v>
      </c>
      <c r="J263" s="57">
        <f t="shared" si="33"/>
        <v>-2314.5944804945884</v>
      </c>
      <c r="K263" s="57">
        <v>-3158.2911924164778</v>
      </c>
      <c r="L263" s="57">
        <v>447.01419063340836</v>
      </c>
      <c r="M263" s="57">
        <v>396.68252128848076</v>
      </c>
      <c r="N263" s="56">
        <f t="shared" si="34"/>
        <v>7.3582747509003639</v>
      </c>
      <c r="O263" s="56">
        <f t="shared" si="35"/>
        <v>-5776.1050000000005</v>
      </c>
      <c r="P263" s="56">
        <f t="shared" si="36"/>
        <v>-422.25965000000014</v>
      </c>
      <c r="Q263" s="56">
        <f t="shared" si="29"/>
        <v>-9482.8935865863277</v>
      </c>
      <c r="R263" s="95">
        <f t="shared" si="30"/>
        <v>15711.405088240766</v>
      </c>
      <c r="S263" s="63"/>
      <c r="T263" s="43"/>
      <c r="U263" s="92" t="s">
        <v>216</v>
      </c>
      <c r="V263" s="93">
        <v>2</v>
      </c>
      <c r="W263" s="41">
        <f t="shared" si="31"/>
        <v>1625208.2897189057</v>
      </c>
    </row>
    <row r="264" spans="1:23" ht="15" customHeight="1" x14ac:dyDescent="0.2">
      <c r="A264" s="41">
        <v>783</v>
      </c>
      <c r="B264" s="75" t="s">
        <v>179</v>
      </c>
      <c r="C264" s="61">
        <v>7186</v>
      </c>
      <c r="D264" s="59">
        <v>21.5</v>
      </c>
      <c r="E264" s="55">
        <v>9.19</v>
      </c>
      <c r="F264" s="56">
        <v>3543.8123324235016</v>
      </c>
      <c r="G264" s="56">
        <f t="shared" si="32"/>
        <v>-3536.4373986430328</v>
      </c>
      <c r="H264" s="57">
        <v>-1952.5059838575007</v>
      </c>
      <c r="I264" s="57">
        <v>-77.267888950737586</v>
      </c>
      <c r="J264" s="57">
        <f t="shared" si="33"/>
        <v>-1506.6635258347942</v>
      </c>
      <c r="K264" s="57">
        <v>-1363.611299525943</v>
      </c>
      <c r="L264" s="57">
        <v>-77.302379344618984</v>
      </c>
      <c r="M264" s="57">
        <v>-65.749846964232432</v>
      </c>
      <c r="N264" s="56">
        <f t="shared" si="34"/>
        <v>7.3749337804688366</v>
      </c>
      <c r="O264" s="56">
        <f t="shared" si="35"/>
        <v>-14030.708000000001</v>
      </c>
      <c r="P264" s="56">
        <f t="shared" si="36"/>
        <v>-555.24705000000029</v>
      </c>
      <c r="Q264" s="56">
        <f t="shared" si="29"/>
        <v>-10826.884096648831</v>
      </c>
      <c r="R264" s="95">
        <f t="shared" si="30"/>
        <v>25465.835420795283</v>
      </c>
      <c r="S264" s="63"/>
      <c r="T264" s="43"/>
      <c r="U264" s="92" t="s">
        <v>214</v>
      </c>
      <c r="V264" s="93">
        <v>5</v>
      </c>
      <c r="W264" s="41">
        <f t="shared" si="31"/>
        <v>-472478.40028497425</v>
      </c>
    </row>
    <row r="265" spans="1:23" ht="15" customHeight="1" x14ac:dyDescent="0.2">
      <c r="A265" s="41">
        <v>831</v>
      </c>
      <c r="B265" s="75" t="s">
        <v>183</v>
      </c>
      <c r="C265" s="61">
        <v>4798</v>
      </c>
      <c r="D265" s="59">
        <v>20</v>
      </c>
      <c r="E265" s="55">
        <v>7.6899999999999995</v>
      </c>
      <c r="F265" s="56">
        <v>2767.6594924213769</v>
      </c>
      <c r="G265" s="56">
        <f t="shared" si="32"/>
        <v>-2760.2867489468435</v>
      </c>
      <c r="H265" s="57">
        <v>-2053.4687369737389</v>
      </c>
      <c r="I265" s="57">
        <v>-46.386181742392679</v>
      </c>
      <c r="J265" s="57">
        <f t="shared" si="33"/>
        <v>-660.43183023071219</v>
      </c>
      <c r="K265" s="57">
        <v>-679.51925570157732</v>
      </c>
      <c r="L265" s="57">
        <v>76.618315570059664</v>
      </c>
      <c r="M265" s="57">
        <v>-57.530890099194444</v>
      </c>
      <c r="N265" s="56">
        <f t="shared" si="34"/>
        <v>7.3727434745333085</v>
      </c>
      <c r="O265" s="56">
        <f t="shared" si="35"/>
        <v>-9852.5429999999997</v>
      </c>
      <c r="P265" s="56">
        <f t="shared" si="36"/>
        <v>-222.56090000000009</v>
      </c>
      <c r="Q265" s="56">
        <f t="shared" si="29"/>
        <v>-3168.7519214469571</v>
      </c>
      <c r="R265" s="95">
        <f t="shared" si="30"/>
        <v>13279.230244637767</v>
      </c>
      <c r="S265" s="62"/>
      <c r="T265" s="43"/>
      <c r="U265" s="92" t="s">
        <v>216</v>
      </c>
      <c r="V265" s="93">
        <v>3</v>
      </c>
      <c r="W265" s="41">
        <f t="shared" si="31"/>
        <v>-276033.21069593495</v>
      </c>
    </row>
    <row r="266" spans="1:23" ht="15" customHeight="1" x14ac:dyDescent="0.2">
      <c r="A266" s="41">
        <v>832</v>
      </c>
      <c r="B266" s="75" t="s">
        <v>184</v>
      </c>
      <c r="C266" s="61">
        <v>4231</v>
      </c>
      <c r="D266" s="59">
        <v>20.5</v>
      </c>
      <c r="E266" s="55">
        <v>8.19</v>
      </c>
      <c r="F266" s="56">
        <v>4020.3851584908784</v>
      </c>
      <c r="G266" s="56">
        <f t="shared" si="32"/>
        <v>-4013.0387625366966</v>
      </c>
      <c r="H266" s="57">
        <v>-1365.1945166627274</v>
      </c>
      <c r="I266" s="57">
        <v>-88.293583077286726</v>
      </c>
      <c r="J266" s="57">
        <f t="shared" si="33"/>
        <v>-2559.5506627966824</v>
      </c>
      <c r="K266" s="57">
        <v>-2935.3708212354913</v>
      </c>
      <c r="L266" s="57">
        <v>323.79482921220171</v>
      </c>
      <c r="M266" s="57">
        <v>52.025329226606971</v>
      </c>
      <c r="N266" s="56">
        <f t="shared" si="34"/>
        <v>7.346395954181844</v>
      </c>
      <c r="O266" s="56">
        <f t="shared" si="35"/>
        <v>-5776.1379999999999</v>
      </c>
      <c r="P266" s="56">
        <f t="shared" si="36"/>
        <v>-373.57015000000013</v>
      </c>
      <c r="Q266" s="56">
        <f t="shared" si="29"/>
        <v>-10829.458854292763</v>
      </c>
      <c r="R266" s="95">
        <f t="shared" si="30"/>
        <v>17010.249605574907</v>
      </c>
      <c r="S266" s="63"/>
      <c r="T266" s="43"/>
      <c r="U266" s="92" t="s">
        <v>243</v>
      </c>
      <c r="V266" s="93">
        <v>2</v>
      </c>
      <c r="W266" s="41">
        <f t="shared" si="31"/>
        <v>220119.1679577741</v>
      </c>
    </row>
    <row r="267" spans="1:23" ht="15" customHeight="1" x14ac:dyDescent="0.2">
      <c r="A267" s="41">
        <v>834</v>
      </c>
      <c r="B267" s="75" t="s">
        <v>185</v>
      </c>
      <c r="C267" s="61">
        <v>6395</v>
      </c>
      <c r="D267" s="59">
        <v>19.5</v>
      </c>
      <c r="E267" s="55">
        <v>7.1899999999999995</v>
      </c>
      <c r="F267" s="56">
        <v>2961.5000181568244</v>
      </c>
      <c r="G267" s="56">
        <f t="shared" si="32"/>
        <v>-2954.1197663653984</v>
      </c>
      <c r="H267" s="57">
        <v>-1754.0603596559813</v>
      </c>
      <c r="I267" s="57">
        <v>-61.282767787333881</v>
      </c>
      <c r="J267" s="57">
        <f t="shared" si="33"/>
        <v>-1138.7766389220831</v>
      </c>
      <c r="K267" s="57">
        <v>-1574.0659927318468</v>
      </c>
      <c r="L267" s="57">
        <v>282.89648053869121</v>
      </c>
      <c r="M267" s="57">
        <v>152.39287327107272</v>
      </c>
      <c r="N267" s="56">
        <f t="shared" si="34"/>
        <v>7.3802517914259624</v>
      </c>
      <c r="O267" s="56">
        <f t="shared" si="35"/>
        <v>-11217.216</v>
      </c>
      <c r="P267" s="56">
        <f t="shared" si="36"/>
        <v>-391.90330000000017</v>
      </c>
      <c r="Q267" s="56">
        <f t="shared" si="29"/>
        <v>-7282.4766059067215</v>
      </c>
      <c r="R267" s="95">
        <f t="shared" si="30"/>
        <v>18938.792616112893</v>
      </c>
      <c r="S267" s="63"/>
      <c r="T267" s="90"/>
      <c r="U267" s="92" t="s">
        <v>219</v>
      </c>
      <c r="V267" s="93">
        <v>1</v>
      </c>
      <c r="W267" s="41">
        <f t="shared" si="31"/>
        <v>974552.42456851003</v>
      </c>
    </row>
    <row r="268" spans="1:23" ht="15" customHeight="1" x14ac:dyDescent="0.2">
      <c r="A268" s="41">
        <v>837</v>
      </c>
      <c r="B268" s="75" t="s">
        <v>307</v>
      </c>
      <c r="C268" s="61">
        <v>223004</v>
      </c>
      <c r="D268" s="59">
        <v>19.75</v>
      </c>
      <c r="E268" s="55">
        <v>7.4399999999999995</v>
      </c>
      <c r="F268" s="56">
        <v>3140.9792502386135</v>
      </c>
      <c r="G268" s="56">
        <f t="shared" si="32"/>
        <v>-3134.5776618460786</v>
      </c>
      <c r="H268" s="57">
        <v>-2075.6216614948612</v>
      </c>
      <c r="I268" s="57">
        <v>-77.472534124948467</v>
      </c>
      <c r="J268" s="57">
        <f t="shared" si="33"/>
        <v>-981.48346622626877</v>
      </c>
      <c r="K268" s="57">
        <v>-899.71480278690251</v>
      </c>
      <c r="L268" s="57">
        <v>-108.08867309974757</v>
      </c>
      <c r="M268" s="57">
        <v>26.320009660381317</v>
      </c>
      <c r="N268" s="56">
        <f t="shared" si="34"/>
        <v>6.4015883925349044</v>
      </c>
      <c r="O268" s="56">
        <f t="shared" si="35"/>
        <v>-462871.93300000002</v>
      </c>
      <c r="P268" s="56">
        <f t="shared" si="36"/>
        <v>-17276.685000000009</v>
      </c>
      <c r="Q268" s="56">
        <f t="shared" si="29"/>
        <v>-218874.73890232283</v>
      </c>
      <c r="R268" s="95">
        <f t="shared" si="30"/>
        <v>700450.93672021176</v>
      </c>
      <c r="S268" s="63"/>
      <c r="T268" s="43"/>
      <c r="U268" s="92" t="s">
        <v>226</v>
      </c>
      <c r="V268" s="93">
        <v>3</v>
      </c>
      <c r="W268" s="41">
        <f t="shared" si="31"/>
        <v>5869467.4343036748</v>
      </c>
    </row>
    <row r="269" spans="1:23" ht="15" customHeight="1" x14ac:dyDescent="0.2">
      <c r="A269" s="41">
        <v>109</v>
      </c>
      <c r="B269" s="75" t="s">
        <v>237</v>
      </c>
      <c r="C269" s="61">
        <v>67976</v>
      </c>
      <c r="D269" s="59">
        <v>20.5</v>
      </c>
      <c r="E269" s="55">
        <v>8.19</v>
      </c>
      <c r="F269" s="56">
        <v>3428.5842046624275</v>
      </c>
      <c r="G269" s="56">
        <f t="shared" si="32"/>
        <v>-3421.2210650058914</v>
      </c>
      <c r="H269" s="57">
        <v>-2068.6464487466164</v>
      </c>
      <c r="I269" s="57">
        <v>-63.491004177945172</v>
      </c>
      <c r="J269" s="57">
        <f t="shared" si="33"/>
        <v>-1289.0836120813296</v>
      </c>
      <c r="K269" s="57">
        <v>-1213.4707801825155</v>
      </c>
      <c r="L269" s="57">
        <v>-69.476325107353262</v>
      </c>
      <c r="M269" s="57">
        <v>-6.1365067914609597</v>
      </c>
      <c r="N269" s="56">
        <f t="shared" si="34"/>
        <v>7.3631396565360774</v>
      </c>
      <c r="O269" s="56">
        <f t="shared" si="35"/>
        <v>-140618.31100000002</v>
      </c>
      <c r="P269" s="56">
        <f t="shared" si="36"/>
        <v>-4315.8645000000006</v>
      </c>
      <c r="Q269" s="56">
        <f t="shared" si="29"/>
        <v>-87626.747614840468</v>
      </c>
      <c r="R269" s="95">
        <f t="shared" si="30"/>
        <v>233061.43989613318</v>
      </c>
      <c r="S269" s="62"/>
      <c r="T269" s="90"/>
      <c r="U269" s="92" t="s">
        <v>226</v>
      </c>
      <c r="V269" s="93">
        <v>6</v>
      </c>
      <c r="W269" s="41">
        <f t="shared" si="31"/>
        <v>-417135.18565635022</v>
      </c>
    </row>
    <row r="270" spans="1:23" ht="15" customHeight="1" x14ac:dyDescent="0.2">
      <c r="A270" s="41">
        <v>108</v>
      </c>
      <c r="B270" s="75" t="s">
        <v>236</v>
      </c>
      <c r="C270" s="61">
        <v>10610</v>
      </c>
      <c r="D270" s="59">
        <v>21</v>
      </c>
      <c r="E270" s="55">
        <v>8.69</v>
      </c>
      <c r="F270" s="56">
        <v>3071.7685625761701</v>
      </c>
      <c r="G270" s="56">
        <f t="shared" si="32"/>
        <v>-3067.1492814441908</v>
      </c>
      <c r="H270" s="57">
        <v>-1748.488972667295</v>
      </c>
      <c r="I270" s="57">
        <v>-39.941319509896339</v>
      </c>
      <c r="J270" s="57">
        <f t="shared" si="33"/>
        <v>-1278.7189892669992</v>
      </c>
      <c r="K270" s="57">
        <v>-1409.5162982818165</v>
      </c>
      <c r="L270" s="57">
        <v>90.702862121691609</v>
      </c>
      <c r="M270" s="57">
        <v>40.094446893125692</v>
      </c>
      <c r="N270" s="56">
        <f t="shared" si="34"/>
        <v>4.6192811319792781</v>
      </c>
      <c r="O270" s="56">
        <f t="shared" si="35"/>
        <v>-18551.468000000001</v>
      </c>
      <c r="P270" s="56">
        <f t="shared" si="36"/>
        <v>-423.77740000000017</v>
      </c>
      <c r="Q270" s="56">
        <f t="shared" si="29"/>
        <v>-13567.208476122862</v>
      </c>
      <c r="R270" s="95">
        <f t="shared" si="30"/>
        <v>32591.464448933166</v>
      </c>
      <c r="S270" s="63"/>
      <c r="T270" s="90"/>
      <c r="U270" s="92" t="s">
        <v>214</v>
      </c>
      <c r="V270" s="93">
        <v>4</v>
      </c>
      <c r="W270" s="41">
        <f t="shared" si="31"/>
        <v>425402.08153606358</v>
      </c>
    </row>
    <row r="271" spans="1:23" ht="15" customHeight="1" x14ac:dyDescent="0.2">
      <c r="A271" s="41">
        <v>844</v>
      </c>
      <c r="B271" s="75" t="s">
        <v>186</v>
      </c>
      <c r="C271" s="61">
        <v>1627</v>
      </c>
      <c r="D271" s="59">
        <v>20.75</v>
      </c>
      <c r="E271" s="55">
        <v>8.44</v>
      </c>
      <c r="F271" s="56">
        <v>4591.0416989286496</v>
      </c>
      <c r="G271" s="56">
        <f t="shared" si="32"/>
        <v>-4583.6459400868753</v>
      </c>
      <c r="H271" s="57">
        <v>-1302.9594345421019</v>
      </c>
      <c r="I271" s="57">
        <v>-75.167639827904154</v>
      </c>
      <c r="J271" s="57">
        <f t="shared" si="33"/>
        <v>-3205.5188657168696</v>
      </c>
      <c r="K271" s="57">
        <v>-3232.5040602047484</v>
      </c>
      <c r="L271" s="57">
        <v>74.422198362983423</v>
      </c>
      <c r="M271" s="57">
        <v>-47.43700387510507</v>
      </c>
      <c r="N271" s="56">
        <f t="shared" si="34"/>
        <v>7.3957588417742954</v>
      </c>
      <c r="O271" s="56">
        <f t="shared" si="35"/>
        <v>-2119.915</v>
      </c>
      <c r="P271" s="56">
        <f t="shared" si="36"/>
        <v>-122.29775000000006</v>
      </c>
      <c r="Q271" s="56">
        <f t="shared" ref="Q271:Q312" si="37">C271*J271*0.001</f>
        <v>-5215.379194521347</v>
      </c>
      <c r="R271" s="95">
        <f t="shared" ref="R271:R312" si="38">F271*C271*0.001</f>
        <v>7469.6248441569123</v>
      </c>
      <c r="S271" s="63"/>
      <c r="T271" s="90"/>
      <c r="U271" s="92" t="s">
        <v>214</v>
      </c>
      <c r="V271" s="93">
        <v>7</v>
      </c>
      <c r="W271" s="41">
        <f t="shared" ref="W271:W312" si="39">M271*C271</f>
        <v>-77180.005304795952</v>
      </c>
    </row>
    <row r="272" spans="1:23" ht="15" customHeight="1" x14ac:dyDescent="0.2">
      <c r="A272" s="41">
        <v>845</v>
      </c>
      <c r="B272" s="75" t="s">
        <v>187</v>
      </c>
      <c r="C272" s="61">
        <v>3239</v>
      </c>
      <c r="D272" s="59">
        <v>19.5</v>
      </c>
      <c r="E272" s="55">
        <v>7.1899999999999995</v>
      </c>
      <c r="F272" s="56">
        <v>4335.6371479431</v>
      </c>
      <c r="G272" s="56">
        <f t="shared" ref="G272:G312" si="40">H272+I272+J272</f>
        <v>-4411.4943969061505</v>
      </c>
      <c r="H272" s="57">
        <v>-1622.4492127199753</v>
      </c>
      <c r="I272" s="57">
        <v>-53.348425439950617</v>
      </c>
      <c r="J272" s="57">
        <f t="shared" ref="J272:J312" si="41">K272+L272+M272</f>
        <v>-2735.6967587462245</v>
      </c>
      <c r="K272" s="57">
        <v>-2498.3773253385407</v>
      </c>
      <c r="L272" s="57">
        <v>-116.46711332464527</v>
      </c>
      <c r="M272" s="57">
        <v>-120.85232008303882</v>
      </c>
      <c r="N272" s="56">
        <f t="shared" ref="N272:N312" si="42">F272+G272</f>
        <v>-75.857248963050552</v>
      </c>
      <c r="O272" s="56">
        <f t="shared" ref="O272:O312" si="43">C272*H272*0.001</f>
        <v>-5255.1130000000003</v>
      </c>
      <c r="P272" s="56">
        <f t="shared" ref="P272:P312" si="44">C272*I272*0.001</f>
        <v>-172.79555000000005</v>
      </c>
      <c r="Q272" s="56">
        <f t="shared" si="37"/>
        <v>-8860.9218015790211</v>
      </c>
      <c r="R272" s="95">
        <f t="shared" si="38"/>
        <v>14043.128722187703</v>
      </c>
      <c r="S272" s="63"/>
      <c r="T272" s="43"/>
      <c r="U272" s="92" t="s">
        <v>239</v>
      </c>
      <c r="V272" s="93">
        <v>1</v>
      </c>
      <c r="W272" s="41">
        <f t="shared" si="39"/>
        <v>-391440.66474896274</v>
      </c>
    </row>
    <row r="273" spans="1:23" ht="15" customHeight="1" x14ac:dyDescent="0.2">
      <c r="A273" s="41">
        <v>848</v>
      </c>
      <c r="B273" s="75" t="s">
        <v>188</v>
      </c>
      <c r="C273" s="61">
        <v>4794</v>
      </c>
      <c r="D273" s="59">
        <v>21.75</v>
      </c>
      <c r="E273" s="55">
        <v>9.44</v>
      </c>
      <c r="F273" s="56">
        <v>3840.8753746533102</v>
      </c>
      <c r="G273" s="56">
        <f t="shared" si="40"/>
        <v>-3834.7059204169545</v>
      </c>
      <c r="H273" s="57">
        <v>-1413.4791405924072</v>
      </c>
      <c r="I273" s="57">
        <v>-59.227951606174422</v>
      </c>
      <c r="J273" s="57">
        <f t="shared" si="41"/>
        <v>-2361.9988282183731</v>
      </c>
      <c r="K273" s="57">
        <v>-2661.4617127424644</v>
      </c>
      <c r="L273" s="57">
        <v>145.55604125212653</v>
      </c>
      <c r="M273" s="57">
        <v>153.9068432719651</v>
      </c>
      <c r="N273" s="56">
        <f t="shared" si="42"/>
        <v>6.1694542363557048</v>
      </c>
      <c r="O273" s="56">
        <f t="shared" si="43"/>
        <v>-6776.2190000000001</v>
      </c>
      <c r="P273" s="56">
        <f t="shared" si="44"/>
        <v>-283.93880000000019</v>
      </c>
      <c r="Q273" s="56">
        <f t="shared" si="37"/>
        <v>-11323.422382478881</v>
      </c>
      <c r="R273" s="95">
        <f t="shared" si="38"/>
        <v>18413.156546087968</v>
      </c>
      <c r="S273" s="63"/>
      <c r="T273" s="90"/>
      <c r="U273" s="92" t="s">
        <v>215</v>
      </c>
      <c r="V273" s="93">
        <v>3</v>
      </c>
      <c r="W273" s="41">
        <f t="shared" si="39"/>
        <v>737829.40664580069</v>
      </c>
    </row>
    <row r="274" spans="1:23" ht="15" customHeight="1" x14ac:dyDescent="0.2">
      <c r="A274" s="41">
        <v>849</v>
      </c>
      <c r="B274" s="75" t="s">
        <v>189</v>
      </c>
      <c r="C274" s="61">
        <v>3354</v>
      </c>
      <c r="D274" s="59">
        <v>21.5</v>
      </c>
      <c r="E274" s="55">
        <v>9.19</v>
      </c>
      <c r="F274" s="56">
        <v>3417.4152566155676</v>
      </c>
      <c r="G274" s="56">
        <f t="shared" si="40"/>
        <v>-3410.0399622391606</v>
      </c>
      <c r="H274" s="57">
        <v>-1485.515205724508</v>
      </c>
      <c r="I274" s="57">
        <v>-54.411344663088855</v>
      </c>
      <c r="J274" s="57">
        <f t="shared" si="41"/>
        <v>-1870.113411851564</v>
      </c>
      <c r="K274" s="57">
        <v>-1863.9205043904037</v>
      </c>
      <c r="L274" s="57">
        <v>53.996190748487422</v>
      </c>
      <c r="M274" s="57">
        <v>-60.189098209647625</v>
      </c>
      <c r="N274" s="56">
        <f t="shared" si="42"/>
        <v>7.3752943764070551</v>
      </c>
      <c r="O274" s="56">
        <f t="shared" si="43"/>
        <v>-4982.4179999999997</v>
      </c>
      <c r="P274" s="56">
        <f t="shared" si="44"/>
        <v>-182.49565000000004</v>
      </c>
      <c r="Q274" s="56">
        <f t="shared" si="37"/>
        <v>-6272.3603833501465</v>
      </c>
      <c r="R274" s="95">
        <f t="shared" si="38"/>
        <v>11462.010770688614</v>
      </c>
      <c r="S274" s="63"/>
      <c r="T274" s="43"/>
      <c r="U274" s="92" t="s">
        <v>242</v>
      </c>
      <c r="V274" s="93">
        <v>2</v>
      </c>
      <c r="W274" s="41">
        <f t="shared" si="39"/>
        <v>-201874.23539515815</v>
      </c>
    </row>
    <row r="275" spans="1:23" ht="15" customHeight="1" x14ac:dyDescent="0.2">
      <c r="A275" s="41">
        <v>850</v>
      </c>
      <c r="B275" s="75" t="s">
        <v>190</v>
      </c>
      <c r="C275" s="61">
        <v>2472</v>
      </c>
      <c r="D275" s="59">
        <v>20.5</v>
      </c>
      <c r="E275" s="55">
        <v>8.19</v>
      </c>
      <c r="F275" s="56">
        <v>3191.1869033078096</v>
      </c>
      <c r="G275" s="56">
        <f t="shared" si="40"/>
        <v>-3183.8236787509495</v>
      </c>
      <c r="H275" s="57">
        <v>-1552.0469255663431</v>
      </c>
      <c r="I275" s="57">
        <v>-58.5741302588997</v>
      </c>
      <c r="J275" s="57">
        <f t="shared" si="41"/>
        <v>-1573.2026229257067</v>
      </c>
      <c r="K275" s="57">
        <v>-1689.2318703203387</v>
      </c>
      <c r="L275" s="57">
        <v>53.024448971735211</v>
      </c>
      <c r="M275" s="57">
        <v>63.004798422896783</v>
      </c>
      <c r="N275" s="56">
        <f t="shared" si="42"/>
        <v>7.363224556860132</v>
      </c>
      <c r="O275" s="56">
        <f t="shared" si="43"/>
        <v>-3836.66</v>
      </c>
      <c r="P275" s="56">
        <f t="shared" si="44"/>
        <v>-144.79525000000007</v>
      </c>
      <c r="Q275" s="56">
        <f t="shared" si="37"/>
        <v>-3888.9568838723471</v>
      </c>
      <c r="R275" s="95">
        <f t="shared" si="38"/>
        <v>7888.614024976906</v>
      </c>
      <c r="S275" s="63"/>
      <c r="T275" s="43"/>
      <c r="U275" s="92" t="s">
        <v>228</v>
      </c>
      <c r="V275" s="93">
        <v>2</v>
      </c>
      <c r="W275" s="41">
        <f t="shared" si="39"/>
        <v>155747.86170140083</v>
      </c>
    </row>
    <row r="276" spans="1:23" ht="15" customHeight="1" x14ac:dyDescent="0.2">
      <c r="A276" s="41">
        <v>851</v>
      </c>
      <c r="B276" s="75" t="s">
        <v>309</v>
      </c>
      <c r="C276" s="61">
        <v>22322</v>
      </c>
      <c r="D276" s="59">
        <v>20.5</v>
      </c>
      <c r="E276" s="55">
        <v>8.19</v>
      </c>
      <c r="F276" s="56">
        <v>3157.2060489168853</v>
      </c>
      <c r="G276" s="56">
        <f t="shared" si="40"/>
        <v>-3149.8377973799943</v>
      </c>
      <c r="H276" s="57">
        <v>-1893.0483827614014</v>
      </c>
      <c r="I276" s="57">
        <v>-38.84738150703344</v>
      </c>
      <c r="J276" s="57">
        <f t="shared" si="41"/>
        <v>-1217.9420331115596</v>
      </c>
      <c r="K276" s="57">
        <v>-1129.0871041467976</v>
      </c>
      <c r="L276" s="57">
        <v>-58.84735948685006</v>
      </c>
      <c r="M276" s="57">
        <v>-30.007569477911858</v>
      </c>
      <c r="N276" s="56">
        <f t="shared" si="42"/>
        <v>7.3682515368909662</v>
      </c>
      <c r="O276" s="56">
        <f t="shared" si="43"/>
        <v>-42256.626000000004</v>
      </c>
      <c r="P276" s="56">
        <f t="shared" si="44"/>
        <v>-867.15125000000046</v>
      </c>
      <c r="Q276" s="56">
        <f t="shared" si="37"/>
        <v>-27186.902063116235</v>
      </c>
      <c r="R276" s="95">
        <f t="shared" si="38"/>
        <v>70475.153423922719</v>
      </c>
      <c r="S276" s="63"/>
      <c r="T276" s="43"/>
      <c r="U276" s="92" t="s">
        <v>231</v>
      </c>
      <c r="V276" s="93">
        <v>2</v>
      </c>
      <c r="W276" s="41">
        <f t="shared" si="39"/>
        <v>-669828.96588594851</v>
      </c>
    </row>
    <row r="277" spans="1:23" ht="15" customHeight="1" x14ac:dyDescent="0.2">
      <c r="A277" s="41">
        <v>186</v>
      </c>
      <c r="B277" s="75" t="s">
        <v>252</v>
      </c>
      <c r="C277" s="61">
        <v>40390</v>
      </c>
      <c r="D277" s="59">
        <v>19.75</v>
      </c>
      <c r="E277" s="55">
        <v>7.4399999999999995</v>
      </c>
      <c r="F277" s="56">
        <v>3006.4258360401659</v>
      </c>
      <c r="G277" s="56">
        <f t="shared" si="40"/>
        <v>-3000.021892712678</v>
      </c>
      <c r="H277" s="57">
        <v>-2431.9864818024262</v>
      </c>
      <c r="I277" s="57">
        <v>-34.138962614508557</v>
      </c>
      <c r="J277" s="57">
        <f t="shared" si="41"/>
        <v>-533.8964482957432</v>
      </c>
      <c r="K277" s="57">
        <v>-294.33928186279411</v>
      </c>
      <c r="L277" s="57">
        <v>-145.22362499302903</v>
      </c>
      <c r="M277" s="57">
        <v>-94.333541439920054</v>
      </c>
      <c r="N277" s="56">
        <f t="shared" si="42"/>
        <v>6.4039433274879229</v>
      </c>
      <c r="O277" s="56">
        <f t="shared" si="43"/>
        <v>-98227.934000000008</v>
      </c>
      <c r="P277" s="56">
        <f t="shared" si="44"/>
        <v>-1378.8727000000006</v>
      </c>
      <c r="Q277" s="56">
        <f t="shared" si="37"/>
        <v>-21564.07754666507</v>
      </c>
      <c r="R277" s="95">
        <f t="shared" si="38"/>
        <v>121429.5395176623</v>
      </c>
      <c r="S277" s="63"/>
      <c r="T277" s="43"/>
      <c r="U277" s="92" t="s">
        <v>231</v>
      </c>
      <c r="V277" s="93">
        <v>5</v>
      </c>
      <c r="W277" s="41">
        <f t="shared" si="39"/>
        <v>-3810131.7387583712</v>
      </c>
    </row>
    <row r="278" spans="1:23" ht="15" customHeight="1" x14ac:dyDescent="0.2">
      <c r="A278" s="41">
        <v>858</v>
      </c>
      <c r="B278" s="75" t="s">
        <v>311</v>
      </c>
      <c r="C278" s="61">
        <v>38198</v>
      </c>
      <c r="D278" s="59">
        <v>19.5</v>
      </c>
      <c r="E278" s="55">
        <v>7.1899999999999995</v>
      </c>
      <c r="F278" s="56">
        <v>2785.3392021274881</v>
      </c>
      <c r="G278" s="56">
        <f t="shared" si="40"/>
        <v>-2778.9335483843283</v>
      </c>
      <c r="H278" s="57">
        <v>-2576.0214147337556</v>
      </c>
      <c r="I278" s="57">
        <v>-56.033017435467841</v>
      </c>
      <c r="J278" s="57">
        <f t="shared" si="41"/>
        <v>-146.87911621510511</v>
      </c>
      <c r="K278" s="57">
        <v>-170.36331990256323</v>
      </c>
      <c r="L278" s="57">
        <v>40.71046761341735</v>
      </c>
      <c r="M278" s="57">
        <v>-17.226263925959245</v>
      </c>
      <c r="N278" s="56">
        <f t="shared" si="42"/>
        <v>6.4056537431597462</v>
      </c>
      <c r="O278" s="56">
        <f t="shared" si="43"/>
        <v>-98398.866000000009</v>
      </c>
      <c r="P278" s="56">
        <f t="shared" si="44"/>
        <v>-2140.3492000000006</v>
      </c>
      <c r="Q278" s="56">
        <f t="shared" si="37"/>
        <v>-5610.488481184585</v>
      </c>
      <c r="R278" s="95">
        <f t="shared" si="38"/>
        <v>106394.3868428658</v>
      </c>
      <c r="S278" s="63"/>
      <c r="T278" s="43"/>
      <c r="U278" s="92" t="s">
        <v>222</v>
      </c>
      <c r="V278" s="93">
        <v>2</v>
      </c>
      <c r="W278" s="41">
        <f t="shared" si="39"/>
        <v>-658008.82944379118</v>
      </c>
    </row>
    <row r="279" spans="1:23" ht="15" customHeight="1" x14ac:dyDescent="0.2">
      <c r="A279" s="41">
        <v>857</v>
      </c>
      <c r="B279" s="75" t="s">
        <v>192</v>
      </c>
      <c r="C279" s="61">
        <v>2750</v>
      </c>
      <c r="D279" s="59">
        <v>22</v>
      </c>
      <c r="E279" s="55">
        <v>9.69</v>
      </c>
      <c r="F279" s="56">
        <v>4503.1709694702449</v>
      </c>
      <c r="G279" s="56">
        <f t="shared" si="40"/>
        <v>-4495.7831655241525</v>
      </c>
      <c r="H279" s="57">
        <v>-1341.8930909090909</v>
      </c>
      <c r="I279" s="57">
        <v>-83.242181818181834</v>
      </c>
      <c r="J279" s="57">
        <f t="shared" si="41"/>
        <v>-3070.6478927968797</v>
      </c>
      <c r="K279" s="57">
        <v>-3073.7964419392388</v>
      </c>
      <c r="L279" s="57">
        <v>-2.1744636256040164</v>
      </c>
      <c r="M279" s="57">
        <v>5.3230127679632346</v>
      </c>
      <c r="N279" s="56">
        <f t="shared" si="42"/>
        <v>7.3878039460923901</v>
      </c>
      <c r="O279" s="56">
        <f t="shared" si="43"/>
        <v>-3690.2060000000001</v>
      </c>
      <c r="P279" s="56">
        <f t="shared" si="44"/>
        <v>-228.91600000000003</v>
      </c>
      <c r="Q279" s="56">
        <f t="shared" si="37"/>
        <v>-8444.281705191419</v>
      </c>
      <c r="R279" s="95">
        <f t="shared" si="38"/>
        <v>12383.720166043175</v>
      </c>
      <c r="S279" s="63"/>
      <c r="T279" s="90"/>
      <c r="U279" s="92" t="s">
        <v>219</v>
      </c>
      <c r="V279" s="93">
        <v>7</v>
      </c>
      <c r="W279" s="41">
        <f t="shared" si="39"/>
        <v>14638.285111898895</v>
      </c>
    </row>
    <row r="280" spans="1:23" ht="15" customHeight="1" x14ac:dyDescent="0.2">
      <c r="A280" s="41">
        <v>859</v>
      </c>
      <c r="B280" s="75" t="s">
        <v>193</v>
      </c>
      <c r="C280" s="61">
        <v>6735</v>
      </c>
      <c r="D280" s="59">
        <v>20.5</v>
      </c>
      <c r="E280" s="55">
        <v>8.19</v>
      </c>
      <c r="F280" s="56">
        <v>2908.5612384439414</v>
      </c>
      <c r="G280" s="56">
        <f t="shared" si="40"/>
        <v>-2901.2111251202423</v>
      </c>
      <c r="H280" s="57">
        <v>-1415.0776540460281</v>
      </c>
      <c r="I280" s="57">
        <v>-22.347750556792885</v>
      </c>
      <c r="J280" s="57">
        <f t="shared" si="41"/>
        <v>-1463.7857205174216</v>
      </c>
      <c r="K280" s="57">
        <v>-1023.4848339302597</v>
      </c>
      <c r="L280" s="57">
        <v>-198.98781254290449</v>
      </c>
      <c r="M280" s="57">
        <v>-241.31307404425746</v>
      </c>
      <c r="N280" s="56">
        <f t="shared" si="42"/>
        <v>7.3501133236991336</v>
      </c>
      <c r="O280" s="56">
        <f t="shared" si="43"/>
        <v>-9530.5480000000007</v>
      </c>
      <c r="P280" s="56">
        <f t="shared" si="44"/>
        <v>-150.51210000000009</v>
      </c>
      <c r="Q280" s="56">
        <f t="shared" si="37"/>
        <v>-9858.5968276848344</v>
      </c>
      <c r="R280" s="95">
        <f t="shared" si="38"/>
        <v>19589.159940919948</v>
      </c>
      <c r="S280" s="63"/>
      <c r="T280" s="43"/>
      <c r="U280" s="92" t="s">
        <v>239</v>
      </c>
      <c r="V280" s="93">
        <v>2</v>
      </c>
      <c r="W280" s="41">
        <f t="shared" si="39"/>
        <v>-1625243.553688074</v>
      </c>
    </row>
    <row r="281" spans="1:23" ht="15" customHeight="1" x14ac:dyDescent="0.2">
      <c r="A281" s="41">
        <v>833</v>
      </c>
      <c r="B281" s="75" t="s">
        <v>306</v>
      </c>
      <c r="C281" s="61">
        <v>1645</v>
      </c>
      <c r="D281" s="59">
        <v>20.75</v>
      </c>
      <c r="E281" s="55">
        <v>8.44</v>
      </c>
      <c r="F281" s="56">
        <v>3540.610412346552</v>
      </c>
      <c r="G281" s="56">
        <f t="shared" si="40"/>
        <v>-3533.2289849862564</v>
      </c>
      <c r="H281" s="57">
        <v>-1707.4024316109424</v>
      </c>
      <c r="I281" s="57">
        <v>-41.002765957446819</v>
      </c>
      <c r="J281" s="57">
        <f t="shared" si="41"/>
        <v>-1784.8237874178669</v>
      </c>
      <c r="K281" s="57">
        <v>-2336.2794865745509</v>
      </c>
      <c r="L281" s="57">
        <v>242.46711401027807</v>
      </c>
      <c r="M281" s="57">
        <v>308.98858514640574</v>
      </c>
      <c r="N281" s="56">
        <f t="shared" si="42"/>
        <v>7.3814273602956746</v>
      </c>
      <c r="O281" s="56">
        <f t="shared" si="43"/>
        <v>-2808.6770000000001</v>
      </c>
      <c r="P281" s="56">
        <f t="shared" si="44"/>
        <v>-67.449550000000016</v>
      </c>
      <c r="Q281" s="56">
        <f t="shared" si="37"/>
        <v>-2936.0351303023913</v>
      </c>
      <c r="R281" s="95">
        <f t="shared" si="38"/>
        <v>5824.3041283100783</v>
      </c>
      <c r="S281" s="63"/>
      <c r="T281" s="43"/>
      <c r="U281" s="92" t="s">
        <v>216</v>
      </c>
      <c r="V281" s="93">
        <v>2</v>
      </c>
      <c r="W281" s="41">
        <f t="shared" si="39"/>
        <v>508286.22256583744</v>
      </c>
    </row>
    <row r="282" spans="1:23" ht="15" customHeight="1" x14ac:dyDescent="0.2">
      <c r="A282" s="41">
        <v>564</v>
      </c>
      <c r="B282" s="75" t="s">
        <v>287</v>
      </c>
      <c r="C282" s="61">
        <v>196291</v>
      </c>
      <c r="D282" s="59">
        <v>20</v>
      </c>
      <c r="E282" s="55">
        <v>7.6899999999999995</v>
      </c>
      <c r="F282" s="56">
        <v>2948.6565605864198</v>
      </c>
      <c r="G282" s="56">
        <f t="shared" si="40"/>
        <v>-2942.8844804712576</v>
      </c>
      <c r="H282" s="57">
        <v>-2001.1655806939696</v>
      </c>
      <c r="I282" s="57">
        <v>-55.679016358365921</v>
      </c>
      <c r="J282" s="57">
        <f t="shared" si="41"/>
        <v>-886.03988341892227</v>
      </c>
      <c r="K282" s="57">
        <v>-792.41061843703187</v>
      </c>
      <c r="L282" s="57">
        <v>-78.698937592378755</v>
      </c>
      <c r="M282" s="57">
        <v>-14.930327389511618</v>
      </c>
      <c r="N282" s="56">
        <f t="shared" si="42"/>
        <v>5.7720801151622254</v>
      </c>
      <c r="O282" s="56">
        <f t="shared" si="43"/>
        <v>-392810.79300000001</v>
      </c>
      <c r="P282" s="56">
        <f t="shared" si="44"/>
        <v>-10929.289800000004</v>
      </c>
      <c r="Q282" s="56">
        <f t="shared" si="37"/>
        <v>-173921.65475618368</v>
      </c>
      <c r="R282" s="95">
        <f t="shared" si="38"/>
        <v>578794.74493406888</v>
      </c>
      <c r="S282" s="63"/>
      <c r="T282" s="43"/>
      <c r="U282" s="92" t="s">
        <v>219</v>
      </c>
      <c r="V282" s="93">
        <v>1</v>
      </c>
      <c r="W282" s="41">
        <f t="shared" si="39"/>
        <v>-2930688.8936146251</v>
      </c>
    </row>
    <row r="283" spans="1:23" ht="15" customHeight="1" x14ac:dyDescent="0.2">
      <c r="A283" s="41">
        <v>886</v>
      </c>
      <c r="B283" s="75" t="s">
        <v>312</v>
      </c>
      <c r="C283" s="61">
        <v>13322</v>
      </c>
      <c r="D283" s="59">
        <v>20.5</v>
      </c>
      <c r="E283" s="55">
        <v>8.19</v>
      </c>
      <c r="F283" s="56">
        <v>3202.8900203011849</v>
      </c>
      <c r="G283" s="56">
        <f t="shared" si="40"/>
        <v>-3195.5206271612237</v>
      </c>
      <c r="H283" s="57">
        <v>-1978.6053145173398</v>
      </c>
      <c r="I283" s="57">
        <v>-35.001054646449496</v>
      </c>
      <c r="J283" s="57">
        <f t="shared" si="41"/>
        <v>-1181.9142579974343</v>
      </c>
      <c r="K283" s="57">
        <v>-983.99340274306837</v>
      </c>
      <c r="L283" s="57">
        <v>-102.71684303984763</v>
      </c>
      <c r="M283" s="57">
        <v>-95.204012214518286</v>
      </c>
      <c r="N283" s="56">
        <f t="shared" si="42"/>
        <v>7.3693931399611756</v>
      </c>
      <c r="O283" s="56">
        <f t="shared" si="43"/>
        <v>-26358.98</v>
      </c>
      <c r="P283" s="56">
        <f t="shared" si="44"/>
        <v>-466.28405000000021</v>
      </c>
      <c r="Q283" s="56">
        <f t="shared" si="37"/>
        <v>-15745.461745041819</v>
      </c>
      <c r="R283" s="95">
        <f t="shared" si="38"/>
        <v>42668.900850452388</v>
      </c>
      <c r="S283" s="63"/>
      <c r="T283" s="90"/>
      <c r="U283" s="92" t="s">
        <v>218</v>
      </c>
      <c r="V283" s="93">
        <v>5</v>
      </c>
      <c r="W283" s="41">
        <f t="shared" si="39"/>
        <v>-1268307.8507218126</v>
      </c>
    </row>
    <row r="284" spans="1:23" ht="15" customHeight="1" x14ac:dyDescent="0.2">
      <c r="A284" s="41">
        <v>887</v>
      </c>
      <c r="B284" s="75" t="s">
        <v>194</v>
      </c>
      <c r="C284" s="61">
        <v>4984</v>
      </c>
      <c r="D284" s="59">
        <v>22</v>
      </c>
      <c r="E284" s="55">
        <v>9.69</v>
      </c>
      <c r="F284" s="56">
        <v>3419.8688667966735</v>
      </c>
      <c r="G284" s="56">
        <f t="shared" si="40"/>
        <v>-3412.4748782260367</v>
      </c>
      <c r="H284" s="57">
        <v>-1558.654695024077</v>
      </c>
      <c r="I284" s="57">
        <v>-57.390489566613176</v>
      </c>
      <c r="J284" s="57">
        <f t="shared" si="41"/>
        <v>-1796.4296936353464</v>
      </c>
      <c r="K284" s="57">
        <v>-2251.8641851539314</v>
      </c>
      <c r="L284" s="57">
        <v>262.72394434678893</v>
      </c>
      <c r="M284" s="57">
        <v>192.71054717179612</v>
      </c>
      <c r="N284" s="56">
        <f t="shared" si="42"/>
        <v>7.3939885706367932</v>
      </c>
      <c r="O284" s="56">
        <f t="shared" si="43"/>
        <v>-7768.335</v>
      </c>
      <c r="P284" s="56">
        <f t="shared" si="44"/>
        <v>-286.03420000000006</v>
      </c>
      <c r="Q284" s="56">
        <f t="shared" si="37"/>
        <v>-8953.4055930785671</v>
      </c>
      <c r="R284" s="95">
        <f t="shared" si="38"/>
        <v>17044.626432114619</v>
      </c>
      <c r="S284" s="63"/>
      <c r="T284" s="43"/>
      <c r="U284" s="92" t="s">
        <v>216</v>
      </c>
      <c r="V284" s="93">
        <v>3</v>
      </c>
      <c r="W284" s="41">
        <f t="shared" si="39"/>
        <v>960469.36710423185</v>
      </c>
    </row>
    <row r="285" spans="1:23" ht="15" customHeight="1" x14ac:dyDescent="0.2">
      <c r="A285" s="41">
        <v>889</v>
      </c>
      <c r="B285" s="75" t="s">
        <v>195</v>
      </c>
      <c r="C285" s="61">
        <v>2907</v>
      </c>
      <c r="D285" s="59">
        <v>20.5</v>
      </c>
      <c r="E285" s="55">
        <v>8.19</v>
      </c>
      <c r="F285" s="56">
        <v>3975.5886981671533</v>
      </c>
      <c r="G285" s="56">
        <f t="shared" si="40"/>
        <v>-4063.6360851613258</v>
      </c>
      <c r="H285" s="57">
        <v>-1366.3147574819402</v>
      </c>
      <c r="I285" s="57">
        <v>-99.002597179222619</v>
      </c>
      <c r="J285" s="57">
        <f t="shared" si="41"/>
        <v>-2598.3187305001629</v>
      </c>
      <c r="K285" s="57">
        <v>-2829.4233468913253</v>
      </c>
      <c r="L285" s="57">
        <v>236.26812416814136</v>
      </c>
      <c r="M285" s="57">
        <v>-5.1635077769789319</v>
      </c>
      <c r="N285" s="56">
        <f t="shared" si="42"/>
        <v>-88.047386994172484</v>
      </c>
      <c r="O285" s="56">
        <f t="shared" si="43"/>
        <v>-3971.877</v>
      </c>
      <c r="P285" s="56">
        <f t="shared" si="44"/>
        <v>-287.80055000000016</v>
      </c>
      <c r="Q285" s="56">
        <f t="shared" si="37"/>
        <v>-7553.3125495639733</v>
      </c>
      <c r="R285" s="95">
        <f t="shared" si="38"/>
        <v>11557.036345571914</v>
      </c>
      <c r="S285" s="63"/>
      <c r="T285" s="90"/>
      <c r="U285" s="92" t="s">
        <v>224</v>
      </c>
      <c r="V285" s="93">
        <v>4</v>
      </c>
      <c r="W285" s="41">
        <f t="shared" si="39"/>
        <v>-15010.317107677754</v>
      </c>
    </row>
    <row r="286" spans="1:23" ht="15" customHeight="1" x14ac:dyDescent="0.2">
      <c r="A286" s="41">
        <v>890</v>
      </c>
      <c r="B286" s="75" t="s">
        <v>196</v>
      </c>
      <c r="C286" s="61">
        <v>1260</v>
      </c>
      <c r="D286" s="59">
        <v>20.75</v>
      </c>
      <c r="E286" s="55">
        <v>8.44</v>
      </c>
      <c r="F286" s="56">
        <v>5196.4582756476175</v>
      </c>
      <c r="G286" s="56">
        <f t="shared" si="40"/>
        <v>-5189.0748835456798</v>
      </c>
      <c r="H286" s="57">
        <v>-1713.0190476190476</v>
      </c>
      <c r="I286" s="57">
        <v>-34.52277777777779</v>
      </c>
      <c r="J286" s="57">
        <f t="shared" si="41"/>
        <v>-3441.5330581488547</v>
      </c>
      <c r="K286" s="57">
        <v>-3550.2080213862864</v>
      </c>
      <c r="L286" s="57">
        <v>31.079764535876766</v>
      </c>
      <c r="M286" s="57">
        <v>77.595198701554978</v>
      </c>
      <c r="N286" s="56">
        <f t="shared" si="42"/>
        <v>7.3833921019377158</v>
      </c>
      <c r="O286" s="56">
        <f t="shared" si="43"/>
        <v>-2158.404</v>
      </c>
      <c r="P286" s="56">
        <f t="shared" si="44"/>
        <v>-43.498700000000021</v>
      </c>
      <c r="Q286" s="56">
        <f t="shared" si="37"/>
        <v>-4336.3316532675572</v>
      </c>
      <c r="R286" s="95">
        <f t="shared" si="38"/>
        <v>6547.5374273159978</v>
      </c>
      <c r="S286" s="63"/>
      <c r="T286" s="43"/>
      <c r="U286" s="92" t="s">
        <v>214</v>
      </c>
      <c r="V286" s="93">
        <v>2</v>
      </c>
      <c r="W286" s="41">
        <f t="shared" si="39"/>
        <v>97769.950363959273</v>
      </c>
    </row>
    <row r="287" spans="1:23" ht="15" customHeight="1" x14ac:dyDescent="0.2">
      <c r="A287" s="41">
        <v>892</v>
      </c>
      <c r="B287" s="75" t="s">
        <v>197</v>
      </c>
      <c r="C287" s="61">
        <v>3611</v>
      </c>
      <c r="D287" s="59">
        <v>20.5</v>
      </c>
      <c r="E287" s="55">
        <v>8.19</v>
      </c>
      <c r="F287" s="56">
        <v>2838.1552986862048</v>
      </c>
      <c r="G287" s="56">
        <f t="shared" si="40"/>
        <v>-2830.7947014412521</v>
      </c>
      <c r="H287" s="57">
        <v>-1461.6106341733591</v>
      </c>
      <c r="I287" s="57">
        <v>-47.305330933259512</v>
      </c>
      <c r="J287" s="57">
        <f t="shared" si="41"/>
        <v>-1321.8787363346337</v>
      </c>
      <c r="K287" s="57">
        <v>-1316.5498028553775</v>
      </c>
      <c r="L287" s="57">
        <v>14.036270198171561</v>
      </c>
      <c r="M287" s="57">
        <v>-19.365203677427722</v>
      </c>
      <c r="N287" s="56">
        <f t="shared" si="42"/>
        <v>7.3605972449527144</v>
      </c>
      <c r="O287" s="56">
        <f t="shared" si="43"/>
        <v>-5277.8760000000002</v>
      </c>
      <c r="P287" s="56">
        <f t="shared" si="44"/>
        <v>-170.81955000000011</v>
      </c>
      <c r="Q287" s="56">
        <f t="shared" si="37"/>
        <v>-4773.3041169043618</v>
      </c>
      <c r="R287" s="95">
        <f t="shared" si="38"/>
        <v>10248.578783555886</v>
      </c>
      <c r="S287" s="63"/>
      <c r="T287" s="43"/>
      <c r="U287" s="92" t="s">
        <v>216</v>
      </c>
      <c r="V287" s="93">
        <v>2</v>
      </c>
      <c r="W287" s="41">
        <f t="shared" si="39"/>
        <v>-69927.750479191498</v>
      </c>
    </row>
    <row r="288" spans="1:23" ht="15" customHeight="1" x14ac:dyDescent="0.2">
      <c r="A288" s="41">
        <v>785</v>
      </c>
      <c r="B288" s="75" t="s">
        <v>180</v>
      </c>
      <c r="C288" s="61">
        <v>3139</v>
      </c>
      <c r="D288" s="59">
        <v>21.5</v>
      </c>
      <c r="E288" s="55">
        <v>9.19</v>
      </c>
      <c r="F288" s="56">
        <v>4323.4084948302761</v>
      </c>
      <c r="G288" s="56">
        <f t="shared" si="40"/>
        <v>-4382.6324185430094</v>
      </c>
      <c r="H288" s="57">
        <v>-1469.3730487416374</v>
      </c>
      <c r="I288" s="57">
        <v>-62.223431028990156</v>
      </c>
      <c r="J288" s="57">
        <f t="shared" si="41"/>
        <v>-2851.035938772382</v>
      </c>
      <c r="K288" s="57">
        <v>-3303.0220519209697</v>
      </c>
      <c r="L288" s="57">
        <v>307.50303909836549</v>
      </c>
      <c r="M288" s="57">
        <v>144.48307405022194</v>
      </c>
      <c r="N288" s="56">
        <f t="shared" si="42"/>
        <v>-59.223923712733267</v>
      </c>
      <c r="O288" s="56">
        <f t="shared" si="43"/>
        <v>-4612.3620000000001</v>
      </c>
      <c r="P288" s="56">
        <f t="shared" si="44"/>
        <v>-195.3193500000001</v>
      </c>
      <c r="Q288" s="56">
        <f t="shared" si="37"/>
        <v>-8949.4018118065069</v>
      </c>
      <c r="R288" s="95">
        <f t="shared" si="38"/>
        <v>13571.179265272238</v>
      </c>
      <c r="S288" s="63"/>
      <c r="T288" s="90"/>
      <c r="U288" s="92" t="s">
        <v>248</v>
      </c>
      <c r="V288" s="93">
        <v>3</v>
      </c>
      <c r="W288" s="41">
        <f t="shared" si="39"/>
        <v>453532.36944364669</v>
      </c>
    </row>
    <row r="289" spans="1:23" ht="15" customHeight="1" x14ac:dyDescent="0.2">
      <c r="A289" s="41">
        <v>908</v>
      </c>
      <c r="B289" s="75" t="s">
        <v>198</v>
      </c>
      <c r="C289" s="61">
        <v>21162</v>
      </c>
      <c r="D289" s="59">
        <v>19.75</v>
      </c>
      <c r="E289" s="55">
        <v>7.4399999999999995</v>
      </c>
      <c r="F289" s="56">
        <v>3265.6894848959537</v>
      </c>
      <c r="G289" s="56">
        <f t="shared" si="40"/>
        <v>-3258.6422208789536</v>
      </c>
      <c r="H289" s="57">
        <v>-2024.0011341083073</v>
      </c>
      <c r="I289" s="57">
        <v>-58.033106511671868</v>
      </c>
      <c r="J289" s="57">
        <f t="shared" si="41"/>
        <v>-1176.6079802589741</v>
      </c>
      <c r="K289" s="57">
        <v>-1261.0981518139365</v>
      </c>
      <c r="L289" s="57">
        <v>29.91401717233882</v>
      </c>
      <c r="M289" s="57">
        <v>54.576154382623635</v>
      </c>
      <c r="N289" s="56">
        <f t="shared" si="42"/>
        <v>7.0472640170000886</v>
      </c>
      <c r="O289" s="56">
        <f t="shared" si="43"/>
        <v>-42831.912000000004</v>
      </c>
      <c r="P289" s="56">
        <f t="shared" si="44"/>
        <v>-1228.0966000000001</v>
      </c>
      <c r="Q289" s="56">
        <f t="shared" si="37"/>
        <v>-24899.37807824041</v>
      </c>
      <c r="R289" s="95">
        <f t="shared" si="38"/>
        <v>69108.520879368167</v>
      </c>
      <c r="S289" s="63"/>
      <c r="T289" s="90"/>
      <c r="U289" s="92" t="s">
        <v>248</v>
      </c>
      <c r="V289" s="93">
        <v>6</v>
      </c>
      <c r="W289" s="41">
        <f t="shared" si="39"/>
        <v>1154940.5790450813</v>
      </c>
    </row>
    <row r="290" spans="1:23" ht="15" customHeight="1" x14ac:dyDescent="0.2">
      <c r="A290" s="41">
        <v>911</v>
      </c>
      <c r="B290" s="75" t="s">
        <v>199</v>
      </c>
      <c r="C290" s="61">
        <v>2362</v>
      </c>
      <c r="D290" s="59">
        <v>21</v>
      </c>
      <c r="E290" s="55">
        <v>8.69</v>
      </c>
      <c r="F290" s="56">
        <v>4955.5281210938128</v>
      </c>
      <c r="G290" s="56">
        <f t="shared" si="40"/>
        <v>-4948.1538091418706</v>
      </c>
      <c r="H290" s="57">
        <v>-1338.2718035563082</v>
      </c>
      <c r="I290" s="57">
        <v>-136.70436071126167</v>
      </c>
      <c r="J290" s="57">
        <f t="shared" si="41"/>
        <v>-3473.1776448743008</v>
      </c>
      <c r="K290" s="57">
        <v>-3512.9505198181714</v>
      </c>
      <c r="L290" s="57">
        <v>12.750792238154551</v>
      </c>
      <c r="M290" s="57">
        <v>27.022082705715832</v>
      </c>
      <c r="N290" s="56">
        <f t="shared" si="42"/>
        <v>7.374311951942218</v>
      </c>
      <c r="O290" s="56">
        <f t="shared" si="43"/>
        <v>-3160.998</v>
      </c>
      <c r="P290" s="56">
        <f t="shared" si="44"/>
        <v>-322.89570000000009</v>
      </c>
      <c r="Q290" s="56">
        <f t="shared" si="37"/>
        <v>-8203.6455971930991</v>
      </c>
      <c r="R290" s="95">
        <f t="shared" si="38"/>
        <v>11704.957422023585</v>
      </c>
      <c r="S290" s="63"/>
      <c r="T290" s="43"/>
      <c r="U290" s="92" t="s">
        <v>214</v>
      </c>
      <c r="V290" s="93">
        <v>5</v>
      </c>
      <c r="W290" s="41">
        <f t="shared" si="39"/>
        <v>63826.159350900794</v>
      </c>
    </row>
    <row r="291" spans="1:23" ht="15" customHeight="1" x14ac:dyDescent="0.2">
      <c r="A291" s="41">
        <v>92</v>
      </c>
      <c r="B291" s="75" t="s">
        <v>316</v>
      </c>
      <c r="C291" s="61">
        <v>210803</v>
      </c>
      <c r="D291" s="59">
        <v>19</v>
      </c>
      <c r="E291" s="55">
        <v>6.6899999999999995</v>
      </c>
      <c r="F291" s="56">
        <v>2845.5029532697099</v>
      </c>
      <c r="G291" s="56">
        <f t="shared" si="40"/>
        <v>-2839.0993963183973</v>
      </c>
      <c r="H291" s="57">
        <v>-2400.6707257486846</v>
      </c>
      <c r="I291" s="57">
        <v>-102.05784025844041</v>
      </c>
      <c r="J291" s="57">
        <f t="shared" si="41"/>
        <v>-336.37083031127213</v>
      </c>
      <c r="K291" s="57">
        <v>-199.25712412061611</v>
      </c>
      <c r="L291" s="57">
        <v>-84.335341650742663</v>
      </c>
      <c r="M291" s="57">
        <v>-52.778364539913333</v>
      </c>
      <c r="N291" s="56">
        <f t="shared" si="42"/>
        <v>6.4035569513125665</v>
      </c>
      <c r="O291" s="56">
        <f t="shared" si="43"/>
        <v>-506068.59099999996</v>
      </c>
      <c r="P291" s="56">
        <f t="shared" si="44"/>
        <v>-21514.098900000015</v>
      </c>
      <c r="Q291" s="56">
        <f t="shared" si="37"/>
        <v>-70907.980142107102</v>
      </c>
      <c r="R291" s="95">
        <f t="shared" si="38"/>
        <v>599840.55905811465</v>
      </c>
      <c r="S291" s="63"/>
      <c r="T291" s="43"/>
      <c r="U291" s="92" t="s">
        <v>242</v>
      </c>
      <c r="V291" s="93">
        <v>2</v>
      </c>
      <c r="W291" s="41">
        <f t="shared" si="39"/>
        <v>-11125837.58010735</v>
      </c>
    </row>
    <row r="292" spans="1:23" ht="15" customHeight="1" x14ac:dyDescent="0.2">
      <c r="A292" s="41">
        <v>915</v>
      </c>
      <c r="B292" s="75" t="s">
        <v>200</v>
      </c>
      <c r="C292" s="61">
        <v>21860</v>
      </c>
      <c r="D292" s="59">
        <v>20.75</v>
      </c>
      <c r="E292" s="55">
        <v>8.44</v>
      </c>
      <c r="F292" s="56">
        <v>3731.6458830552897</v>
      </c>
      <c r="G292" s="56">
        <f t="shared" si="40"/>
        <v>-3724.7536904675208</v>
      </c>
      <c r="H292" s="57">
        <v>-1867.9171546203111</v>
      </c>
      <c r="I292" s="57">
        <v>-58.997424519670638</v>
      </c>
      <c r="J292" s="57">
        <f t="shared" si="41"/>
        <v>-1797.8391113275393</v>
      </c>
      <c r="K292" s="57">
        <v>-2041.8028350896598</v>
      </c>
      <c r="L292" s="57">
        <v>115.1836528993276</v>
      </c>
      <c r="M292" s="57">
        <v>128.78007086279288</v>
      </c>
      <c r="N292" s="56">
        <f t="shared" si="42"/>
        <v>6.8921925877689318</v>
      </c>
      <c r="O292" s="56">
        <f t="shared" si="43"/>
        <v>-40832.669000000002</v>
      </c>
      <c r="P292" s="56">
        <f t="shared" si="44"/>
        <v>-1289.6837000000003</v>
      </c>
      <c r="Q292" s="56">
        <f t="shared" si="37"/>
        <v>-39300.762973620011</v>
      </c>
      <c r="R292" s="95">
        <f t="shared" si="38"/>
        <v>81573.779003588628</v>
      </c>
      <c r="S292" s="63"/>
      <c r="T292" s="43"/>
      <c r="U292" s="92" t="s">
        <v>239</v>
      </c>
      <c r="V292" s="93">
        <v>5</v>
      </c>
      <c r="W292" s="41">
        <f t="shared" si="39"/>
        <v>2815132.3490606523</v>
      </c>
    </row>
    <row r="293" spans="1:23" ht="15" customHeight="1" x14ac:dyDescent="0.2">
      <c r="A293" s="41">
        <v>905</v>
      </c>
      <c r="B293" s="75" t="s">
        <v>315</v>
      </c>
      <c r="C293" s="61">
        <v>66965</v>
      </c>
      <c r="D293" s="59">
        <v>20</v>
      </c>
      <c r="E293" s="55">
        <v>7.6899999999999995</v>
      </c>
      <c r="F293" s="56">
        <v>3495.7617326350405</v>
      </c>
      <c r="G293" s="56">
        <f t="shared" si="40"/>
        <v>-3489.3936754290398</v>
      </c>
      <c r="H293" s="57">
        <v>-2087.7393265138503</v>
      </c>
      <c r="I293" s="57">
        <v>-150.62772194429928</v>
      </c>
      <c r="J293" s="57">
        <f t="shared" si="41"/>
        <v>-1251.0266269708904</v>
      </c>
      <c r="K293" s="57">
        <v>-823.02216810768027</v>
      </c>
      <c r="L293" s="57">
        <v>-252.23066481533709</v>
      </c>
      <c r="M293" s="57">
        <v>-175.77379404787308</v>
      </c>
      <c r="N293" s="56">
        <f t="shared" si="42"/>
        <v>6.3680572060006853</v>
      </c>
      <c r="O293" s="56">
        <f t="shared" si="43"/>
        <v>-139805.46400000001</v>
      </c>
      <c r="P293" s="56">
        <f t="shared" si="44"/>
        <v>-10086.785400000002</v>
      </c>
      <c r="Q293" s="56">
        <f t="shared" si="37"/>
        <v>-83774.998075105686</v>
      </c>
      <c r="R293" s="95">
        <f t="shared" si="38"/>
        <v>234093.68442590549</v>
      </c>
      <c r="S293" s="63"/>
      <c r="T293" s="90"/>
      <c r="U293" s="92" t="s">
        <v>219</v>
      </c>
      <c r="V293" s="93">
        <v>4</v>
      </c>
      <c r="W293" s="41">
        <f t="shared" si="39"/>
        <v>-11770692.118415821</v>
      </c>
    </row>
    <row r="294" spans="1:23" ht="15" customHeight="1" x14ac:dyDescent="0.2">
      <c r="A294" s="41">
        <v>918</v>
      </c>
      <c r="B294" s="75" t="s">
        <v>201</v>
      </c>
      <c r="C294" s="61">
        <v>2339</v>
      </c>
      <c r="D294" s="59">
        <v>21.5</v>
      </c>
      <c r="E294" s="55">
        <v>9.19</v>
      </c>
      <c r="F294" s="56">
        <v>4109.7290020005494</v>
      </c>
      <c r="G294" s="56">
        <f t="shared" si="40"/>
        <v>-4102.3674139907143</v>
      </c>
      <c r="H294" s="57">
        <v>-1543.1496365968362</v>
      </c>
      <c r="I294" s="57">
        <v>-47.414878153056883</v>
      </c>
      <c r="J294" s="57">
        <f t="shared" si="41"/>
        <v>-2511.8028992408213</v>
      </c>
      <c r="K294" s="57">
        <v>-1957.0073368440833</v>
      </c>
      <c r="L294" s="57">
        <v>-309.34784977641243</v>
      </c>
      <c r="M294" s="57">
        <v>-245.4477126203256</v>
      </c>
      <c r="N294" s="56">
        <f t="shared" si="42"/>
        <v>7.3615880098350317</v>
      </c>
      <c r="O294" s="56">
        <f t="shared" si="43"/>
        <v>-3609.4270000000001</v>
      </c>
      <c r="P294" s="56">
        <f t="shared" si="44"/>
        <v>-110.90340000000006</v>
      </c>
      <c r="Q294" s="56">
        <f t="shared" si="37"/>
        <v>-5875.1069813242812</v>
      </c>
      <c r="R294" s="95">
        <f t="shared" si="38"/>
        <v>9612.6561356792845</v>
      </c>
      <c r="S294" s="63"/>
      <c r="T294" s="43"/>
      <c r="U294" s="92" t="s">
        <v>219</v>
      </c>
      <c r="V294" s="93">
        <v>2</v>
      </c>
      <c r="W294" s="41">
        <f t="shared" si="39"/>
        <v>-574102.19981894153</v>
      </c>
    </row>
    <row r="295" spans="1:23" ht="15" customHeight="1" x14ac:dyDescent="0.2">
      <c r="A295" s="41">
        <v>921</v>
      </c>
      <c r="B295" s="75" t="s">
        <v>202</v>
      </c>
      <c r="C295" s="61">
        <v>2244</v>
      </c>
      <c r="D295" s="59">
        <v>21</v>
      </c>
      <c r="E295" s="55">
        <v>8.69</v>
      </c>
      <c r="F295" s="56">
        <v>4949.7780690838299</v>
      </c>
      <c r="G295" s="56">
        <f t="shared" si="40"/>
        <v>-4942.389460175169</v>
      </c>
      <c r="H295" s="57">
        <v>-1282.5757575757575</v>
      </c>
      <c r="I295" s="57">
        <v>-75.927027629233535</v>
      </c>
      <c r="J295" s="57">
        <f t="shared" si="41"/>
        <v>-3583.8866749701779</v>
      </c>
      <c r="K295" s="57">
        <v>-3718.9996814406127</v>
      </c>
      <c r="L295" s="57">
        <v>86.057115043851894</v>
      </c>
      <c r="M295" s="57">
        <v>49.055891426583152</v>
      </c>
      <c r="N295" s="56">
        <f t="shared" si="42"/>
        <v>7.388608908660899</v>
      </c>
      <c r="O295" s="56">
        <f t="shared" si="43"/>
        <v>-2878.1</v>
      </c>
      <c r="P295" s="56">
        <f t="shared" si="44"/>
        <v>-170.38025000000007</v>
      </c>
      <c r="Q295" s="56">
        <f t="shared" si="37"/>
        <v>-8042.24169863308</v>
      </c>
      <c r="R295" s="95">
        <f t="shared" si="38"/>
        <v>11107.301987024113</v>
      </c>
      <c r="S295" s="63"/>
      <c r="T295" s="43"/>
      <c r="U295" s="92" t="s">
        <v>239</v>
      </c>
      <c r="V295" s="93">
        <v>2</v>
      </c>
      <c r="W295" s="41">
        <f t="shared" si="39"/>
        <v>110081.42036125259</v>
      </c>
    </row>
    <row r="296" spans="1:23" ht="15" customHeight="1" x14ac:dyDescent="0.2">
      <c r="A296" s="41">
        <v>922</v>
      </c>
      <c r="B296" s="75" t="s">
        <v>203</v>
      </c>
      <c r="C296" s="61">
        <v>4492</v>
      </c>
      <c r="D296" s="59">
        <v>21.5</v>
      </c>
      <c r="E296" s="55">
        <v>9.19</v>
      </c>
      <c r="F296" s="56">
        <v>3148.690230797079</v>
      </c>
      <c r="G296" s="56">
        <f t="shared" si="40"/>
        <v>-3141.3290827862247</v>
      </c>
      <c r="H296" s="57">
        <v>-1795.8125556544969</v>
      </c>
      <c r="I296" s="57">
        <v>-31.392008014247569</v>
      </c>
      <c r="J296" s="57">
        <f t="shared" si="41"/>
        <v>-1314.1245191174803</v>
      </c>
      <c r="K296" s="57">
        <v>-907.86866413357086</v>
      </c>
      <c r="L296" s="57">
        <v>-213.02542280186705</v>
      </c>
      <c r="M296" s="57">
        <v>-193.23043218204236</v>
      </c>
      <c r="N296" s="56">
        <f t="shared" si="42"/>
        <v>7.3611480108543219</v>
      </c>
      <c r="O296" s="56">
        <f t="shared" si="43"/>
        <v>-8066.79</v>
      </c>
      <c r="P296" s="56">
        <f t="shared" si="44"/>
        <v>-141.01290000000009</v>
      </c>
      <c r="Q296" s="56">
        <f t="shared" si="37"/>
        <v>-5903.0473398757213</v>
      </c>
      <c r="R296" s="95">
        <f t="shared" si="38"/>
        <v>14143.916516740479</v>
      </c>
      <c r="S296" s="63"/>
      <c r="T296" s="43"/>
      <c r="U296" s="92" t="s">
        <v>214</v>
      </c>
      <c r="V296" s="93">
        <v>2</v>
      </c>
      <c r="W296" s="41">
        <f t="shared" si="39"/>
        <v>-867991.10136173433</v>
      </c>
    </row>
    <row r="297" spans="1:23" ht="15" customHeight="1" x14ac:dyDescent="0.2">
      <c r="A297" s="41">
        <v>924</v>
      </c>
      <c r="B297" s="75" t="s">
        <v>317</v>
      </c>
      <c r="C297" s="61">
        <v>3342</v>
      </c>
      <c r="D297" s="59">
        <v>22</v>
      </c>
      <c r="E297" s="55">
        <v>9.69</v>
      </c>
      <c r="F297" s="56">
        <v>3832.0965959211198</v>
      </c>
      <c r="G297" s="56">
        <f t="shared" si="40"/>
        <v>-3825.0607314395643</v>
      </c>
      <c r="H297" s="57">
        <v>-1507.9548174745662</v>
      </c>
      <c r="I297" s="57">
        <v>-77.383198683423146</v>
      </c>
      <c r="J297" s="57">
        <f t="shared" si="41"/>
        <v>-2239.7227152815749</v>
      </c>
      <c r="K297" s="57">
        <v>-2141.0130088766409</v>
      </c>
      <c r="L297" s="57">
        <v>-21.568661438059003</v>
      </c>
      <c r="M297" s="57">
        <v>-77.141044966874915</v>
      </c>
      <c r="N297" s="56">
        <f t="shared" si="42"/>
        <v>7.0358644815555635</v>
      </c>
      <c r="O297" s="56">
        <f t="shared" si="43"/>
        <v>-5039.585</v>
      </c>
      <c r="P297" s="56">
        <f t="shared" si="44"/>
        <v>-258.61465000000015</v>
      </c>
      <c r="Q297" s="56">
        <f t="shared" si="37"/>
        <v>-7485.1533144710229</v>
      </c>
      <c r="R297" s="95">
        <f t="shared" si="38"/>
        <v>12806.866823568384</v>
      </c>
      <c r="S297" s="63"/>
      <c r="T297" s="90"/>
      <c r="U297" s="92" t="s">
        <v>228</v>
      </c>
      <c r="V297" s="93">
        <v>2</v>
      </c>
      <c r="W297" s="41">
        <f t="shared" si="39"/>
        <v>-257805.37227929596</v>
      </c>
    </row>
    <row r="298" spans="1:23" ht="15" customHeight="1" x14ac:dyDescent="0.2">
      <c r="A298" s="41">
        <v>927</v>
      </c>
      <c r="B298" s="75" t="s">
        <v>318</v>
      </c>
      <c r="C298" s="61">
        <v>28995</v>
      </c>
      <c r="D298" s="59">
        <v>20.5</v>
      </c>
      <c r="E298" s="55">
        <v>8.19</v>
      </c>
      <c r="F298" s="56">
        <v>2814.6760740818054</v>
      </c>
      <c r="G298" s="56">
        <f t="shared" si="40"/>
        <v>-2807.3127784633489</v>
      </c>
      <c r="H298" s="57">
        <v>-2255.4474909467149</v>
      </c>
      <c r="I298" s="57">
        <v>-34.704883600620818</v>
      </c>
      <c r="J298" s="57">
        <f t="shared" si="41"/>
        <v>-517.16040391601337</v>
      </c>
      <c r="K298" s="57">
        <v>-370.46891270400732</v>
      </c>
      <c r="L298" s="57">
        <v>-101.62076197915624</v>
      </c>
      <c r="M298" s="57">
        <v>-45.070729232849786</v>
      </c>
      <c r="N298" s="56">
        <f t="shared" si="42"/>
        <v>7.3632956184565046</v>
      </c>
      <c r="O298" s="56">
        <f t="shared" si="43"/>
        <v>-65396.700000000004</v>
      </c>
      <c r="P298" s="56">
        <f t="shared" si="44"/>
        <v>-1006.2681000000006</v>
      </c>
      <c r="Q298" s="56">
        <f t="shared" si="37"/>
        <v>-14995.065911544807</v>
      </c>
      <c r="R298" s="95">
        <f t="shared" si="38"/>
        <v>81611.53276800194</v>
      </c>
      <c r="S298" s="63"/>
      <c r="T298" s="90"/>
      <c r="U298" s="92" t="s">
        <v>218</v>
      </c>
      <c r="V298" s="93">
        <v>5</v>
      </c>
      <c r="W298" s="41">
        <f t="shared" si="39"/>
        <v>-1306825.7941064795</v>
      </c>
    </row>
    <row r="299" spans="1:23" ht="15" customHeight="1" x14ac:dyDescent="0.2">
      <c r="A299" s="41">
        <v>925</v>
      </c>
      <c r="B299" s="75" t="s">
        <v>204</v>
      </c>
      <c r="C299" s="61">
        <v>3816</v>
      </c>
      <c r="D299" s="59">
        <v>21</v>
      </c>
      <c r="E299" s="55">
        <v>8.69</v>
      </c>
      <c r="F299" s="56">
        <v>3738.3030330502775</v>
      </c>
      <c r="G299" s="56">
        <f t="shared" si="40"/>
        <v>-3732.0196765869696</v>
      </c>
      <c r="H299" s="57">
        <v>-1443.1449161425576</v>
      </c>
      <c r="I299" s="57">
        <v>-183.24147012578626</v>
      </c>
      <c r="J299" s="57">
        <f t="shared" si="41"/>
        <v>-2105.6332903186258</v>
      </c>
      <c r="K299" s="57">
        <v>-2235.515924150151</v>
      </c>
      <c r="L299" s="57">
        <v>78.673673416287215</v>
      </c>
      <c r="M299" s="57">
        <v>51.208960415238153</v>
      </c>
      <c r="N299" s="56">
        <f t="shared" si="42"/>
        <v>6.2833564633078822</v>
      </c>
      <c r="O299" s="56">
        <f t="shared" si="43"/>
        <v>-5507.0410000000002</v>
      </c>
      <c r="P299" s="56">
        <f t="shared" si="44"/>
        <v>-699.24945000000048</v>
      </c>
      <c r="Q299" s="56">
        <f t="shared" si="37"/>
        <v>-8035.0966358558762</v>
      </c>
      <c r="R299" s="95">
        <f t="shared" si="38"/>
        <v>14265.364374119859</v>
      </c>
      <c r="S299" s="63"/>
      <c r="T299" s="43"/>
      <c r="U299" s="92" t="s">
        <v>239</v>
      </c>
      <c r="V299" s="93">
        <v>2</v>
      </c>
      <c r="W299" s="41">
        <f t="shared" si="39"/>
        <v>195413.3929445488</v>
      </c>
    </row>
    <row r="300" spans="1:23" ht="15" customHeight="1" x14ac:dyDescent="0.2">
      <c r="A300" s="41">
        <v>931</v>
      </c>
      <c r="B300" s="75" t="s">
        <v>205</v>
      </c>
      <c r="C300" s="61">
        <v>6780</v>
      </c>
      <c r="D300" s="59">
        <v>21</v>
      </c>
      <c r="E300" s="55">
        <v>8.69</v>
      </c>
      <c r="F300" s="56">
        <v>4284.7797563474469</v>
      </c>
      <c r="G300" s="56">
        <f t="shared" si="40"/>
        <v>-4277.3941958510713</v>
      </c>
      <c r="H300" s="57">
        <v>-1468.5020648967552</v>
      </c>
      <c r="I300" s="57">
        <v>-95.639284660767004</v>
      </c>
      <c r="J300" s="57">
        <f t="shared" si="41"/>
        <v>-2713.2528462935493</v>
      </c>
      <c r="K300" s="57">
        <v>-2944.4384309000411</v>
      </c>
      <c r="L300" s="57">
        <v>132.10820187845007</v>
      </c>
      <c r="M300" s="57">
        <v>99.077382728041982</v>
      </c>
      <c r="N300" s="56">
        <f t="shared" si="42"/>
        <v>7.3855604963755468</v>
      </c>
      <c r="O300" s="56">
        <f t="shared" si="43"/>
        <v>-9956.4439999999995</v>
      </c>
      <c r="P300" s="56">
        <f t="shared" si="44"/>
        <v>-648.43435000000034</v>
      </c>
      <c r="Q300" s="56">
        <f t="shared" si="37"/>
        <v>-18395.854297870264</v>
      </c>
      <c r="R300" s="95">
        <f t="shared" si="38"/>
        <v>29050.806748035691</v>
      </c>
      <c r="S300" s="63"/>
      <c r="T300" s="43"/>
      <c r="U300" s="92" t="s">
        <v>231</v>
      </c>
      <c r="V300" s="93">
        <v>3</v>
      </c>
      <c r="W300" s="41">
        <f t="shared" si="39"/>
        <v>671744.65489612462</v>
      </c>
    </row>
    <row r="301" spans="1:23" ht="15" customHeight="1" x14ac:dyDescent="0.2">
      <c r="A301" s="41">
        <v>405</v>
      </c>
      <c r="B301" s="75" t="s">
        <v>271</v>
      </c>
      <c r="C301" s="61">
        <v>72794</v>
      </c>
      <c r="D301" s="59">
        <v>21</v>
      </c>
      <c r="E301" s="55">
        <v>8.69</v>
      </c>
      <c r="F301" s="56">
        <v>3388.1385281876828</v>
      </c>
      <c r="G301" s="56">
        <f t="shared" si="40"/>
        <v>-3380.914367701942</v>
      </c>
      <c r="H301" s="57">
        <v>-1969.9004038794405</v>
      </c>
      <c r="I301" s="57">
        <v>-97.358171003104687</v>
      </c>
      <c r="J301" s="57">
        <f t="shared" si="41"/>
        <v>-1313.6557928193968</v>
      </c>
      <c r="K301" s="57">
        <v>-1228.9929511760386</v>
      </c>
      <c r="L301" s="57">
        <v>-89.744859753157783</v>
      </c>
      <c r="M301" s="57">
        <v>5.0820181097994066</v>
      </c>
      <c r="N301" s="56">
        <f t="shared" si="42"/>
        <v>7.2241604857408674</v>
      </c>
      <c r="O301" s="56">
        <f t="shared" si="43"/>
        <v>-143396.93</v>
      </c>
      <c r="P301" s="56">
        <f t="shared" si="44"/>
        <v>-7087.0907000000034</v>
      </c>
      <c r="Q301" s="56">
        <f t="shared" si="37"/>
        <v>-95626.259782495166</v>
      </c>
      <c r="R301" s="95">
        <f t="shared" si="38"/>
        <v>246636.15602089418</v>
      </c>
      <c r="S301" s="63"/>
      <c r="T301" s="43"/>
      <c r="U301" s="92" t="s">
        <v>215</v>
      </c>
      <c r="V301" s="93">
        <v>2</v>
      </c>
      <c r="W301" s="41">
        <f t="shared" si="39"/>
        <v>369940.426284738</v>
      </c>
    </row>
    <row r="302" spans="1:23" ht="15" customHeight="1" x14ac:dyDescent="0.2">
      <c r="A302" s="41">
        <v>934</v>
      </c>
      <c r="B302" s="75" t="s">
        <v>206</v>
      </c>
      <c r="C302" s="61">
        <v>3106</v>
      </c>
      <c r="D302" s="59">
        <v>22.25</v>
      </c>
      <c r="E302" s="55">
        <v>9.94</v>
      </c>
      <c r="F302" s="56">
        <v>3541.2745119988676</v>
      </c>
      <c r="G302" s="56">
        <f t="shared" si="40"/>
        <v>-3533.8843831477807</v>
      </c>
      <c r="H302" s="57">
        <v>-1612.1448808757243</v>
      </c>
      <c r="I302" s="57">
        <v>-58.346522858982645</v>
      </c>
      <c r="J302" s="57">
        <f t="shared" si="41"/>
        <v>-1863.3929794130736</v>
      </c>
      <c r="K302" s="57">
        <v>-2174.5329259392001</v>
      </c>
      <c r="L302" s="57">
        <v>212.1946329191093</v>
      </c>
      <c r="M302" s="57">
        <v>98.945313607017169</v>
      </c>
      <c r="N302" s="56">
        <f t="shared" si="42"/>
        <v>7.3901288510869563</v>
      </c>
      <c r="O302" s="56">
        <f t="shared" si="43"/>
        <v>-5007.3220000000001</v>
      </c>
      <c r="P302" s="56">
        <f t="shared" si="44"/>
        <v>-181.22430000000011</v>
      </c>
      <c r="Q302" s="56">
        <f t="shared" si="37"/>
        <v>-5787.6985940570066</v>
      </c>
      <c r="R302" s="95">
        <f t="shared" si="38"/>
        <v>10999.198634268483</v>
      </c>
      <c r="S302" s="63"/>
      <c r="T302" s="43"/>
      <c r="U302" s="92" t="s">
        <v>215</v>
      </c>
      <c r="V302" s="93">
        <v>2</v>
      </c>
      <c r="W302" s="41">
        <f t="shared" si="39"/>
        <v>307324.14406339533</v>
      </c>
    </row>
    <row r="303" spans="1:23" ht="15" customHeight="1" x14ac:dyDescent="0.2">
      <c r="A303" s="41">
        <v>936</v>
      </c>
      <c r="B303" s="75" t="s">
        <v>319</v>
      </c>
      <c r="C303" s="61">
        <v>7157</v>
      </c>
      <c r="D303" s="59">
        <v>20.25</v>
      </c>
      <c r="E303" s="55">
        <v>7.9399999999999995</v>
      </c>
      <c r="F303" s="56">
        <v>3640.5057639229794</v>
      </c>
      <c r="G303" s="56">
        <f t="shared" si="40"/>
        <v>-3634.3897033853436</v>
      </c>
      <c r="H303" s="57">
        <v>-1491.6687159424339</v>
      </c>
      <c r="I303" s="57">
        <v>-95.846115690931981</v>
      </c>
      <c r="J303" s="57">
        <f t="shared" si="41"/>
        <v>-2046.8748717519779</v>
      </c>
      <c r="K303" s="57">
        <v>-2693.3889112047877</v>
      </c>
      <c r="L303" s="57">
        <v>411.30788824405141</v>
      </c>
      <c r="M303" s="57">
        <v>235.20615120875846</v>
      </c>
      <c r="N303" s="56">
        <f t="shared" si="42"/>
        <v>6.1160605376358035</v>
      </c>
      <c r="O303" s="56">
        <f t="shared" si="43"/>
        <v>-10675.873</v>
      </c>
      <c r="P303" s="56">
        <f t="shared" si="44"/>
        <v>-685.97065000000021</v>
      </c>
      <c r="Q303" s="56">
        <f t="shared" si="37"/>
        <v>-14649.483457128907</v>
      </c>
      <c r="R303" s="95">
        <f t="shared" si="38"/>
        <v>26055.099752396764</v>
      </c>
      <c r="S303" s="63"/>
      <c r="T303" s="90"/>
      <c r="U303" s="92" t="s">
        <v>214</v>
      </c>
      <c r="V303" s="93">
        <v>3</v>
      </c>
      <c r="W303" s="41">
        <f t="shared" si="39"/>
        <v>1683370.4242010843</v>
      </c>
    </row>
    <row r="304" spans="1:23" ht="15" customHeight="1" x14ac:dyDescent="0.2">
      <c r="A304" s="41">
        <v>935</v>
      </c>
      <c r="B304" s="75" t="s">
        <v>207</v>
      </c>
      <c r="C304" s="61">
        <v>3399</v>
      </c>
      <c r="D304" s="59">
        <v>20</v>
      </c>
      <c r="E304" s="55">
        <v>7.6899999999999995</v>
      </c>
      <c r="F304" s="56">
        <v>3214.9555286291416</v>
      </c>
      <c r="G304" s="56">
        <f t="shared" si="40"/>
        <v>-3207.5852595010201</v>
      </c>
      <c r="H304" s="57">
        <v>-1539.1856428361282</v>
      </c>
      <c r="I304" s="57">
        <v>-111.51451897616948</v>
      </c>
      <c r="J304" s="57">
        <f t="shared" si="41"/>
        <v>-1556.8850976887225</v>
      </c>
      <c r="K304" s="57">
        <v>-2242.010750838569</v>
      </c>
      <c r="L304" s="57">
        <v>407.42529796681589</v>
      </c>
      <c r="M304" s="57">
        <v>277.70035518303081</v>
      </c>
      <c r="N304" s="56">
        <f t="shared" si="42"/>
        <v>7.3702691281214356</v>
      </c>
      <c r="O304" s="56">
        <f t="shared" si="43"/>
        <v>-5231.692</v>
      </c>
      <c r="P304" s="56">
        <f t="shared" si="44"/>
        <v>-379.03785000000011</v>
      </c>
      <c r="Q304" s="56">
        <f t="shared" si="37"/>
        <v>-5291.8524470439679</v>
      </c>
      <c r="R304" s="95">
        <f t="shared" si="38"/>
        <v>10927.633841810451</v>
      </c>
      <c r="S304" s="63"/>
      <c r="T304" s="43"/>
      <c r="U304" s="92" t="s">
        <v>230</v>
      </c>
      <c r="V304" s="93">
        <v>2</v>
      </c>
      <c r="W304" s="41">
        <f t="shared" si="39"/>
        <v>943903.50726712169</v>
      </c>
    </row>
    <row r="305" spans="1:23" ht="15" customHeight="1" x14ac:dyDescent="0.2">
      <c r="A305" s="41">
        <v>946</v>
      </c>
      <c r="B305" s="75" t="s">
        <v>320</v>
      </c>
      <c r="C305" s="61">
        <v>6705</v>
      </c>
      <c r="D305" s="59">
        <v>21</v>
      </c>
      <c r="E305" s="55">
        <v>8.69</v>
      </c>
      <c r="F305" s="56">
        <v>3552.2447727889635</v>
      </c>
      <c r="G305" s="56">
        <f t="shared" si="40"/>
        <v>-3544.8811574847241</v>
      </c>
      <c r="H305" s="57">
        <v>-1658.9985085756898</v>
      </c>
      <c r="I305" s="57">
        <v>-114.83398210290829</v>
      </c>
      <c r="J305" s="57">
        <f t="shared" si="41"/>
        <v>-1771.0486668061262</v>
      </c>
      <c r="K305" s="57">
        <v>-1687.6333368179426</v>
      </c>
      <c r="L305" s="57">
        <v>-41.052603939800413</v>
      </c>
      <c r="M305" s="57">
        <v>-42.362726048383109</v>
      </c>
      <c r="N305" s="56">
        <f t="shared" si="42"/>
        <v>7.3636153042393744</v>
      </c>
      <c r="O305" s="56">
        <f t="shared" si="43"/>
        <v>-11123.585000000001</v>
      </c>
      <c r="P305" s="56">
        <f t="shared" si="44"/>
        <v>-769.96185000000014</v>
      </c>
      <c r="Q305" s="56">
        <f t="shared" si="37"/>
        <v>-11874.881310935076</v>
      </c>
      <c r="R305" s="95">
        <f t="shared" si="38"/>
        <v>23817.801201549999</v>
      </c>
      <c r="S305" s="63"/>
      <c r="T305" s="90"/>
      <c r="U305" s="92" t="s">
        <v>248</v>
      </c>
      <c r="V305" s="93">
        <v>3</v>
      </c>
      <c r="W305" s="41">
        <f t="shared" si="39"/>
        <v>-284042.07815440872</v>
      </c>
    </row>
    <row r="306" spans="1:23" ht="15" customHeight="1" x14ac:dyDescent="0.2">
      <c r="A306" s="41">
        <v>977</v>
      </c>
      <c r="B306" s="75" t="s">
        <v>208</v>
      </c>
      <c r="C306" s="61">
        <v>14976</v>
      </c>
      <c r="D306" s="59">
        <v>21.5</v>
      </c>
      <c r="E306" s="55">
        <v>9.19</v>
      </c>
      <c r="F306" s="56">
        <v>3179.2458092370111</v>
      </c>
      <c r="G306" s="56">
        <f t="shared" si="40"/>
        <v>-3172.3598882048482</v>
      </c>
      <c r="H306" s="57">
        <v>-1676.22702991453</v>
      </c>
      <c r="I306" s="57">
        <v>-66.208924278846197</v>
      </c>
      <c r="J306" s="57">
        <f t="shared" si="41"/>
        <v>-1429.9239340114721</v>
      </c>
      <c r="K306" s="57">
        <v>-1347.3355658379783</v>
      </c>
      <c r="L306" s="57">
        <v>-50.623736208645902</v>
      </c>
      <c r="M306" s="57">
        <v>-31.964631964848039</v>
      </c>
      <c r="N306" s="56">
        <f t="shared" si="42"/>
        <v>6.8859210321629689</v>
      </c>
      <c r="O306" s="56">
        <f t="shared" si="43"/>
        <v>-25103.175999999999</v>
      </c>
      <c r="P306" s="56">
        <f t="shared" si="44"/>
        <v>-991.54485000000068</v>
      </c>
      <c r="Q306" s="56">
        <f t="shared" si="37"/>
        <v>-21414.540835755808</v>
      </c>
      <c r="R306" s="95">
        <f t="shared" si="38"/>
        <v>47612.38523913348</v>
      </c>
      <c r="S306" s="63"/>
      <c r="T306" s="43"/>
      <c r="U306" s="92" t="s">
        <v>216</v>
      </c>
      <c r="V306" s="93">
        <v>4</v>
      </c>
      <c r="W306" s="41">
        <f t="shared" si="39"/>
        <v>-478702.32830556424</v>
      </c>
    </row>
    <row r="307" spans="1:23" ht="15" customHeight="1" x14ac:dyDescent="0.2">
      <c r="A307" s="41">
        <v>980</v>
      </c>
      <c r="B307" s="75" t="s">
        <v>209</v>
      </c>
      <c r="C307" s="61">
        <v>32260</v>
      </c>
      <c r="D307" s="59">
        <v>20.5</v>
      </c>
      <c r="E307" s="55">
        <v>8.19</v>
      </c>
      <c r="F307" s="56">
        <v>2678.2799497294523</v>
      </c>
      <c r="G307" s="56">
        <f t="shared" si="40"/>
        <v>-2670.9323910523667</v>
      </c>
      <c r="H307" s="57">
        <v>-1957.6342839429635</v>
      </c>
      <c r="I307" s="57">
        <v>-50.817101673899586</v>
      </c>
      <c r="J307" s="57">
        <f t="shared" si="41"/>
        <v>-662.48100543550368</v>
      </c>
      <c r="K307" s="57">
        <v>-587.0388406864331</v>
      </c>
      <c r="L307" s="57">
        <v>-37.616291437924687</v>
      </c>
      <c r="M307" s="57">
        <v>-37.825873311145841</v>
      </c>
      <c r="N307" s="56">
        <f t="shared" si="42"/>
        <v>7.3475586770855443</v>
      </c>
      <c r="O307" s="56">
        <f t="shared" si="43"/>
        <v>-63153.281999999999</v>
      </c>
      <c r="P307" s="56">
        <f t="shared" si="44"/>
        <v>-1639.3597000000007</v>
      </c>
      <c r="Q307" s="56">
        <f t="shared" si="37"/>
        <v>-21371.63723534935</v>
      </c>
      <c r="R307" s="95">
        <f t="shared" si="38"/>
        <v>86401.311178272124</v>
      </c>
      <c r="S307" s="63"/>
      <c r="T307" s="43"/>
      <c r="U307" s="92" t="s">
        <v>214</v>
      </c>
      <c r="V307" s="93">
        <v>5</v>
      </c>
      <c r="W307" s="41">
        <f t="shared" si="39"/>
        <v>-1220262.6730175649</v>
      </c>
    </row>
    <row r="308" spans="1:23" ht="15" customHeight="1" x14ac:dyDescent="0.2">
      <c r="A308" s="41">
        <v>981</v>
      </c>
      <c r="B308" s="75" t="s">
        <v>210</v>
      </c>
      <c r="C308" s="61">
        <v>2468</v>
      </c>
      <c r="D308" s="59">
        <v>21</v>
      </c>
      <c r="E308" s="55">
        <v>8.69</v>
      </c>
      <c r="F308" s="56">
        <v>3005.7583046470986</v>
      </c>
      <c r="G308" s="56">
        <f t="shared" si="40"/>
        <v>-2998.3852823529878</v>
      </c>
      <c r="H308" s="57">
        <v>-1556.7386547811993</v>
      </c>
      <c r="I308" s="57">
        <v>-42.683144246353336</v>
      </c>
      <c r="J308" s="57">
        <f t="shared" si="41"/>
        <v>-1398.9634833254352</v>
      </c>
      <c r="K308" s="57">
        <v>-1665.620646882096</v>
      </c>
      <c r="L308" s="57">
        <v>188.07963484465265</v>
      </c>
      <c r="M308" s="57">
        <v>78.577528712008188</v>
      </c>
      <c r="N308" s="56">
        <f t="shared" si="42"/>
        <v>7.3730222941107968</v>
      </c>
      <c r="O308" s="56">
        <f t="shared" si="43"/>
        <v>-3842.0309999999999</v>
      </c>
      <c r="P308" s="56">
        <f t="shared" si="44"/>
        <v>-105.34200000000003</v>
      </c>
      <c r="Q308" s="56">
        <f t="shared" si="37"/>
        <v>-3452.641876847174</v>
      </c>
      <c r="R308" s="95">
        <f t="shared" si="38"/>
        <v>7418.2114958690399</v>
      </c>
      <c r="S308" s="63"/>
      <c r="T308" s="43"/>
      <c r="U308" s="92" t="s">
        <v>226</v>
      </c>
      <c r="V308" s="93">
        <v>2</v>
      </c>
      <c r="W308" s="41">
        <f t="shared" si="39"/>
        <v>193929.34086123621</v>
      </c>
    </row>
    <row r="309" spans="1:23" ht="15" customHeight="1" x14ac:dyDescent="0.2">
      <c r="A309" s="41">
        <v>853</v>
      </c>
      <c r="B309" s="75" t="s">
        <v>310</v>
      </c>
      <c r="C309" s="61">
        <v>183824</v>
      </c>
      <c r="D309" s="59">
        <v>19.5</v>
      </c>
      <c r="E309" s="55">
        <v>7.1899999999999995</v>
      </c>
      <c r="F309" s="56">
        <v>3258.4233100730339</v>
      </c>
      <c r="G309" s="56">
        <f t="shared" si="40"/>
        <v>-3252.0191193239443</v>
      </c>
      <c r="H309" s="57">
        <v>-2000.072112455392</v>
      </c>
      <c r="I309" s="57">
        <v>-139.06315851031428</v>
      </c>
      <c r="J309" s="57">
        <f t="shared" si="41"/>
        <v>-1112.8838483582379</v>
      </c>
      <c r="K309" s="57">
        <v>-1011.8828367641697</v>
      </c>
      <c r="L309" s="57">
        <v>-104.09530377360319</v>
      </c>
      <c r="M309" s="57">
        <v>3.0942921795352021</v>
      </c>
      <c r="N309" s="56">
        <f t="shared" si="42"/>
        <v>6.4041907490895937</v>
      </c>
      <c r="O309" s="56">
        <f t="shared" si="43"/>
        <v>-367661.25599999999</v>
      </c>
      <c r="P309" s="56">
        <f t="shared" si="44"/>
        <v>-25563.146050000014</v>
      </c>
      <c r="Q309" s="56">
        <f t="shared" si="37"/>
        <v>-204574.76054060471</v>
      </c>
      <c r="R309" s="95">
        <f t="shared" si="38"/>
        <v>598976.40655086539</v>
      </c>
      <c r="S309" s="63"/>
      <c r="T309" s="90"/>
      <c r="U309" s="92" t="s">
        <v>222</v>
      </c>
      <c r="V309" s="93">
        <v>5</v>
      </c>
      <c r="W309" s="41">
        <f t="shared" si="39"/>
        <v>568805.16561087896</v>
      </c>
    </row>
    <row r="310" spans="1:23" ht="15" customHeight="1" x14ac:dyDescent="0.2">
      <c r="A310" s="41">
        <v>992</v>
      </c>
      <c r="B310" s="75" t="s">
        <v>211</v>
      </c>
      <c r="C310" s="61">
        <v>19909</v>
      </c>
      <c r="D310" s="59">
        <v>21.5</v>
      </c>
      <c r="E310" s="55">
        <v>9.19</v>
      </c>
      <c r="F310" s="56">
        <v>3575.7608921842389</v>
      </c>
      <c r="G310" s="56">
        <f t="shared" si="40"/>
        <v>-3568.7394495499543</v>
      </c>
      <c r="H310" s="57">
        <v>-1762.1473705359385</v>
      </c>
      <c r="I310" s="57">
        <v>-114.48017479531873</v>
      </c>
      <c r="J310" s="57">
        <f t="shared" si="41"/>
        <v>-1692.111904218697</v>
      </c>
      <c r="K310" s="57">
        <v>-1813.5536214471547</v>
      </c>
      <c r="L310" s="57">
        <v>35.92975723849888</v>
      </c>
      <c r="M310" s="57">
        <v>85.511959989958655</v>
      </c>
      <c r="N310" s="56">
        <f t="shared" si="42"/>
        <v>7.02144263428454</v>
      </c>
      <c r="O310" s="56">
        <f t="shared" si="43"/>
        <v>-35082.592000000004</v>
      </c>
      <c r="P310" s="56">
        <f t="shared" si="44"/>
        <v>-2279.1858000000007</v>
      </c>
      <c r="Q310" s="56">
        <f t="shared" si="37"/>
        <v>-33688.255901090044</v>
      </c>
      <c r="R310" s="95">
        <f t="shared" si="38"/>
        <v>71189.823602496021</v>
      </c>
      <c r="S310" s="63"/>
      <c r="T310" s="43"/>
      <c r="U310" s="92" t="s">
        <v>231</v>
      </c>
      <c r="V310" s="93">
        <v>4</v>
      </c>
      <c r="W310" s="41">
        <f t="shared" si="39"/>
        <v>1702457.611440087</v>
      </c>
    </row>
    <row r="311" spans="1:23" ht="15" customHeight="1" x14ac:dyDescent="0.2">
      <c r="A311" s="41">
        <v>846</v>
      </c>
      <c r="B311" s="75" t="s">
        <v>308</v>
      </c>
      <c r="C311" s="61">
        <v>5543</v>
      </c>
      <c r="D311" s="59">
        <v>22</v>
      </c>
      <c r="E311" s="55">
        <v>9.69</v>
      </c>
      <c r="F311" s="56">
        <v>4144.4307099171965</v>
      </c>
      <c r="G311" s="56">
        <f t="shared" si="40"/>
        <v>-4137.0412044882833</v>
      </c>
      <c r="H311" s="57">
        <v>-1474.5085693667688</v>
      </c>
      <c r="I311" s="57">
        <v>-41.386956521739144</v>
      </c>
      <c r="J311" s="57">
        <f t="shared" si="41"/>
        <v>-2621.1456785997752</v>
      </c>
      <c r="K311" s="57">
        <v>-2586.8767465429892</v>
      </c>
      <c r="L311" s="57">
        <v>30.458241962619013</v>
      </c>
      <c r="M311" s="57">
        <v>-64.72717401940497</v>
      </c>
      <c r="N311" s="56">
        <f t="shared" si="42"/>
        <v>7.3895054289132531</v>
      </c>
      <c r="O311" s="56">
        <f t="shared" si="43"/>
        <v>-8173.201</v>
      </c>
      <c r="P311" s="56">
        <f t="shared" si="44"/>
        <v>-229.4079000000001</v>
      </c>
      <c r="Q311" s="56">
        <f t="shared" si="37"/>
        <v>-14529.010496478555</v>
      </c>
      <c r="R311" s="95">
        <f t="shared" si="38"/>
        <v>22972.579425071021</v>
      </c>
      <c r="S311" s="63"/>
      <c r="T311" s="43"/>
      <c r="U311" s="92" t="s">
        <v>222</v>
      </c>
      <c r="V311" s="93">
        <v>2</v>
      </c>
      <c r="W311" s="41">
        <f t="shared" si="39"/>
        <v>-358782.72558956174</v>
      </c>
    </row>
    <row r="312" spans="1:23" ht="15" customHeight="1" x14ac:dyDescent="0.2">
      <c r="A312" s="41">
        <v>976</v>
      </c>
      <c r="B312" s="75" t="s">
        <v>321</v>
      </c>
      <c r="C312" s="61">
        <v>4348</v>
      </c>
      <c r="D312" s="59">
        <v>19.25</v>
      </c>
      <c r="E312" s="55">
        <v>6.9399999999999995</v>
      </c>
      <c r="F312" s="56">
        <v>4822.9688747208675</v>
      </c>
      <c r="G312" s="56">
        <f t="shared" si="40"/>
        <v>-4821.8768804930505</v>
      </c>
      <c r="H312" s="57">
        <v>-1575.3454461821527</v>
      </c>
      <c r="I312" s="57">
        <v>-52.263373965041417</v>
      </c>
      <c r="J312" s="57">
        <f t="shared" si="41"/>
        <v>-3194.2680603458566</v>
      </c>
      <c r="K312" s="57">
        <v>-3506.3047468850914</v>
      </c>
      <c r="L312" s="57">
        <v>276.51980777438098</v>
      </c>
      <c r="M312" s="57">
        <v>35.516878764853516</v>
      </c>
      <c r="N312" s="56">
        <f t="shared" si="42"/>
        <v>1.0919942278169401</v>
      </c>
      <c r="O312" s="56">
        <f t="shared" si="43"/>
        <v>-6849.6019999999999</v>
      </c>
      <c r="P312" s="56">
        <f t="shared" si="44"/>
        <v>-227.24115000000009</v>
      </c>
      <c r="Q312" s="56">
        <f t="shared" si="37"/>
        <v>-13888.677526383784</v>
      </c>
      <c r="R312" s="95">
        <f t="shared" si="38"/>
        <v>20970.268667286335</v>
      </c>
      <c r="S312" s="63"/>
      <c r="T312" s="90"/>
      <c r="U312" s="92" t="s">
        <v>222</v>
      </c>
      <c r="V312" s="93">
        <v>2</v>
      </c>
      <c r="W312" s="41">
        <f t="shared" si="39"/>
        <v>154427.38886958308</v>
      </c>
    </row>
    <row r="313" spans="1:23" ht="13.5" customHeight="1" x14ac:dyDescent="0.2">
      <c r="C313" s="58"/>
      <c r="D313" s="59"/>
      <c r="U313" s="69"/>
      <c r="V313" s="72"/>
    </row>
    <row r="314" spans="1:23" x14ac:dyDescent="0.2">
      <c r="B314" s="40" t="s">
        <v>356</v>
      </c>
    </row>
    <row r="315" spans="1:23" ht="13.5" customHeight="1" x14ac:dyDescent="0.2">
      <c r="A315" s="41">
        <v>1</v>
      </c>
      <c r="B315" s="43" t="s">
        <v>357</v>
      </c>
      <c r="C315" s="94">
        <v>1620261</v>
      </c>
      <c r="D315" s="53">
        <v>18.853437574904007</v>
      </c>
      <c r="S315" s="63">
        <v>1</v>
      </c>
      <c r="T315" s="1" t="s">
        <v>358</v>
      </c>
      <c r="U315" s="94">
        <f t="shared" ref="U315:U332" si="45">SUMIF($U$16:$U$312,$S315,U$16:U$312)</f>
        <v>0</v>
      </c>
      <c r="V315" s="94"/>
    </row>
    <row r="316" spans="1:23" ht="13.5" customHeight="1" x14ac:dyDescent="0.2">
      <c r="A316" s="41">
        <v>2</v>
      </c>
      <c r="B316" s="43" t="s">
        <v>359</v>
      </c>
      <c r="C316" s="94">
        <v>474323</v>
      </c>
      <c r="D316" s="53">
        <v>19.84903480090102</v>
      </c>
      <c r="S316" s="63">
        <v>2</v>
      </c>
      <c r="T316" s="1" t="s">
        <v>360</v>
      </c>
      <c r="U316" s="94">
        <f t="shared" si="45"/>
        <v>0</v>
      </c>
      <c r="V316" s="94"/>
    </row>
    <row r="317" spans="1:23" ht="13.5" customHeight="1" x14ac:dyDescent="0.2">
      <c r="A317" s="41">
        <v>4</v>
      </c>
      <c r="B317" s="43" t="s">
        <v>361</v>
      </c>
      <c r="C317" s="94">
        <v>222957</v>
      </c>
      <c r="D317" s="53">
        <v>20.118056623421221</v>
      </c>
      <c r="S317" s="63">
        <v>4</v>
      </c>
      <c r="T317" s="1" t="s">
        <v>362</v>
      </c>
      <c r="U317" s="94">
        <f t="shared" si="45"/>
        <v>0</v>
      </c>
      <c r="V317" s="94"/>
    </row>
    <row r="318" spans="1:23" ht="13.5" customHeight="1" x14ac:dyDescent="0.2">
      <c r="A318" s="41">
        <v>5</v>
      </c>
      <c r="B318" s="43" t="s">
        <v>363</v>
      </c>
      <c r="C318" s="94">
        <v>174710</v>
      </c>
      <c r="D318" s="53">
        <v>20.500226160221381</v>
      </c>
      <c r="S318" s="63">
        <v>5</v>
      </c>
      <c r="T318" s="1" t="s">
        <v>364</v>
      </c>
      <c r="U318" s="94">
        <f t="shared" si="45"/>
        <v>0</v>
      </c>
      <c r="V318" s="95"/>
    </row>
    <row r="319" spans="1:23" ht="13.5" customHeight="1" x14ac:dyDescent="0.2">
      <c r="A319" s="41">
        <v>6</v>
      </c>
      <c r="B319" s="43" t="s">
        <v>365</v>
      </c>
      <c r="C319" s="94">
        <v>506114</v>
      </c>
      <c r="D319" s="53">
        <v>20.236779225988432</v>
      </c>
      <c r="S319" s="63">
        <v>6</v>
      </c>
      <c r="T319" s="1" t="s">
        <v>366</v>
      </c>
      <c r="U319" s="94">
        <f t="shared" si="45"/>
        <v>0</v>
      </c>
      <c r="V319" s="95"/>
    </row>
    <row r="320" spans="1:23" ht="13.5" customHeight="1" x14ac:dyDescent="0.2">
      <c r="A320" s="41">
        <v>7</v>
      </c>
      <c r="B320" s="43" t="s">
        <v>367</v>
      </c>
      <c r="C320" s="94">
        <v>201615</v>
      </c>
      <c r="D320" s="53">
        <v>20.459923283849143</v>
      </c>
      <c r="S320" s="63">
        <v>7</v>
      </c>
      <c r="T320" s="1" t="s">
        <v>368</v>
      </c>
      <c r="U320" s="94">
        <f t="shared" si="45"/>
        <v>0</v>
      </c>
      <c r="V320" s="95"/>
    </row>
    <row r="321" spans="1:22" ht="13.5" customHeight="1" x14ac:dyDescent="0.2">
      <c r="A321" s="41">
        <v>8</v>
      </c>
      <c r="B321" s="43" t="s">
        <v>369</v>
      </c>
      <c r="C321" s="94">
        <v>178688</v>
      </c>
      <c r="D321" s="53">
        <v>20.652300143050397</v>
      </c>
      <c r="S321" s="63">
        <v>8</v>
      </c>
      <c r="T321" s="1" t="s">
        <v>370</v>
      </c>
      <c r="U321" s="94">
        <f t="shared" si="45"/>
        <v>0</v>
      </c>
      <c r="V321" s="95"/>
    </row>
    <row r="322" spans="1:22" ht="13.5" customHeight="1" x14ac:dyDescent="0.2">
      <c r="A322" s="41">
        <v>9</v>
      </c>
      <c r="B322" s="43" t="s">
        <v>371</v>
      </c>
      <c r="C322" s="94">
        <v>131155</v>
      </c>
      <c r="D322" s="53">
        <v>20.616823201790044</v>
      </c>
      <c r="S322" s="63">
        <v>9</v>
      </c>
      <c r="T322" s="1" t="s">
        <v>372</v>
      </c>
      <c r="U322" s="94">
        <f t="shared" si="45"/>
        <v>0</v>
      </c>
      <c r="V322" s="95"/>
    </row>
    <row r="323" spans="1:22" ht="13.5" customHeight="1" x14ac:dyDescent="0.2">
      <c r="A323" s="41">
        <v>10</v>
      </c>
      <c r="B323" s="43" t="s">
        <v>373</v>
      </c>
      <c r="C323" s="94">
        <v>150305</v>
      </c>
      <c r="D323" s="53">
        <v>20.91398854308957</v>
      </c>
      <c r="S323" s="63">
        <v>10</v>
      </c>
      <c r="T323" s="1" t="s">
        <v>374</v>
      </c>
      <c r="U323" s="94">
        <f t="shared" si="45"/>
        <v>0</v>
      </c>
      <c r="V323" s="95"/>
    </row>
    <row r="324" spans="1:22" ht="13.5" customHeight="1" x14ac:dyDescent="0.2">
      <c r="A324" s="41">
        <v>11</v>
      </c>
      <c r="B324" s="43" t="s">
        <v>375</v>
      </c>
      <c r="C324" s="94">
        <v>248129</v>
      </c>
      <c r="D324" s="53">
        <v>20.674960343822992</v>
      </c>
      <c r="S324" s="63">
        <v>11</v>
      </c>
      <c r="T324" s="1" t="s">
        <v>376</v>
      </c>
      <c r="U324" s="94">
        <f t="shared" si="45"/>
        <v>0</v>
      </c>
      <c r="V324" s="95"/>
    </row>
    <row r="325" spans="1:22" ht="13.5" customHeight="1" x14ac:dyDescent="0.2">
      <c r="A325" s="41">
        <v>12</v>
      </c>
      <c r="B325" s="43" t="s">
        <v>377</v>
      </c>
      <c r="C325" s="94">
        <v>164755</v>
      </c>
      <c r="D325" s="53">
        <v>20.827806031181424</v>
      </c>
      <c r="S325" s="63">
        <v>12</v>
      </c>
      <c r="T325" s="1" t="s">
        <v>378</v>
      </c>
      <c r="U325" s="94">
        <f t="shared" si="45"/>
        <v>0</v>
      </c>
      <c r="V325" s="95"/>
    </row>
    <row r="326" spans="1:22" ht="13.5" customHeight="1" x14ac:dyDescent="0.2">
      <c r="A326" s="41">
        <v>13</v>
      </c>
      <c r="B326" s="43" t="s">
        <v>379</v>
      </c>
      <c r="C326" s="94">
        <v>275780</v>
      </c>
      <c r="D326" s="53">
        <v>20.469046857580405</v>
      </c>
      <c r="S326" s="63">
        <v>13</v>
      </c>
      <c r="T326" s="1" t="s">
        <v>380</v>
      </c>
      <c r="U326" s="94">
        <f t="shared" si="45"/>
        <v>0</v>
      </c>
      <c r="V326" s="95"/>
    </row>
    <row r="327" spans="1:22" ht="13.5" customHeight="1" x14ac:dyDescent="0.2">
      <c r="A327" s="41">
        <v>14</v>
      </c>
      <c r="B327" s="43" t="s">
        <v>381</v>
      </c>
      <c r="C327" s="94">
        <v>192586</v>
      </c>
      <c r="D327" s="53">
        <v>21.132591532853436</v>
      </c>
      <c r="S327" s="63">
        <v>14</v>
      </c>
      <c r="T327" s="1" t="s">
        <v>382</v>
      </c>
      <c r="U327" s="94">
        <f t="shared" si="45"/>
        <v>0</v>
      </c>
      <c r="V327" s="95"/>
    </row>
    <row r="328" spans="1:22" ht="13.5" customHeight="1" x14ac:dyDescent="0.2">
      <c r="A328" s="41">
        <v>15</v>
      </c>
      <c r="B328" s="43" t="s">
        <v>383</v>
      </c>
      <c r="C328" s="94">
        <v>181679</v>
      </c>
      <c r="D328" s="53">
        <v>20.592030826276829</v>
      </c>
      <c r="S328" s="63">
        <v>15</v>
      </c>
      <c r="T328" s="1" t="s">
        <v>384</v>
      </c>
      <c r="U328" s="94">
        <f t="shared" si="45"/>
        <v>0</v>
      </c>
      <c r="V328" s="95"/>
    </row>
    <row r="329" spans="1:22" ht="13.5" customHeight="1" x14ac:dyDescent="0.2">
      <c r="A329" s="41">
        <v>16</v>
      </c>
      <c r="B329" s="43" t="s">
        <v>385</v>
      </c>
      <c r="C329" s="94">
        <v>69032</v>
      </c>
      <c r="D329" s="53">
        <v>21.42724239082122</v>
      </c>
      <c r="S329" s="63">
        <v>16</v>
      </c>
      <c r="T329" s="1" t="s">
        <v>386</v>
      </c>
      <c r="U329" s="94">
        <f t="shared" si="45"/>
        <v>0</v>
      </c>
      <c r="V329" s="95"/>
    </row>
    <row r="330" spans="1:22" ht="13.5" customHeight="1" x14ac:dyDescent="0.2">
      <c r="A330" s="41">
        <v>17</v>
      </c>
      <c r="B330" s="43" t="s">
        <v>387</v>
      </c>
      <c r="C330" s="94">
        <v>410054</v>
      </c>
      <c r="D330" s="53">
        <v>20.428073604063151</v>
      </c>
      <c r="S330" s="63">
        <v>17</v>
      </c>
      <c r="T330" s="1" t="s">
        <v>388</v>
      </c>
      <c r="U330" s="94">
        <f t="shared" si="45"/>
        <v>0</v>
      </c>
      <c r="V330" s="95"/>
    </row>
    <row r="331" spans="1:22" ht="13.5" customHeight="1" x14ac:dyDescent="0.2">
      <c r="A331" s="41">
        <v>18</v>
      </c>
      <c r="B331" s="43" t="s">
        <v>389</v>
      </c>
      <c r="C331" s="94">
        <v>75324</v>
      </c>
      <c r="D331" s="53">
        <v>21.121313938651404</v>
      </c>
      <c r="S331" s="63">
        <v>18</v>
      </c>
      <c r="T331" s="1" t="s">
        <v>390</v>
      </c>
      <c r="U331" s="94">
        <f t="shared" si="45"/>
        <v>0</v>
      </c>
      <c r="V331" s="95"/>
    </row>
    <row r="332" spans="1:22" ht="13.5" customHeight="1" x14ac:dyDescent="0.2">
      <c r="A332" s="41">
        <v>19</v>
      </c>
      <c r="B332" s="43" t="s">
        <v>391</v>
      </c>
      <c r="C332" s="94">
        <v>180858</v>
      </c>
      <c r="D332" s="53">
        <v>20.748048317255275</v>
      </c>
      <c r="S332" s="63">
        <v>19</v>
      </c>
      <c r="T332" s="1" t="s">
        <v>392</v>
      </c>
      <c r="U332" s="94">
        <f t="shared" si="45"/>
        <v>0</v>
      </c>
      <c r="V332" s="95"/>
    </row>
    <row r="333" spans="1:22" ht="13.5" customHeight="1" x14ac:dyDescent="0.2">
      <c r="C333" s="95"/>
      <c r="D333" s="53"/>
      <c r="U333" s="95"/>
      <c r="V333" s="95"/>
    </row>
    <row r="334" spans="1:22" ht="13.5" customHeight="1" x14ac:dyDescent="0.2">
      <c r="B334" s="43" t="s">
        <v>404</v>
      </c>
      <c r="C334" s="95">
        <v>5487308</v>
      </c>
      <c r="D334" s="53">
        <v>19.862491535044711</v>
      </c>
      <c r="T334" s="43"/>
      <c r="U334" s="95">
        <f>SUM(U315:U332)</f>
        <v>0</v>
      </c>
      <c r="V334" s="95"/>
    </row>
    <row r="335" spans="1:22" ht="13.5" customHeight="1" x14ac:dyDescent="0.2">
      <c r="C335" s="41"/>
      <c r="D335" s="53"/>
      <c r="U335" s="95"/>
      <c r="V335" s="95"/>
    </row>
    <row r="336" spans="1:22" ht="13.5" customHeight="1" x14ac:dyDescent="0.2">
      <c r="C336" s="41"/>
      <c r="D336" s="53"/>
      <c r="U336" s="95"/>
      <c r="V336" s="95"/>
    </row>
    <row r="337" spans="1:22" ht="13.5" customHeight="1" x14ac:dyDescent="0.2">
      <c r="B337" s="97" t="s">
        <v>395</v>
      </c>
      <c r="C337" s="95"/>
      <c r="D337" s="53"/>
      <c r="U337" s="95"/>
      <c r="V337" s="95"/>
    </row>
    <row r="338" spans="1:22" ht="13.5" customHeight="1" x14ac:dyDescent="0.2">
      <c r="B338" s="43" t="s">
        <v>405</v>
      </c>
      <c r="C338" s="95"/>
      <c r="D338" s="53"/>
      <c r="U338" s="95"/>
      <c r="V338" s="95"/>
    </row>
    <row r="339" spans="1:22" ht="13.5" customHeight="1" x14ac:dyDescent="0.2">
      <c r="A339" s="41">
        <v>1</v>
      </c>
      <c r="B339" s="43" t="s">
        <v>396</v>
      </c>
      <c r="C339" s="94">
        <v>44865</v>
      </c>
      <c r="D339" s="53">
        <v>21.01489360317581</v>
      </c>
      <c r="S339" s="63">
        <v>1</v>
      </c>
      <c r="T339" s="43"/>
      <c r="U339" s="95"/>
      <c r="V339" s="94"/>
    </row>
    <row r="340" spans="1:22" ht="13.5" customHeight="1" x14ac:dyDescent="0.2">
      <c r="A340" s="41">
        <v>2</v>
      </c>
      <c r="B340" s="43" t="s">
        <v>397</v>
      </c>
      <c r="C340" s="94">
        <v>288921</v>
      </c>
      <c r="D340" s="53">
        <v>20.931986825735802</v>
      </c>
      <c r="S340" s="63">
        <v>2</v>
      </c>
      <c r="T340" s="43"/>
      <c r="U340" s="95"/>
      <c r="V340" s="94"/>
    </row>
    <row r="341" spans="1:22" ht="13.5" customHeight="1" x14ac:dyDescent="0.2">
      <c r="A341" s="41">
        <v>3</v>
      </c>
      <c r="B341" s="43" t="s">
        <v>398</v>
      </c>
      <c r="C341" s="94">
        <v>578603</v>
      </c>
      <c r="D341" s="53">
        <v>20.589672858726185</v>
      </c>
      <c r="S341" s="63">
        <v>3</v>
      </c>
      <c r="T341" s="43"/>
      <c r="U341" s="95"/>
      <c r="V341" s="94"/>
    </row>
    <row r="342" spans="1:22" ht="13.5" customHeight="1" x14ac:dyDescent="0.2">
      <c r="A342" s="41">
        <v>4</v>
      </c>
      <c r="B342" s="43" t="s">
        <v>399</v>
      </c>
      <c r="C342" s="94">
        <v>634468</v>
      </c>
      <c r="D342" s="53">
        <v>20.649881272956659</v>
      </c>
      <c r="S342" s="63">
        <v>4</v>
      </c>
      <c r="T342" s="43"/>
      <c r="U342" s="95"/>
      <c r="V342" s="94"/>
    </row>
    <row r="343" spans="1:22" ht="13.5" customHeight="1" x14ac:dyDescent="0.2">
      <c r="A343" s="41">
        <v>5</v>
      </c>
      <c r="B343" s="43" t="s">
        <v>400</v>
      </c>
      <c r="C343" s="94">
        <v>1079595</v>
      </c>
      <c r="D343" s="53">
        <v>20.316187573626802</v>
      </c>
      <c r="S343" s="63">
        <v>5</v>
      </c>
      <c r="T343" s="43"/>
      <c r="U343" s="95"/>
      <c r="V343" s="94"/>
    </row>
    <row r="344" spans="1:22" ht="13.5" customHeight="1" x14ac:dyDescent="0.2">
      <c r="A344" s="41">
        <v>6</v>
      </c>
      <c r="B344" s="43" t="s">
        <v>401</v>
      </c>
      <c r="C344" s="94">
        <v>741479</v>
      </c>
      <c r="D344" s="53">
        <v>20.509282339083125</v>
      </c>
      <c r="S344" s="63">
        <v>6</v>
      </c>
      <c r="T344" s="43"/>
      <c r="U344" s="95"/>
      <c r="V344" s="94"/>
    </row>
    <row r="345" spans="1:22" ht="13.5" customHeight="1" x14ac:dyDescent="0.2">
      <c r="A345" s="41">
        <v>7</v>
      </c>
      <c r="B345" s="43" t="s">
        <v>402</v>
      </c>
      <c r="C345" s="94">
        <v>2090394</v>
      </c>
      <c r="D345" s="53">
        <v>19.038095810488016</v>
      </c>
      <c r="S345" s="63">
        <v>7</v>
      </c>
      <c r="T345" s="43"/>
      <c r="U345" s="95"/>
      <c r="V345" s="94"/>
    </row>
    <row r="346" spans="1:22" ht="13.5" customHeight="1" x14ac:dyDescent="0.2">
      <c r="C346" s="95"/>
      <c r="D346" s="53"/>
      <c r="U346" s="95"/>
      <c r="V346" s="95"/>
    </row>
    <row r="347" spans="1:22" ht="13.5" customHeight="1" x14ac:dyDescent="0.2">
      <c r="B347" s="43" t="s">
        <v>404</v>
      </c>
      <c r="C347" s="95">
        <v>5458325</v>
      </c>
      <c r="D347" s="53">
        <v>19.874648922726504</v>
      </c>
      <c r="T347" s="43"/>
      <c r="U347" s="95"/>
      <c r="V347" s="95"/>
    </row>
  </sheetData>
  <sortState ref="A16:W312">
    <sortCondition ref="B16:B312"/>
  </sortState>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dimension ref="A1:GM365"/>
  <sheetViews>
    <sheetView zoomScale="115" zoomScaleNormal="115" workbookViewId="0">
      <pane ySplit="9" topLeftCell="A10" activePane="bottomLeft" state="frozen"/>
      <selection pane="bottomLeft" activeCell="B364" sqref="B364"/>
    </sheetView>
  </sheetViews>
  <sheetFormatPr defaultColWidth="9.140625" defaultRowHeight="12" x14ac:dyDescent="0.2"/>
  <cols>
    <col min="1" max="1" width="6.140625" style="41" customWidth="1"/>
    <col min="2" max="2" width="18" style="41" customWidth="1"/>
    <col min="3" max="3" width="15.140625" style="41" customWidth="1"/>
    <col min="4" max="4" width="6.5703125" style="41" customWidth="1"/>
    <col min="5" max="5" width="5.5703125" style="41" customWidth="1"/>
    <col min="6" max="6" width="6" style="41" customWidth="1"/>
    <col min="7" max="7" width="9.140625" style="6" customWidth="1"/>
    <col min="8" max="14" width="9.140625" style="41" customWidth="1"/>
    <col min="15" max="17" width="9.85546875" style="41" customWidth="1"/>
    <col min="18" max="20" width="9.140625" style="41" customWidth="1"/>
    <col min="21" max="21" width="9.85546875" style="41" customWidth="1"/>
    <col min="22" max="24" width="9.140625" style="41" customWidth="1"/>
    <col min="25" max="25" width="10.5703125" style="41" customWidth="1"/>
    <col min="26" max="27" width="9.85546875" style="41" customWidth="1"/>
    <col min="28" max="52" width="9.140625" style="41" customWidth="1"/>
    <col min="53" max="53" width="13.85546875" style="41" customWidth="1"/>
    <col min="54" max="54" width="9.42578125" style="41" customWidth="1"/>
    <col min="55" max="55" width="12.140625" style="41" customWidth="1"/>
    <col min="56" max="76" width="9.140625" style="41" customWidth="1"/>
    <col min="77" max="77" width="9.85546875" style="41" customWidth="1"/>
    <col min="78" max="81" width="9.140625" style="41" customWidth="1"/>
    <col min="82" max="82" width="9.85546875" style="41" customWidth="1"/>
    <col min="83" max="83" width="9.140625" style="41" customWidth="1"/>
    <col min="84" max="84" width="9.85546875" style="41" customWidth="1"/>
    <col min="85" max="89" width="9.140625" style="41" customWidth="1"/>
    <col min="90" max="91" width="9.85546875" style="41" customWidth="1"/>
    <col min="92" max="127" width="9.140625" style="41" customWidth="1"/>
    <col min="128" max="130" width="9.85546875" style="41" customWidth="1"/>
    <col min="131" max="144" width="9.140625" style="41" customWidth="1"/>
    <col min="145" max="146" width="9.85546875" style="41" customWidth="1"/>
    <col min="147" max="147" width="9.140625" style="41" customWidth="1"/>
    <col min="148" max="148" width="9.85546875" style="41" customWidth="1"/>
    <col min="149" max="172" width="9.140625" style="41" customWidth="1"/>
    <col min="173" max="173" width="9.85546875" style="41" customWidth="1"/>
    <col min="174" max="175" width="9.140625" style="41" customWidth="1"/>
    <col min="176" max="177" width="9.140625" style="41"/>
    <col min="178" max="178" width="9.140625" style="41" customWidth="1"/>
    <col min="179" max="179" width="9.140625" style="41"/>
    <col min="180" max="182" width="10.5703125" style="41" customWidth="1"/>
    <col min="183" max="184" width="13.85546875" style="41" customWidth="1"/>
    <col min="185" max="185" width="9.140625" style="41"/>
    <col min="186" max="186" width="10.140625" style="41" bestFit="1" customWidth="1"/>
    <col min="187" max="188" width="9.140625" style="41"/>
    <col min="189" max="189" width="11" style="41" customWidth="1"/>
    <col min="190" max="16384" width="9.140625" style="41"/>
  </cols>
  <sheetData>
    <row r="1" spans="1:195" x14ac:dyDescent="0.2">
      <c r="B1" s="64" t="s">
        <v>659</v>
      </c>
    </row>
    <row r="2" spans="1:195" x14ac:dyDescent="0.2">
      <c r="B2" s="43" t="s">
        <v>579</v>
      </c>
      <c r="C2" s="43" t="s">
        <v>579</v>
      </c>
      <c r="D2" s="267" t="s">
        <v>660</v>
      </c>
      <c r="E2" s="271" t="s">
        <v>516</v>
      </c>
      <c r="F2" s="272" t="s">
        <v>661</v>
      </c>
      <c r="G2" s="273" t="s">
        <v>662</v>
      </c>
      <c r="H2" s="67" t="s">
        <v>663</v>
      </c>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8" t="s">
        <v>664</v>
      </c>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8" t="s">
        <v>665</v>
      </c>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t="s">
        <v>666</v>
      </c>
      <c r="FU2" s="67"/>
      <c r="FV2" s="67" t="s">
        <v>666</v>
      </c>
      <c r="FW2" s="67" t="s">
        <v>666</v>
      </c>
      <c r="FX2" s="67" t="s">
        <v>667</v>
      </c>
      <c r="FY2" s="67" t="s">
        <v>667</v>
      </c>
      <c r="FZ2" s="67" t="s">
        <v>668</v>
      </c>
      <c r="GA2" s="67" t="s">
        <v>667</v>
      </c>
      <c r="GB2" s="67" t="s">
        <v>668</v>
      </c>
      <c r="GC2" s="67" t="s">
        <v>667</v>
      </c>
      <c r="GD2" s="67" t="s">
        <v>667</v>
      </c>
      <c r="GE2" s="67" t="s">
        <v>666</v>
      </c>
      <c r="GF2" s="67" t="s">
        <v>658</v>
      </c>
      <c r="GG2" s="67" t="s">
        <v>669</v>
      </c>
      <c r="GH2" s="67" t="s">
        <v>669</v>
      </c>
      <c r="GI2" s="67" t="s">
        <v>669</v>
      </c>
      <c r="GJ2" s="67" t="s">
        <v>668</v>
      </c>
      <c r="GK2" s="67"/>
      <c r="GL2" s="67"/>
    </row>
    <row r="3" spans="1:195" ht="15" x14ac:dyDescent="0.25">
      <c r="C3" s="41" t="s">
        <v>670</v>
      </c>
      <c r="D3" s="267">
        <v>2016</v>
      </c>
      <c r="E3" s="274" t="s">
        <v>609</v>
      </c>
      <c r="F3" s="272" t="s">
        <v>614</v>
      </c>
      <c r="G3" s="273" t="s">
        <v>587</v>
      </c>
      <c r="H3" s="68" t="s">
        <v>671</v>
      </c>
      <c r="I3" s="68" t="s">
        <v>672</v>
      </c>
      <c r="J3" s="68" t="s">
        <v>673</v>
      </c>
      <c r="K3" s="68" t="s">
        <v>674</v>
      </c>
      <c r="L3" s="68" t="s">
        <v>675</v>
      </c>
      <c r="M3" s="68" t="s">
        <v>430</v>
      </c>
      <c r="N3" s="68" t="s">
        <v>431</v>
      </c>
      <c r="O3" s="68" t="s">
        <v>676</v>
      </c>
      <c r="P3" s="68" t="s">
        <v>677</v>
      </c>
      <c r="Q3" s="68" t="s">
        <v>678</v>
      </c>
      <c r="R3" s="68" t="s">
        <v>679</v>
      </c>
      <c r="S3" s="68" t="s">
        <v>680</v>
      </c>
      <c r="T3" s="68" t="s">
        <v>681</v>
      </c>
      <c r="U3" s="68" t="s">
        <v>682</v>
      </c>
      <c r="V3" s="68" t="s">
        <v>683</v>
      </c>
      <c r="W3" s="68" t="s">
        <v>684</v>
      </c>
      <c r="X3" s="68" t="s">
        <v>685</v>
      </c>
      <c r="Y3" s="68" t="s">
        <v>686</v>
      </c>
      <c r="Z3" s="68" t="s">
        <v>441</v>
      </c>
      <c r="AA3" s="68" t="s">
        <v>687</v>
      </c>
      <c r="AB3" s="68" t="s">
        <v>688</v>
      </c>
      <c r="AC3" s="68" t="s">
        <v>689</v>
      </c>
      <c r="AD3" s="68" t="s">
        <v>445</v>
      </c>
      <c r="AE3" s="68" t="s">
        <v>449</v>
      </c>
      <c r="AF3" s="68" t="s">
        <v>690</v>
      </c>
      <c r="AG3" s="68" t="s">
        <v>691</v>
      </c>
      <c r="AH3" s="68" t="s">
        <v>692</v>
      </c>
      <c r="AI3" s="68" t="s">
        <v>692</v>
      </c>
      <c r="AJ3" s="68" t="s">
        <v>693</v>
      </c>
      <c r="AK3" s="68" t="s">
        <v>694</v>
      </c>
      <c r="AL3" s="68" t="s">
        <v>455</v>
      </c>
      <c r="AM3" s="68" t="s">
        <v>695</v>
      </c>
      <c r="AN3" s="68" t="s">
        <v>696</v>
      </c>
      <c r="AO3" s="68" t="s">
        <v>697</v>
      </c>
      <c r="AP3" s="68" t="s">
        <v>458</v>
      </c>
      <c r="AQ3" s="68" t="s">
        <v>459</v>
      </c>
      <c r="AR3" s="68" t="s">
        <v>698</v>
      </c>
      <c r="AS3" s="68" t="s">
        <v>461</v>
      </c>
      <c r="AT3" s="68" t="s">
        <v>462</v>
      </c>
      <c r="AU3" s="68" t="s">
        <v>463</v>
      </c>
      <c r="AV3" s="68" t="s">
        <v>699</v>
      </c>
      <c r="AW3" s="67"/>
      <c r="AX3" s="68" t="s">
        <v>631</v>
      </c>
      <c r="AY3" s="68" t="s">
        <v>700</v>
      </c>
      <c r="AZ3" s="68" t="s">
        <v>701</v>
      </c>
      <c r="BA3" s="68" t="s">
        <v>702</v>
      </c>
      <c r="BB3" s="68" t="s">
        <v>635</v>
      </c>
      <c r="BC3" s="68" t="s">
        <v>703</v>
      </c>
      <c r="BD3" s="68" t="s">
        <v>704</v>
      </c>
      <c r="BE3" s="68" t="s">
        <v>705</v>
      </c>
      <c r="BF3" s="68" t="s">
        <v>639</v>
      </c>
      <c r="BG3" s="68" t="s">
        <v>640</v>
      </c>
      <c r="BH3" s="68" t="s">
        <v>641</v>
      </c>
      <c r="BI3" s="68" t="s">
        <v>706</v>
      </c>
      <c r="BJ3" s="68" t="s">
        <v>707</v>
      </c>
      <c r="BK3" s="68" t="s">
        <v>644</v>
      </c>
      <c r="BL3" s="68" t="s">
        <v>708</v>
      </c>
      <c r="BM3" s="68" t="s">
        <v>709</v>
      </c>
      <c r="BN3" s="68" t="s">
        <v>710</v>
      </c>
      <c r="BO3" s="68" t="s">
        <v>711</v>
      </c>
      <c r="BP3" s="68" t="s">
        <v>649</v>
      </c>
      <c r="BQ3" s="68" t="s">
        <v>712</v>
      </c>
      <c r="BR3" s="68" t="s">
        <v>713</v>
      </c>
      <c r="BS3" s="68" t="s">
        <v>714</v>
      </c>
      <c r="BT3" s="68" t="s">
        <v>715</v>
      </c>
      <c r="BU3" s="68" t="s">
        <v>640</v>
      </c>
      <c r="BV3" s="68" t="s">
        <v>716</v>
      </c>
      <c r="BW3" s="68" t="s">
        <v>717</v>
      </c>
      <c r="BX3" s="67"/>
      <c r="BY3" s="68" t="s">
        <v>718</v>
      </c>
      <c r="BZ3" s="68" t="s">
        <v>719</v>
      </c>
      <c r="CA3" s="68" t="s">
        <v>720</v>
      </c>
      <c r="CB3" s="68" t="s">
        <v>721</v>
      </c>
      <c r="CC3" s="68" t="s">
        <v>722</v>
      </c>
      <c r="CD3" s="68" t="s">
        <v>723</v>
      </c>
      <c r="CE3" s="68" t="s">
        <v>724</v>
      </c>
      <c r="CF3" s="68" t="s">
        <v>725</v>
      </c>
      <c r="CG3" s="68" t="s">
        <v>726</v>
      </c>
      <c r="CH3" s="68" t="s">
        <v>727</v>
      </c>
      <c r="CI3" s="68" t="s">
        <v>728</v>
      </c>
      <c r="CJ3" s="68"/>
      <c r="CK3" s="68" t="s">
        <v>729</v>
      </c>
      <c r="CL3" s="68" t="s">
        <v>730</v>
      </c>
      <c r="CM3" s="68" t="s">
        <v>731</v>
      </c>
      <c r="CN3" s="68" t="s">
        <v>732</v>
      </c>
      <c r="CO3" s="68" t="s">
        <v>733</v>
      </c>
      <c r="CP3" s="68" t="s">
        <v>734</v>
      </c>
      <c r="CQ3" s="68" t="s">
        <v>735</v>
      </c>
      <c r="CR3" s="68" t="s">
        <v>736</v>
      </c>
      <c r="CS3" s="68" t="s">
        <v>737</v>
      </c>
      <c r="CT3" s="68" t="s">
        <v>738</v>
      </c>
      <c r="CU3" s="68" t="s">
        <v>739</v>
      </c>
      <c r="CV3" s="68" t="s">
        <v>740</v>
      </c>
      <c r="CW3" s="68" t="s">
        <v>741</v>
      </c>
      <c r="CX3" s="68" t="s">
        <v>742</v>
      </c>
      <c r="CY3" s="68" t="s">
        <v>743</v>
      </c>
      <c r="CZ3" s="68" t="s">
        <v>744</v>
      </c>
      <c r="DA3" s="68" t="s">
        <v>745</v>
      </c>
      <c r="DB3" s="68" t="s">
        <v>746</v>
      </c>
      <c r="DC3" s="68" t="s">
        <v>747</v>
      </c>
      <c r="DD3" s="68" t="s">
        <v>748</v>
      </c>
      <c r="DE3" s="68" t="s">
        <v>749</v>
      </c>
      <c r="DF3" s="68" t="s">
        <v>750</v>
      </c>
      <c r="DG3" s="68" t="s">
        <v>751</v>
      </c>
      <c r="DH3" s="68" t="s">
        <v>752</v>
      </c>
      <c r="DI3" s="68" t="s">
        <v>753</v>
      </c>
      <c r="DJ3" s="68" t="s">
        <v>754</v>
      </c>
      <c r="DK3" s="68" t="s">
        <v>755</v>
      </c>
      <c r="DL3" s="68" t="s">
        <v>756</v>
      </c>
      <c r="DM3" s="68" t="s">
        <v>757</v>
      </c>
      <c r="DN3" s="68" t="s">
        <v>758</v>
      </c>
      <c r="DO3" s="68" t="s">
        <v>759</v>
      </c>
      <c r="DP3" s="68" t="s">
        <v>760</v>
      </c>
      <c r="DQ3" s="68" t="s">
        <v>761</v>
      </c>
      <c r="DR3" s="68" t="s">
        <v>762</v>
      </c>
      <c r="DS3" s="68" t="s">
        <v>763</v>
      </c>
      <c r="DT3" s="68" t="s">
        <v>764</v>
      </c>
      <c r="DU3" s="68" t="s">
        <v>765</v>
      </c>
      <c r="DV3" s="68" t="s">
        <v>766</v>
      </c>
      <c r="DW3" s="68" t="s">
        <v>767</v>
      </c>
      <c r="DX3" s="68" t="s">
        <v>768</v>
      </c>
      <c r="DY3" s="68" t="s">
        <v>769</v>
      </c>
      <c r="DZ3" s="68" t="s">
        <v>770</v>
      </c>
      <c r="EA3" s="68" t="s">
        <v>771</v>
      </c>
      <c r="EB3" s="68" t="s">
        <v>772</v>
      </c>
      <c r="EC3" s="68" t="s">
        <v>773</v>
      </c>
      <c r="ED3" s="68" t="s">
        <v>699</v>
      </c>
      <c r="EE3" s="68" t="s">
        <v>774</v>
      </c>
      <c r="EF3" s="68" t="s">
        <v>775</v>
      </c>
      <c r="EG3" s="68" t="s">
        <v>776</v>
      </c>
      <c r="EH3" s="68" t="s">
        <v>777</v>
      </c>
      <c r="EI3" s="68" t="s">
        <v>778</v>
      </c>
      <c r="EJ3" s="68" t="s">
        <v>779</v>
      </c>
      <c r="EK3" s="68" t="s">
        <v>780</v>
      </c>
      <c r="EL3" s="68" t="s">
        <v>781</v>
      </c>
      <c r="EM3" s="68" t="s">
        <v>782</v>
      </c>
      <c r="EN3" s="68" t="s">
        <v>783</v>
      </c>
      <c r="EO3" s="68" t="s">
        <v>784</v>
      </c>
      <c r="EP3" s="68" t="s">
        <v>785</v>
      </c>
      <c r="EQ3" s="68" t="s">
        <v>786</v>
      </c>
      <c r="ER3" s="68" t="s">
        <v>787</v>
      </c>
      <c r="ES3" s="68" t="s">
        <v>788</v>
      </c>
      <c r="ET3" s="68" t="s">
        <v>789</v>
      </c>
      <c r="EU3" s="68" t="s">
        <v>790</v>
      </c>
      <c r="EV3" s="68" t="s">
        <v>791</v>
      </c>
      <c r="EW3" s="68" t="s">
        <v>792</v>
      </c>
      <c r="EX3" s="68" t="s">
        <v>793</v>
      </c>
      <c r="EY3" s="68" t="s">
        <v>794</v>
      </c>
      <c r="EZ3" s="68" t="s">
        <v>795</v>
      </c>
      <c r="FA3" s="68" t="s">
        <v>796</v>
      </c>
      <c r="FB3" s="68" t="s">
        <v>797</v>
      </c>
      <c r="FC3" s="68" t="s">
        <v>798</v>
      </c>
      <c r="FD3" s="68" t="s">
        <v>799</v>
      </c>
      <c r="FE3" s="68" t="s">
        <v>800</v>
      </c>
      <c r="FF3" s="68" t="s">
        <v>801</v>
      </c>
      <c r="FG3" s="68" t="s">
        <v>802</v>
      </c>
      <c r="FH3" s="68" t="s">
        <v>803</v>
      </c>
      <c r="FI3" s="68" t="s">
        <v>804</v>
      </c>
      <c r="FJ3" s="68" t="s">
        <v>805</v>
      </c>
      <c r="FK3" s="68" t="s">
        <v>806</v>
      </c>
      <c r="FL3" s="68" t="s">
        <v>807</v>
      </c>
      <c r="FM3" s="68" t="s">
        <v>808</v>
      </c>
      <c r="FN3" s="68" t="s">
        <v>809</v>
      </c>
      <c r="FO3" s="68" t="s">
        <v>810</v>
      </c>
      <c r="FP3" s="68" t="s">
        <v>798</v>
      </c>
      <c r="FQ3" s="68" t="s">
        <v>811</v>
      </c>
      <c r="FR3" s="68" t="s">
        <v>812</v>
      </c>
      <c r="FS3" s="68" t="s">
        <v>813</v>
      </c>
      <c r="FT3" s="68"/>
      <c r="FU3" s="68"/>
      <c r="FV3" s="101" t="s">
        <v>814</v>
      </c>
      <c r="FW3" s="103" t="s">
        <v>455</v>
      </c>
      <c r="FX3" s="68" t="s">
        <v>815</v>
      </c>
      <c r="FY3" s="68" t="s">
        <v>816</v>
      </c>
      <c r="FZ3" s="68" t="s">
        <v>817</v>
      </c>
      <c r="GA3" s="101" t="s">
        <v>814</v>
      </c>
      <c r="GB3" s="101" t="s">
        <v>814</v>
      </c>
      <c r="GC3" s="103" t="s">
        <v>455</v>
      </c>
      <c r="GD3" s="103" t="s">
        <v>818</v>
      </c>
      <c r="GE3" s="103" t="s">
        <v>818</v>
      </c>
      <c r="GF3" s="103" t="s">
        <v>818</v>
      </c>
      <c r="GG3" s="103" t="s">
        <v>498</v>
      </c>
      <c r="GH3" s="103" t="s">
        <v>499</v>
      </c>
      <c r="GI3" s="103" t="s">
        <v>507</v>
      </c>
      <c r="GJ3" s="103" t="s">
        <v>455</v>
      </c>
      <c r="GK3" s="67"/>
      <c r="GL3" s="67"/>
    </row>
    <row r="4" spans="1:195" x14ac:dyDescent="0.2">
      <c r="D4" s="267"/>
      <c r="E4" s="274">
        <v>2014</v>
      </c>
      <c r="F4" s="275">
        <v>2015</v>
      </c>
      <c r="G4" s="276" t="s">
        <v>2</v>
      </c>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7"/>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7"/>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7"/>
      <c r="FU4" s="67"/>
      <c r="FV4" s="67"/>
      <c r="FW4" s="67"/>
      <c r="FX4" s="67"/>
      <c r="FY4" s="67"/>
      <c r="FZ4" s="67"/>
      <c r="GA4" s="67"/>
      <c r="GB4" s="67"/>
      <c r="GC4" s="67"/>
      <c r="GD4" s="67"/>
      <c r="GE4" s="67"/>
      <c r="GF4" s="67"/>
      <c r="GG4" s="49"/>
      <c r="GH4" s="49"/>
      <c r="GI4" s="49"/>
      <c r="GJ4" s="67"/>
      <c r="GK4" s="67"/>
      <c r="GL4" s="67"/>
    </row>
    <row r="5" spans="1:195" x14ac:dyDescent="0.2">
      <c r="D5" s="267"/>
      <c r="E5" s="274"/>
      <c r="F5" s="275"/>
      <c r="G5" s="276">
        <v>2015</v>
      </c>
      <c r="FT5" s="67"/>
      <c r="FU5" s="67"/>
      <c r="FV5" s="67"/>
      <c r="FW5" s="67"/>
      <c r="FX5" s="67"/>
      <c r="FY5" s="67"/>
      <c r="FZ5" s="67"/>
      <c r="GA5" s="67"/>
      <c r="GB5" s="67"/>
      <c r="GC5" s="67"/>
      <c r="GD5" s="67"/>
      <c r="GE5" s="67"/>
      <c r="GF5" s="67"/>
      <c r="GG5" s="49"/>
      <c r="GH5" s="49"/>
      <c r="GI5" s="49"/>
      <c r="GJ5" s="67"/>
      <c r="GK5" s="67"/>
      <c r="GL5" s="67"/>
    </row>
    <row r="6" spans="1:195" s="40" customFormat="1" x14ac:dyDescent="0.2">
      <c r="B6" s="40" t="s">
        <v>819</v>
      </c>
      <c r="D6" s="267"/>
      <c r="E6" s="268"/>
      <c r="F6" s="268"/>
      <c r="G6" s="269"/>
      <c r="H6" s="48">
        <v>2015</v>
      </c>
      <c r="I6" s="48">
        <v>2015</v>
      </c>
      <c r="J6" s="48">
        <v>2015</v>
      </c>
      <c r="K6" s="48">
        <v>2015</v>
      </c>
      <c r="L6" s="48">
        <v>2015</v>
      </c>
      <c r="M6" s="48">
        <v>2015</v>
      </c>
      <c r="N6" s="48">
        <v>2015</v>
      </c>
      <c r="O6" s="48">
        <v>2015</v>
      </c>
      <c r="P6" s="48">
        <v>2015</v>
      </c>
      <c r="Q6" s="48">
        <v>2015</v>
      </c>
      <c r="R6" s="48">
        <v>2015</v>
      </c>
      <c r="S6" s="48">
        <v>2015</v>
      </c>
      <c r="T6" s="48">
        <v>2015</v>
      </c>
      <c r="U6" s="48">
        <v>2015</v>
      </c>
      <c r="V6" s="48">
        <v>2015</v>
      </c>
      <c r="W6" s="48">
        <v>2015</v>
      </c>
      <c r="X6" s="48">
        <v>2015</v>
      </c>
      <c r="Y6" s="48">
        <v>2015</v>
      </c>
      <c r="Z6" s="48">
        <v>2015</v>
      </c>
      <c r="AA6" s="48">
        <v>2015</v>
      </c>
      <c r="AB6" s="48">
        <v>2015</v>
      </c>
      <c r="AC6" s="48">
        <v>2015</v>
      </c>
      <c r="AD6" s="48">
        <v>2015</v>
      </c>
      <c r="AE6" s="48">
        <v>2015</v>
      </c>
      <c r="AF6" s="48">
        <v>2015</v>
      </c>
      <c r="AG6" s="48">
        <v>2015</v>
      </c>
      <c r="AH6" s="48">
        <v>2015</v>
      </c>
      <c r="AI6" s="48">
        <v>2015</v>
      </c>
      <c r="AJ6" s="48">
        <v>2015</v>
      </c>
      <c r="AK6" s="48">
        <v>2015</v>
      </c>
      <c r="AL6" s="48">
        <v>2015</v>
      </c>
      <c r="AM6" s="48">
        <v>2015</v>
      </c>
      <c r="AN6" s="48">
        <v>2015</v>
      </c>
      <c r="AO6" s="48">
        <v>2015</v>
      </c>
      <c r="AP6" s="48">
        <v>2015</v>
      </c>
      <c r="AQ6" s="48">
        <v>2015</v>
      </c>
      <c r="AR6" s="48">
        <v>2015</v>
      </c>
      <c r="AS6" s="48">
        <v>2015</v>
      </c>
      <c r="AT6" s="48">
        <v>2015</v>
      </c>
      <c r="AU6" s="48">
        <v>2015</v>
      </c>
      <c r="AV6" s="48">
        <v>2015</v>
      </c>
      <c r="AW6" s="48">
        <v>2015</v>
      </c>
      <c r="AX6" s="48">
        <v>2015</v>
      </c>
      <c r="AY6" s="48">
        <v>2015</v>
      </c>
      <c r="AZ6" s="48">
        <v>2015</v>
      </c>
      <c r="BA6" s="48">
        <v>2015</v>
      </c>
      <c r="BB6" s="48">
        <v>2015</v>
      </c>
      <c r="BC6" s="48">
        <v>2015</v>
      </c>
      <c r="BD6" s="48">
        <v>2015</v>
      </c>
      <c r="BE6" s="48">
        <v>2015</v>
      </c>
      <c r="BF6" s="48">
        <v>2015</v>
      </c>
      <c r="BG6" s="48">
        <v>2015</v>
      </c>
      <c r="BH6" s="48">
        <v>2015</v>
      </c>
      <c r="BI6" s="48">
        <v>2015</v>
      </c>
      <c r="BJ6" s="48">
        <v>2015</v>
      </c>
      <c r="BK6" s="48">
        <v>2015</v>
      </c>
      <c r="BL6" s="48">
        <v>2015</v>
      </c>
      <c r="BM6" s="48">
        <v>2015</v>
      </c>
      <c r="BN6" s="48">
        <v>2015</v>
      </c>
      <c r="BO6" s="48">
        <v>2015</v>
      </c>
      <c r="BP6" s="48">
        <v>2015</v>
      </c>
      <c r="BQ6" s="48">
        <v>2015</v>
      </c>
      <c r="BR6" s="48">
        <v>2015</v>
      </c>
      <c r="BS6" s="48">
        <v>2015</v>
      </c>
      <c r="BT6" s="48">
        <v>2015</v>
      </c>
      <c r="BU6" s="48">
        <v>2015</v>
      </c>
      <c r="BV6" s="48">
        <v>2015</v>
      </c>
      <c r="BW6" s="48">
        <v>2015</v>
      </c>
      <c r="BX6" s="48">
        <v>2015</v>
      </c>
      <c r="BY6" s="48">
        <v>2015</v>
      </c>
      <c r="BZ6" s="48">
        <v>2015</v>
      </c>
      <c r="CA6" s="48">
        <v>2015</v>
      </c>
      <c r="CB6" s="48">
        <v>2015</v>
      </c>
      <c r="CC6" s="48">
        <v>2015</v>
      </c>
      <c r="CD6" s="48">
        <v>2015</v>
      </c>
      <c r="CE6" s="48">
        <v>2015</v>
      </c>
      <c r="CF6" s="48">
        <v>2015</v>
      </c>
      <c r="CG6" s="48">
        <v>2015</v>
      </c>
      <c r="CH6" s="48">
        <v>2015</v>
      </c>
      <c r="CI6" s="48">
        <v>2015</v>
      </c>
      <c r="CJ6" s="48">
        <v>2015</v>
      </c>
      <c r="CK6" s="48">
        <v>2015</v>
      </c>
      <c r="CL6" s="48">
        <v>2015</v>
      </c>
      <c r="CM6" s="48">
        <v>2015</v>
      </c>
      <c r="CN6" s="48">
        <v>2015</v>
      </c>
      <c r="CO6" s="48">
        <v>2015</v>
      </c>
      <c r="CP6" s="48">
        <v>2015</v>
      </c>
      <c r="CQ6" s="48">
        <v>2015</v>
      </c>
      <c r="CR6" s="48">
        <v>2015</v>
      </c>
      <c r="CS6" s="48">
        <v>2015</v>
      </c>
      <c r="CT6" s="48">
        <v>2015</v>
      </c>
      <c r="CU6" s="48">
        <v>2015</v>
      </c>
      <c r="CV6" s="48">
        <v>2015</v>
      </c>
      <c r="CW6" s="48">
        <v>2015</v>
      </c>
      <c r="CX6" s="48">
        <v>2015</v>
      </c>
      <c r="CY6" s="48">
        <v>2015</v>
      </c>
      <c r="CZ6" s="48">
        <v>2015</v>
      </c>
      <c r="DA6" s="48">
        <v>2015</v>
      </c>
      <c r="DB6" s="48">
        <v>2015</v>
      </c>
      <c r="DC6" s="48">
        <v>2015</v>
      </c>
      <c r="DD6" s="48">
        <v>2015</v>
      </c>
      <c r="DE6" s="48">
        <v>2015</v>
      </c>
      <c r="DF6" s="48">
        <v>2015</v>
      </c>
      <c r="DG6" s="48">
        <v>2015</v>
      </c>
      <c r="DH6" s="48">
        <v>2015</v>
      </c>
      <c r="DI6" s="48">
        <v>2015</v>
      </c>
      <c r="DJ6" s="48">
        <v>2015</v>
      </c>
      <c r="DK6" s="48">
        <v>2015</v>
      </c>
      <c r="DL6" s="48">
        <v>2015</v>
      </c>
      <c r="DM6" s="48">
        <v>2015</v>
      </c>
      <c r="DN6" s="48">
        <v>2015</v>
      </c>
      <c r="DO6" s="48">
        <v>2015</v>
      </c>
      <c r="DP6" s="48">
        <v>2015</v>
      </c>
      <c r="DQ6" s="48">
        <v>2015</v>
      </c>
      <c r="DR6" s="48">
        <v>2015</v>
      </c>
      <c r="DS6" s="48">
        <v>2015</v>
      </c>
      <c r="DT6" s="48">
        <v>2015</v>
      </c>
      <c r="DU6" s="48">
        <v>2015</v>
      </c>
      <c r="DV6" s="48">
        <v>2015</v>
      </c>
      <c r="DW6" s="48">
        <v>2015</v>
      </c>
      <c r="DX6" s="48">
        <v>2015</v>
      </c>
      <c r="DY6" s="48">
        <v>2015</v>
      </c>
      <c r="DZ6" s="48">
        <v>2015</v>
      </c>
      <c r="EA6" s="48">
        <v>2015</v>
      </c>
      <c r="EB6" s="48">
        <v>2015</v>
      </c>
      <c r="EC6" s="48">
        <v>2015</v>
      </c>
      <c r="ED6" s="48">
        <v>2015</v>
      </c>
      <c r="EE6" s="48">
        <v>2015</v>
      </c>
      <c r="EF6" s="48">
        <v>2015</v>
      </c>
      <c r="EG6" s="48">
        <v>2015</v>
      </c>
      <c r="EH6" s="48">
        <v>2015</v>
      </c>
      <c r="EI6" s="48">
        <v>2015</v>
      </c>
      <c r="EJ6" s="48">
        <v>2015</v>
      </c>
      <c r="EK6" s="48">
        <v>2015</v>
      </c>
      <c r="EL6" s="48">
        <v>2015</v>
      </c>
      <c r="EM6" s="48">
        <v>2015</v>
      </c>
      <c r="EN6" s="48">
        <v>2015</v>
      </c>
      <c r="EO6" s="48">
        <v>2015</v>
      </c>
      <c r="EP6" s="48">
        <v>2015</v>
      </c>
      <c r="EQ6" s="48">
        <v>2015</v>
      </c>
      <c r="ER6" s="48">
        <v>2015</v>
      </c>
      <c r="ES6" s="48">
        <v>2015</v>
      </c>
      <c r="ET6" s="48">
        <v>2015</v>
      </c>
      <c r="EU6" s="48">
        <v>2015</v>
      </c>
      <c r="EV6" s="48">
        <v>2015</v>
      </c>
      <c r="EW6" s="48">
        <v>2015</v>
      </c>
      <c r="EX6" s="48">
        <v>2015</v>
      </c>
      <c r="EY6" s="48">
        <v>2015</v>
      </c>
      <c r="EZ6" s="48">
        <v>2015</v>
      </c>
      <c r="FA6" s="48">
        <v>2015</v>
      </c>
      <c r="FB6" s="48">
        <v>2015</v>
      </c>
      <c r="FC6" s="48">
        <v>2015</v>
      </c>
      <c r="FD6" s="48">
        <v>2015</v>
      </c>
      <c r="FE6" s="48">
        <v>2015</v>
      </c>
      <c r="FF6" s="48">
        <v>2015</v>
      </c>
      <c r="FG6" s="48">
        <v>2015</v>
      </c>
      <c r="FH6" s="48">
        <v>2015</v>
      </c>
      <c r="FI6" s="48">
        <v>2015</v>
      </c>
      <c r="FJ6" s="48">
        <v>2015</v>
      </c>
      <c r="FK6" s="48">
        <v>2015</v>
      </c>
      <c r="FL6" s="48">
        <v>2015</v>
      </c>
      <c r="FM6" s="48">
        <v>2015</v>
      </c>
      <c r="FN6" s="48">
        <v>2015</v>
      </c>
      <c r="FO6" s="48">
        <v>2015</v>
      </c>
      <c r="FP6" s="48">
        <v>2015</v>
      </c>
      <c r="FQ6" s="48">
        <v>2015</v>
      </c>
      <c r="FR6" s="48">
        <v>2015</v>
      </c>
      <c r="FS6" s="48">
        <v>2015</v>
      </c>
      <c r="FT6" s="48">
        <v>2015</v>
      </c>
      <c r="FU6" s="48">
        <v>2015</v>
      </c>
      <c r="FV6" s="48">
        <v>2015</v>
      </c>
      <c r="FW6" s="48">
        <v>2015</v>
      </c>
      <c r="FX6" s="48">
        <v>2015</v>
      </c>
      <c r="FY6" s="48">
        <v>2015</v>
      </c>
      <c r="FZ6" s="48">
        <v>2015</v>
      </c>
      <c r="GA6" s="48">
        <v>2015</v>
      </c>
      <c r="GB6" s="48">
        <v>2015</v>
      </c>
      <c r="GC6" s="48">
        <v>2015</v>
      </c>
      <c r="GD6" s="48">
        <v>2015</v>
      </c>
      <c r="GE6" s="48">
        <v>2015</v>
      </c>
      <c r="GF6" s="48">
        <v>2015</v>
      </c>
      <c r="GG6" s="48">
        <v>2015</v>
      </c>
      <c r="GH6" s="48">
        <v>2015</v>
      </c>
      <c r="GI6" s="48">
        <v>2015</v>
      </c>
      <c r="GJ6" s="48">
        <v>2015</v>
      </c>
      <c r="GK6" s="270"/>
      <c r="GL6" s="270"/>
    </row>
    <row r="7" spans="1:195" ht="12" customHeight="1" x14ac:dyDescent="0.2">
      <c r="A7" s="43" t="s">
        <v>212</v>
      </c>
      <c r="B7" s="43" t="s">
        <v>549</v>
      </c>
      <c r="C7" s="43"/>
      <c r="D7" s="71"/>
      <c r="E7" s="72"/>
      <c r="F7" s="72"/>
      <c r="G7" s="54">
        <v>5487308</v>
      </c>
      <c r="H7" s="54">
        <v>7551113</v>
      </c>
      <c r="I7" s="54">
        <v>3245037</v>
      </c>
      <c r="J7" s="54">
        <v>1776323</v>
      </c>
      <c r="K7" s="54">
        <v>814182</v>
      </c>
      <c r="L7" s="54">
        <v>1715571</v>
      </c>
      <c r="M7" s="54">
        <v>148</v>
      </c>
      <c r="N7" s="54">
        <v>509422</v>
      </c>
      <c r="O7" s="54">
        <v>36491515</v>
      </c>
      <c r="P7" s="54">
        <v>14700996</v>
      </c>
      <c r="Q7" s="54">
        <v>11161853</v>
      </c>
      <c r="R7" s="54">
        <v>3539143</v>
      </c>
      <c r="S7" s="54">
        <v>2899666</v>
      </c>
      <c r="T7" s="54">
        <v>639477</v>
      </c>
      <c r="U7" s="54">
        <v>16447109</v>
      </c>
      <c r="V7" s="54">
        <v>1853508</v>
      </c>
      <c r="W7" s="54">
        <v>2503117</v>
      </c>
      <c r="X7" s="54">
        <v>986785</v>
      </c>
      <c r="Y7" s="54">
        <v>-28430832</v>
      </c>
      <c r="Z7" s="54">
        <v>21768090</v>
      </c>
      <c r="AA7" s="54">
        <v>18536259</v>
      </c>
      <c r="AB7" s="54">
        <v>1646631</v>
      </c>
      <c r="AC7" s="54">
        <v>1585200</v>
      </c>
      <c r="AD7" s="54">
        <v>8233200</v>
      </c>
      <c r="AE7" s="54">
        <v>341412</v>
      </c>
      <c r="AF7" s="54">
        <v>251406</v>
      </c>
      <c r="AG7" s="54">
        <v>360147</v>
      </c>
      <c r="AH7" s="54">
        <v>198660</v>
      </c>
      <c r="AI7" s="54">
        <v>194452</v>
      </c>
      <c r="AJ7" s="54">
        <v>75689</v>
      </c>
      <c r="AK7" s="54">
        <v>1911870</v>
      </c>
      <c r="AL7" s="54">
        <v>2091948</v>
      </c>
      <c r="AM7" s="54">
        <v>2011057</v>
      </c>
      <c r="AN7" s="54">
        <v>80891</v>
      </c>
      <c r="AO7" s="54">
        <v>330831</v>
      </c>
      <c r="AP7" s="54">
        <v>346561</v>
      </c>
      <c r="AQ7" s="54">
        <v>15730</v>
      </c>
      <c r="AR7" s="54">
        <v>150753</v>
      </c>
      <c r="AS7" s="54">
        <v>-17771</v>
      </c>
      <c r="AT7" s="54">
        <v>-15765</v>
      </c>
      <c r="AU7" s="54">
        <v>52927</v>
      </c>
      <c r="AV7" s="54">
        <v>170144</v>
      </c>
      <c r="AW7" s="54">
        <v>0</v>
      </c>
      <c r="AX7" s="54">
        <v>1627327</v>
      </c>
      <c r="AY7" s="54">
        <v>1911870</v>
      </c>
      <c r="AZ7" s="54">
        <v>330857</v>
      </c>
      <c r="BA7" s="54">
        <v>-615400</v>
      </c>
      <c r="BB7" s="54">
        <v>-2511833</v>
      </c>
      <c r="BC7" s="54">
        <v>3627452</v>
      </c>
      <c r="BD7" s="54">
        <v>197074</v>
      </c>
      <c r="BE7" s="54">
        <v>918545</v>
      </c>
      <c r="BF7" s="54">
        <v>-884506</v>
      </c>
      <c r="BG7" s="54">
        <v>699846</v>
      </c>
      <c r="BH7" s="54">
        <v>-198919</v>
      </c>
      <c r="BI7" s="54">
        <v>512647</v>
      </c>
      <c r="BJ7" s="54">
        <v>313728</v>
      </c>
      <c r="BK7" s="54">
        <v>810903</v>
      </c>
      <c r="BL7" s="54">
        <v>2268920</v>
      </c>
      <c r="BM7" s="54">
        <v>1792289</v>
      </c>
      <c r="BN7" s="54">
        <v>334272</v>
      </c>
      <c r="BO7" s="54">
        <v>-8488</v>
      </c>
      <c r="BP7" s="54">
        <v>96350</v>
      </c>
      <c r="BQ7" s="54">
        <v>-1916</v>
      </c>
      <c r="BR7" s="54">
        <v>13571</v>
      </c>
      <c r="BS7" s="54">
        <v>94250</v>
      </c>
      <c r="BT7" s="54">
        <v>-9555</v>
      </c>
      <c r="BU7" s="54">
        <v>-184597</v>
      </c>
      <c r="BV7" s="54">
        <v>4148718</v>
      </c>
      <c r="BW7" s="54">
        <v>4333315</v>
      </c>
      <c r="BX7" s="54">
        <v>0</v>
      </c>
      <c r="BY7" s="54">
        <v>47864394</v>
      </c>
      <c r="BZ7" s="54">
        <v>601730</v>
      </c>
      <c r="CA7" s="54">
        <v>81578</v>
      </c>
      <c r="CB7" s="54">
        <v>510736</v>
      </c>
      <c r="CC7" s="54">
        <v>9416</v>
      </c>
      <c r="CD7" s="54">
        <v>30977887</v>
      </c>
      <c r="CE7" s="54">
        <v>7724224</v>
      </c>
      <c r="CF7" s="54">
        <v>13380229</v>
      </c>
      <c r="CG7" s="54">
        <v>7945195</v>
      </c>
      <c r="CH7" s="54">
        <v>587257</v>
      </c>
      <c r="CI7" s="54">
        <v>59547</v>
      </c>
      <c r="CJ7" s="54">
        <v>48766</v>
      </c>
      <c r="CK7" s="54">
        <v>1281435</v>
      </c>
      <c r="CL7" s="54">
        <v>16284777</v>
      </c>
      <c r="CM7" s="54">
        <v>10679851</v>
      </c>
      <c r="CN7" s="54">
        <v>2750170</v>
      </c>
      <c r="CO7" s="54">
        <v>7929681</v>
      </c>
      <c r="CP7" s="54">
        <v>150000</v>
      </c>
      <c r="CQ7" s="54">
        <v>5402639</v>
      </c>
      <c r="CR7" s="54">
        <v>6</v>
      </c>
      <c r="CS7" s="54">
        <v>1193259</v>
      </c>
      <c r="CT7" s="54">
        <v>4209374</v>
      </c>
      <c r="CU7" s="54">
        <v>52287</v>
      </c>
      <c r="CV7" s="54">
        <v>796796</v>
      </c>
      <c r="CW7" s="54">
        <v>218931</v>
      </c>
      <c r="CX7" s="54">
        <v>128789</v>
      </c>
      <c r="CY7" s="54">
        <v>449076</v>
      </c>
      <c r="CZ7" s="54">
        <v>6424194</v>
      </c>
      <c r="DA7" s="54">
        <v>94740</v>
      </c>
      <c r="DB7" s="54">
        <v>39141</v>
      </c>
      <c r="DC7" s="54">
        <v>11571</v>
      </c>
      <c r="DD7" s="54">
        <v>2634</v>
      </c>
      <c r="DE7" s="54">
        <v>41215</v>
      </c>
      <c r="DF7" s="54">
        <v>179</v>
      </c>
      <c r="DG7" s="54">
        <v>2180991</v>
      </c>
      <c r="DH7" s="54">
        <v>390424</v>
      </c>
      <c r="DI7" s="54">
        <v>32295</v>
      </c>
      <c r="DJ7" s="54">
        <v>196243</v>
      </c>
      <c r="DK7" s="54">
        <v>97638</v>
      </c>
      <c r="DL7" s="54">
        <v>64248</v>
      </c>
      <c r="DM7" s="54">
        <v>1790567</v>
      </c>
      <c r="DN7" s="54">
        <v>681704</v>
      </c>
      <c r="DO7" s="54">
        <v>211577</v>
      </c>
      <c r="DP7" s="54">
        <v>415768</v>
      </c>
      <c r="DQ7" s="54">
        <v>481518</v>
      </c>
      <c r="DR7" s="54">
        <v>2040836</v>
      </c>
      <c r="DS7" s="54">
        <v>226453</v>
      </c>
      <c r="DT7" s="54">
        <v>657373</v>
      </c>
      <c r="DU7" s="54">
        <v>281247</v>
      </c>
      <c r="DV7" s="54">
        <v>875763</v>
      </c>
      <c r="DW7" s="54">
        <v>2107627</v>
      </c>
      <c r="DX7" s="54">
        <v>55085384</v>
      </c>
      <c r="DY7" s="54">
        <v>32135320</v>
      </c>
      <c r="DZ7" s="54">
        <v>18059713</v>
      </c>
      <c r="EA7" s="54">
        <v>2126233</v>
      </c>
      <c r="EB7" s="54">
        <v>2426239</v>
      </c>
      <c r="EC7" s="54">
        <v>9352617</v>
      </c>
      <c r="ED7" s="54">
        <v>170518</v>
      </c>
      <c r="EE7" s="54">
        <v>893929</v>
      </c>
      <c r="EF7" s="54">
        <v>686854</v>
      </c>
      <c r="EG7" s="54">
        <v>207075</v>
      </c>
      <c r="EH7" s="54">
        <v>307377</v>
      </c>
      <c r="EI7" s="54">
        <v>173488</v>
      </c>
      <c r="EJ7" s="54">
        <v>133889</v>
      </c>
      <c r="EK7" s="54">
        <v>896360</v>
      </c>
      <c r="EL7" s="54">
        <v>221288</v>
      </c>
      <c r="EM7" s="54">
        <v>180805</v>
      </c>
      <c r="EN7" s="54">
        <v>494267</v>
      </c>
      <c r="EO7" s="54">
        <v>20852406</v>
      </c>
      <c r="EP7" s="54">
        <v>11630736</v>
      </c>
      <c r="EQ7" s="54">
        <v>649687</v>
      </c>
      <c r="ER7" s="54">
        <v>10186480</v>
      </c>
      <c r="ES7" s="54">
        <v>1345880</v>
      </c>
      <c r="ET7" s="54">
        <v>6690593</v>
      </c>
      <c r="EU7" s="54">
        <v>138732</v>
      </c>
      <c r="EV7" s="54">
        <v>2011275</v>
      </c>
      <c r="EW7" s="54">
        <v>182678</v>
      </c>
      <c r="EX7" s="54">
        <v>32439</v>
      </c>
      <c r="EY7" s="54">
        <v>52433</v>
      </c>
      <c r="EZ7" s="54">
        <v>4796</v>
      </c>
      <c r="FA7" s="54">
        <v>468111</v>
      </c>
      <c r="FB7" s="54">
        <v>61</v>
      </c>
      <c r="FC7" s="54">
        <v>54112</v>
      </c>
      <c r="FD7" s="54">
        <v>9221670</v>
      </c>
      <c r="FE7" s="54">
        <v>170083</v>
      </c>
      <c r="FF7" s="54">
        <v>3326966</v>
      </c>
      <c r="FG7" s="54">
        <v>1114670</v>
      </c>
      <c r="FH7" s="54">
        <v>1987135</v>
      </c>
      <c r="FI7" s="54">
        <v>98569</v>
      </c>
      <c r="FJ7" s="54">
        <v>126592</v>
      </c>
      <c r="FK7" s="54">
        <v>62033</v>
      </c>
      <c r="FL7" s="54">
        <v>948138</v>
      </c>
      <c r="FM7" s="54">
        <v>203064</v>
      </c>
      <c r="FN7" s="54">
        <v>1561600</v>
      </c>
      <c r="FO7" s="54">
        <v>547154</v>
      </c>
      <c r="FP7" s="54">
        <v>2402632</v>
      </c>
      <c r="FQ7" s="54">
        <v>55085392</v>
      </c>
      <c r="FR7" s="54">
        <v>7813697</v>
      </c>
      <c r="FS7" s="54">
        <v>1192781</v>
      </c>
      <c r="FT7" s="67"/>
      <c r="FU7" s="67"/>
      <c r="FV7" s="67"/>
      <c r="FW7" s="67"/>
      <c r="FX7" s="67"/>
      <c r="FY7" s="67"/>
      <c r="FZ7" s="67"/>
      <c r="GA7" s="67"/>
      <c r="GB7" s="67"/>
      <c r="GC7" s="67"/>
      <c r="GD7" s="67"/>
      <c r="GE7" s="67"/>
      <c r="GF7" s="67"/>
      <c r="GG7" s="51"/>
      <c r="GH7" s="51"/>
      <c r="GI7" s="51"/>
      <c r="GJ7" s="67"/>
      <c r="GK7" s="67"/>
      <c r="GL7" s="67"/>
    </row>
    <row r="8" spans="1:195" ht="12" customHeight="1" x14ac:dyDescent="0.2">
      <c r="A8" s="43"/>
      <c r="B8" s="43" t="s">
        <v>820</v>
      </c>
      <c r="C8" s="43"/>
      <c r="D8" s="73"/>
      <c r="E8" s="72"/>
      <c r="F8" s="72"/>
      <c r="G8" s="54">
        <v>5458325</v>
      </c>
      <c r="H8" s="54">
        <v>7519570</v>
      </c>
      <c r="I8" s="54">
        <v>3229913</v>
      </c>
      <c r="J8" s="54">
        <v>1768620</v>
      </c>
      <c r="K8" s="54">
        <v>813413</v>
      </c>
      <c r="L8" s="54">
        <v>1707624</v>
      </c>
      <c r="M8" s="54">
        <v>148</v>
      </c>
      <c r="N8" s="54">
        <v>509119</v>
      </c>
      <c r="O8" s="54">
        <v>36334056</v>
      </c>
      <c r="P8" s="54">
        <v>14616405</v>
      </c>
      <c r="Q8" s="54">
        <v>11094172</v>
      </c>
      <c r="R8" s="54">
        <v>3522233</v>
      </c>
      <c r="S8" s="54">
        <v>2885440</v>
      </c>
      <c r="T8" s="54">
        <v>636793</v>
      </c>
      <c r="U8" s="54">
        <v>16399784</v>
      </c>
      <c r="V8" s="54">
        <v>1838746</v>
      </c>
      <c r="W8" s="54">
        <v>2494477</v>
      </c>
      <c r="X8" s="54">
        <v>984644</v>
      </c>
      <c r="Y8" s="54">
        <v>-28305219</v>
      </c>
      <c r="Z8" s="54">
        <v>21662871</v>
      </c>
      <c r="AA8" s="54">
        <v>18443219</v>
      </c>
      <c r="AB8" s="54">
        <v>1638497</v>
      </c>
      <c r="AC8" s="54">
        <v>1581155</v>
      </c>
      <c r="AD8" s="54">
        <v>8196322</v>
      </c>
      <c r="AE8" s="54">
        <v>340731</v>
      </c>
      <c r="AF8" s="54">
        <v>250238</v>
      </c>
      <c r="AG8" s="54">
        <v>359922</v>
      </c>
      <c r="AH8" s="54">
        <v>198516</v>
      </c>
      <c r="AI8" s="54">
        <v>193799</v>
      </c>
      <c r="AJ8" s="54">
        <v>75630</v>
      </c>
      <c r="AK8" s="54">
        <v>1894705</v>
      </c>
      <c r="AL8" s="54">
        <v>2081911</v>
      </c>
      <c r="AM8" s="54">
        <v>2001054</v>
      </c>
      <c r="AN8" s="54">
        <v>80857</v>
      </c>
      <c r="AO8" s="54">
        <v>330829</v>
      </c>
      <c r="AP8" s="54">
        <v>346559</v>
      </c>
      <c r="AQ8" s="54">
        <v>15730</v>
      </c>
      <c r="AR8" s="54">
        <v>143623</v>
      </c>
      <c r="AS8" s="54">
        <v>-16481</v>
      </c>
      <c r="AT8" s="54">
        <v>-15415</v>
      </c>
      <c r="AU8" s="54">
        <v>52925</v>
      </c>
      <c r="AV8" s="54">
        <v>164652</v>
      </c>
      <c r="AW8" s="54">
        <v>0</v>
      </c>
      <c r="AX8" s="54">
        <v>1611183</v>
      </c>
      <c r="AY8" s="54">
        <v>1894705</v>
      </c>
      <c r="AZ8" s="54">
        <v>330857</v>
      </c>
      <c r="BA8" s="54">
        <v>-614379</v>
      </c>
      <c r="BB8" s="54">
        <v>-2501667</v>
      </c>
      <c r="BC8" s="54">
        <v>3613766</v>
      </c>
      <c r="BD8" s="54">
        <v>195876</v>
      </c>
      <c r="BE8" s="54">
        <v>916223</v>
      </c>
      <c r="BF8" s="54">
        <v>-890484</v>
      </c>
      <c r="BG8" s="54">
        <v>704186</v>
      </c>
      <c r="BH8" s="54">
        <v>-198760</v>
      </c>
      <c r="BI8" s="54">
        <v>512465</v>
      </c>
      <c r="BJ8" s="54">
        <v>313705</v>
      </c>
      <c r="BK8" s="54">
        <v>819452</v>
      </c>
      <c r="BL8" s="54">
        <v>2268170</v>
      </c>
      <c r="BM8" s="54">
        <v>1783114</v>
      </c>
      <c r="BN8" s="54">
        <v>334396</v>
      </c>
      <c r="BO8" s="54">
        <v>-7937</v>
      </c>
      <c r="BP8" s="54">
        <v>91431</v>
      </c>
      <c r="BQ8" s="54">
        <v>-1902</v>
      </c>
      <c r="BR8" s="54">
        <v>13571</v>
      </c>
      <c r="BS8" s="54">
        <v>89249</v>
      </c>
      <c r="BT8" s="54">
        <v>-9487</v>
      </c>
      <c r="BU8" s="54">
        <v>-186280</v>
      </c>
      <c r="BV8" s="54">
        <v>4114383</v>
      </c>
      <c r="BW8" s="54">
        <v>4300663</v>
      </c>
      <c r="BX8" s="54">
        <v>0</v>
      </c>
      <c r="BY8" s="54">
        <v>47635049</v>
      </c>
      <c r="BZ8" s="54">
        <v>599643</v>
      </c>
      <c r="CA8" s="54">
        <v>81295</v>
      </c>
      <c r="CB8" s="54">
        <v>508932</v>
      </c>
      <c r="CC8" s="54">
        <v>9416</v>
      </c>
      <c r="CD8" s="54">
        <v>30789415</v>
      </c>
      <c r="CE8" s="54">
        <v>7706316</v>
      </c>
      <c r="CF8" s="54">
        <v>13264680</v>
      </c>
      <c r="CG8" s="54">
        <v>7900541</v>
      </c>
      <c r="CH8" s="54">
        <v>583969</v>
      </c>
      <c r="CI8" s="54">
        <v>58182</v>
      </c>
      <c r="CJ8" s="54">
        <v>48729</v>
      </c>
      <c r="CK8" s="54">
        <v>1275727</v>
      </c>
      <c r="CL8" s="54">
        <v>16245991</v>
      </c>
      <c r="CM8" s="54">
        <v>10641793</v>
      </c>
      <c r="CN8" s="54">
        <v>2746111</v>
      </c>
      <c r="CO8" s="54">
        <v>7895682</v>
      </c>
      <c r="CP8" s="54">
        <v>150000</v>
      </c>
      <c r="CQ8" s="54">
        <v>5402611</v>
      </c>
      <c r="CR8" s="54">
        <v>6</v>
      </c>
      <c r="CS8" s="54">
        <v>1193241</v>
      </c>
      <c r="CT8" s="54">
        <v>4209364</v>
      </c>
      <c r="CU8" s="54">
        <v>51587</v>
      </c>
      <c r="CV8" s="54">
        <v>793634</v>
      </c>
      <c r="CW8" s="54">
        <v>218311</v>
      </c>
      <c r="CX8" s="54">
        <v>126855</v>
      </c>
      <c r="CY8" s="54">
        <v>448468</v>
      </c>
      <c r="CZ8" s="54">
        <v>6357888</v>
      </c>
      <c r="DA8" s="54">
        <v>94451</v>
      </c>
      <c r="DB8" s="54">
        <v>39141</v>
      </c>
      <c r="DC8" s="54">
        <v>11571</v>
      </c>
      <c r="DD8" s="54">
        <v>2634</v>
      </c>
      <c r="DE8" s="54">
        <v>40926</v>
      </c>
      <c r="DF8" s="54">
        <v>179</v>
      </c>
      <c r="DG8" s="54">
        <v>2149314</v>
      </c>
      <c r="DH8" s="54">
        <v>368119</v>
      </c>
      <c r="DI8" s="54">
        <v>32295</v>
      </c>
      <c r="DJ8" s="54">
        <v>173963</v>
      </c>
      <c r="DK8" s="54">
        <v>97613</v>
      </c>
      <c r="DL8" s="54">
        <v>64248</v>
      </c>
      <c r="DM8" s="54">
        <v>1781195</v>
      </c>
      <c r="DN8" s="54">
        <v>676692</v>
      </c>
      <c r="DO8" s="54">
        <v>210651</v>
      </c>
      <c r="DP8" s="54">
        <v>413286</v>
      </c>
      <c r="DQ8" s="54">
        <v>480566</v>
      </c>
      <c r="DR8" s="54">
        <v>2038326</v>
      </c>
      <c r="DS8" s="54">
        <v>226356</v>
      </c>
      <c r="DT8" s="54">
        <v>654960</v>
      </c>
      <c r="DU8" s="54">
        <v>281247</v>
      </c>
      <c r="DV8" s="54">
        <v>875763</v>
      </c>
      <c r="DW8" s="54">
        <v>2075797</v>
      </c>
      <c r="DX8" s="54">
        <v>54786571</v>
      </c>
      <c r="DY8" s="54">
        <v>31923788</v>
      </c>
      <c r="DZ8" s="54">
        <v>17949096</v>
      </c>
      <c r="EA8" s="54">
        <v>2126226</v>
      </c>
      <c r="EB8" s="54">
        <v>2425879</v>
      </c>
      <c r="EC8" s="54">
        <v>9257918</v>
      </c>
      <c r="ED8" s="54">
        <v>164669</v>
      </c>
      <c r="EE8" s="54">
        <v>889168</v>
      </c>
      <c r="EF8" s="54">
        <v>684645</v>
      </c>
      <c r="EG8" s="54">
        <v>204523</v>
      </c>
      <c r="EH8" s="54">
        <v>307081</v>
      </c>
      <c r="EI8" s="54">
        <v>173488</v>
      </c>
      <c r="EJ8" s="54">
        <v>133593</v>
      </c>
      <c r="EK8" s="54">
        <v>892632</v>
      </c>
      <c r="EL8" s="54">
        <v>220710</v>
      </c>
      <c r="EM8" s="54">
        <v>178340</v>
      </c>
      <c r="EN8" s="54">
        <v>493582</v>
      </c>
      <c r="EO8" s="54">
        <v>20773908</v>
      </c>
      <c r="EP8" s="54">
        <v>11577150</v>
      </c>
      <c r="EQ8" s="54">
        <v>649687</v>
      </c>
      <c r="ER8" s="54">
        <v>10161058</v>
      </c>
      <c r="ES8" s="54">
        <v>1336738</v>
      </c>
      <c r="ET8" s="54">
        <v>6690530</v>
      </c>
      <c r="EU8" s="54">
        <v>122515</v>
      </c>
      <c r="EV8" s="54">
        <v>2011275</v>
      </c>
      <c r="EW8" s="54">
        <v>159140</v>
      </c>
      <c r="EX8" s="54">
        <v>32439</v>
      </c>
      <c r="EY8" s="54">
        <v>52428</v>
      </c>
      <c r="EZ8" s="54">
        <v>4795</v>
      </c>
      <c r="FA8" s="54">
        <v>463491</v>
      </c>
      <c r="FB8" s="54">
        <v>61</v>
      </c>
      <c r="FC8" s="54">
        <v>54112</v>
      </c>
      <c r="FD8" s="54">
        <v>9196758</v>
      </c>
      <c r="FE8" s="54">
        <v>170083</v>
      </c>
      <c r="FF8" s="54">
        <v>3324352</v>
      </c>
      <c r="FG8" s="54">
        <v>1112096</v>
      </c>
      <c r="FH8" s="54">
        <v>1987095</v>
      </c>
      <c r="FI8" s="54">
        <v>98569</v>
      </c>
      <c r="FJ8" s="54">
        <v>126592</v>
      </c>
      <c r="FK8" s="54">
        <v>59956</v>
      </c>
      <c r="FL8" s="54">
        <v>947668</v>
      </c>
      <c r="FM8" s="54">
        <v>202868</v>
      </c>
      <c r="FN8" s="54">
        <v>1555454</v>
      </c>
      <c r="FO8" s="54">
        <v>543764</v>
      </c>
      <c r="FP8" s="54">
        <v>2392613</v>
      </c>
      <c r="FQ8" s="54">
        <v>54786577</v>
      </c>
      <c r="FR8" s="54">
        <v>7792282</v>
      </c>
      <c r="FS8" s="54">
        <v>1190864</v>
      </c>
      <c r="FV8" s="67"/>
      <c r="FW8" s="67"/>
      <c r="FX8" s="67"/>
      <c r="FY8" s="67"/>
      <c r="FZ8" s="67"/>
      <c r="GA8" s="67"/>
      <c r="GB8" s="67"/>
      <c r="GC8" s="67"/>
      <c r="GD8" s="67"/>
      <c r="GE8" s="67"/>
      <c r="GF8" s="67"/>
      <c r="GG8" s="48"/>
      <c r="GI8" s="51"/>
      <c r="GJ8" s="67"/>
      <c r="GK8" s="67"/>
      <c r="GL8" s="67"/>
    </row>
    <row r="9" spans="1:195" ht="12" customHeight="1" x14ac:dyDescent="0.2">
      <c r="A9" s="43"/>
      <c r="B9" s="137" t="s">
        <v>409</v>
      </c>
      <c r="C9" s="137">
        <v>2</v>
      </c>
      <c r="D9" s="138">
        <v>3</v>
      </c>
      <c r="E9" s="137">
        <v>4</v>
      </c>
      <c r="F9" s="138">
        <v>5</v>
      </c>
      <c r="G9" s="137">
        <v>6</v>
      </c>
      <c r="H9" s="138">
        <v>7</v>
      </c>
      <c r="I9" s="137">
        <v>8</v>
      </c>
      <c r="J9" s="138">
        <v>9</v>
      </c>
      <c r="K9" s="137">
        <v>10</v>
      </c>
      <c r="L9" s="138">
        <v>11</v>
      </c>
      <c r="M9" s="137">
        <v>12</v>
      </c>
      <c r="N9" s="138">
        <v>13</v>
      </c>
      <c r="O9" s="137">
        <v>14</v>
      </c>
      <c r="P9" s="138">
        <v>15</v>
      </c>
      <c r="Q9" s="137">
        <v>16</v>
      </c>
      <c r="R9" s="138">
        <v>17</v>
      </c>
      <c r="S9" s="137">
        <v>18</v>
      </c>
      <c r="T9" s="138">
        <v>19</v>
      </c>
      <c r="U9" s="137">
        <v>20</v>
      </c>
      <c r="V9" s="138">
        <v>21</v>
      </c>
      <c r="W9" s="137">
        <v>22</v>
      </c>
      <c r="X9" s="138">
        <v>23</v>
      </c>
      <c r="Y9" s="137">
        <v>24</v>
      </c>
      <c r="Z9" s="138">
        <v>25</v>
      </c>
      <c r="AA9" s="137">
        <v>26</v>
      </c>
      <c r="AB9" s="138">
        <v>27</v>
      </c>
      <c r="AC9" s="137">
        <v>28</v>
      </c>
      <c r="AD9" s="138">
        <v>29</v>
      </c>
      <c r="AE9" s="137">
        <v>30</v>
      </c>
      <c r="AF9" s="138">
        <v>31</v>
      </c>
      <c r="AG9" s="137">
        <v>32</v>
      </c>
      <c r="AH9" s="138">
        <v>33</v>
      </c>
      <c r="AI9" s="137">
        <v>34</v>
      </c>
      <c r="AJ9" s="138">
        <v>35</v>
      </c>
      <c r="AK9" s="137">
        <v>36</v>
      </c>
      <c r="AL9" s="138">
        <v>37</v>
      </c>
      <c r="AM9" s="137">
        <v>38</v>
      </c>
      <c r="AN9" s="138">
        <v>39</v>
      </c>
      <c r="AO9" s="137">
        <v>40</v>
      </c>
      <c r="AP9" s="138">
        <v>41</v>
      </c>
      <c r="AQ9" s="137">
        <v>42</v>
      </c>
      <c r="AR9" s="138">
        <v>43</v>
      </c>
      <c r="AS9" s="137">
        <v>44</v>
      </c>
      <c r="AT9" s="138">
        <v>45</v>
      </c>
      <c r="AU9" s="137">
        <v>46</v>
      </c>
      <c r="AV9" s="138">
        <v>47</v>
      </c>
      <c r="AW9" s="137">
        <v>48</v>
      </c>
      <c r="AX9" s="138">
        <v>49</v>
      </c>
      <c r="AY9" s="137">
        <v>50</v>
      </c>
      <c r="AZ9" s="138">
        <v>51</v>
      </c>
      <c r="BA9" s="137">
        <v>52</v>
      </c>
      <c r="BB9" s="138">
        <v>53</v>
      </c>
      <c r="BC9" s="137">
        <v>54</v>
      </c>
      <c r="BD9" s="138">
        <v>55</v>
      </c>
      <c r="BE9" s="137">
        <v>56</v>
      </c>
      <c r="BF9" s="138">
        <v>57</v>
      </c>
      <c r="BG9" s="137">
        <v>58</v>
      </c>
      <c r="BH9" s="138">
        <v>59</v>
      </c>
      <c r="BI9" s="137">
        <v>60</v>
      </c>
      <c r="BJ9" s="138">
        <v>61</v>
      </c>
      <c r="BK9" s="137">
        <v>62</v>
      </c>
      <c r="BL9" s="138">
        <v>63</v>
      </c>
      <c r="BM9" s="137">
        <v>64</v>
      </c>
      <c r="BN9" s="138">
        <v>65</v>
      </c>
      <c r="BO9" s="137">
        <v>66</v>
      </c>
      <c r="BP9" s="138">
        <v>67</v>
      </c>
      <c r="BQ9" s="137">
        <v>68</v>
      </c>
      <c r="BR9" s="138">
        <v>69</v>
      </c>
      <c r="BS9" s="137">
        <v>70</v>
      </c>
      <c r="BT9" s="138">
        <v>71</v>
      </c>
      <c r="BU9" s="137">
        <v>72</v>
      </c>
      <c r="BV9" s="138">
        <v>73</v>
      </c>
      <c r="BW9" s="137">
        <v>74</v>
      </c>
      <c r="BX9" s="138">
        <v>75</v>
      </c>
      <c r="BY9" s="137">
        <v>76</v>
      </c>
      <c r="BZ9" s="138">
        <v>77</v>
      </c>
      <c r="CA9" s="137">
        <v>78</v>
      </c>
      <c r="CB9" s="138">
        <v>79</v>
      </c>
      <c r="CC9" s="137">
        <v>80</v>
      </c>
      <c r="CD9" s="138">
        <v>81</v>
      </c>
      <c r="CE9" s="137">
        <v>82</v>
      </c>
      <c r="CF9" s="138">
        <v>83</v>
      </c>
      <c r="CG9" s="137">
        <v>84</v>
      </c>
      <c r="CH9" s="138">
        <v>85</v>
      </c>
      <c r="CI9" s="137">
        <v>86</v>
      </c>
      <c r="CJ9" s="138">
        <v>87</v>
      </c>
      <c r="CK9" s="137">
        <v>88</v>
      </c>
      <c r="CL9" s="138">
        <v>89</v>
      </c>
      <c r="CM9" s="137">
        <v>90</v>
      </c>
      <c r="CN9" s="138">
        <v>91</v>
      </c>
      <c r="CO9" s="137">
        <v>92</v>
      </c>
      <c r="CP9" s="138">
        <v>93</v>
      </c>
      <c r="CQ9" s="137">
        <v>94</v>
      </c>
      <c r="CR9" s="138">
        <v>95</v>
      </c>
      <c r="CS9" s="137">
        <v>96</v>
      </c>
      <c r="CT9" s="138">
        <v>97</v>
      </c>
      <c r="CU9" s="137">
        <v>98</v>
      </c>
      <c r="CV9" s="138">
        <v>99</v>
      </c>
      <c r="CW9" s="137">
        <v>100</v>
      </c>
      <c r="CX9" s="138">
        <v>101</v>
      </c>
      <c r="CY9" s="137">
        <v>102</v>
      </c>
      <c r="CZ9" s="138">
        <v>103</v>
      </c>
      <c r="DA9" s="137">
        <v>104</v>
      </c>
      <c r="DB9" s="138">
        <v>105</v>
      </c>
      <c r="DC9" s="137">
        <v>106</v>
      </c>
      <c r="DD9" s="138">
        <v>107</v>
      </c>
      <c r="DE9" s="137">
        <v>108</v>
      </c>
      <c r="DF9" s="138">
        <v>109</v>
      </c>
      <c r="DG9" s="137">
        <v>110</v>
      </c>
      <c r="DH9" s="138">
        <v>111</v>
      </c>
      <c r="DI9" s="137">
        <v>112</v>
      </c>
      <c r="DJ9" s="138">
        <v>113</v>
      </c>
      <c r="DK9" s="137">
        <v>114</v>
      </c>
      <c r="DL9" s="138">
        <v>115</v>
      </c>
      <c r="DM9" s="137">
        <v>116</v>
      </c>
      <c r="DN9" s="138">
        <v>117</v>
      </c>
      <c r="DO9" s="137">
        <v>118</v>
      </c>
      <c r="DP9" s="138">
        <v>119</v>
      </c>
      <c r="DQ9" s="137">
        <v>120</v>
      </c>
      <c r="DR9" s="138">
        <v>121</v>
      </c>
      <c r="DS9" s="137">
        <v>122</v>
      </c>
      <c r="DT9" s="138">
        <v>123</v>
      </c>
      <c r="DU9" s="137">
        <v>124</v>
      </c>
      <c r="DV9" s="138">
        <v>125</v>
      </c>
      <c r="DW9" s="137">
        <v>126</v>
      </c>
      <c r="DX9" s="138">
        <v>127</v>
      </c>
      <c r="DY9" s="137">
        <v>128</v>
      </c>
      <c r="DZ9" s="138">
        <v>129</v>
      </c>
      <c r="EA9" s="137">
        <v>130</v>
      </c>
      <c r="EB9" s="138">
        <v>131</v>
      </c>
      <c r="EC9" s="137">
        <v>132</v>
      </c>
      <c r="ED9" s="138">
        <v>133</v>
      </c>
      <c r="EE9" s="137">
        <v>134</v>
      </c>
      <c r="EF9" s="138">
        <v>135</v>
      </c>
      <c r="EG9" s="137">
        <v>136</v>
      </c>
      <c r="EH9" s="138">
        <v>137</v>
      </c>
      <c r="EI9" s="137">
        <v>138</v>
      </c>
      <c r="EJ9" s="138">
        <v>139</v>
      </c>
      <c r="EK9" s="137">
        <v>140</v>
      </c>
      <c r="EL9" s="138">
        <v>141</v>
      </c>
      <c r="EM9" s="137">
        <v>142</v>
      </c>
      <c r="EN9" s="138">
        <v>143</v>
      </c>
      <c r="EO9" s="137">
        <v>144</v>
      </c>
      <c r="EP9" s="138">
        <v>145</v>
      </c>
      <c r="EQ9" s="137">
        <v>146</v>
      </c>
      <c r="ER9" s="138">
        <v>147</v>
      </c>
      <c r="ES9" s="137">
        <v>148</v>
      </c>
      <c r="ET9" s="138">
        <v>149</v>
      </c>
      <c r="EU9" s="137">
        <v>150</v>
      </c>
      <c r="EV9" s="138">
        <v>151</v>
      </c>
      <c r="EW9" s="137">
        <v>152</v>
      </c>
      <c r="EX9" s="138">
        <v>153</v>
      </c>
      <c r="EY9" s="137">
        <v>154</v>
      </c>
      <c r="EZ9" s="138">
        <v>155</v>
      </c>
      <c r="FA9" s="137">
        <v>156</v>
      </c>
      <c r="FB9" s="138">
        <v>157</v>
      </c>
      <c r="FC9" s="137">
        <v>158</v>
      </c>
      <c r="FD9" s="138">
        <v>159</v>
      </c>
      <c r="FE9" s="137">
        <v>160</v>
      </c>
      <c r="FF9" s="138">
        <v>161</v>
      </c>
      <c r="FG9" s="137">
        <v>162</v>
      </c>
      <c r="FH9" s="138">
        <v>163</v>
      </c>
      <c r="FI9" s="137">
        <v>164</v>
      </c>
      <c r="FJ9" s="138">
        <v>165</v>
      </c>
      <c r="FK9" s="137">
        <v>166</v>
      </c>
      <c r="FL9" s="138">
        <v>167</v>
      </c>
      <c r="FM9" s="137">
        <v>168</v>
      </c>
      <c r="FN9" s="138">
        <v>169</v>
      </c>
      <c r="FO9" s="137">
        <v>170</v>
      </c>
      <c r="FP9" s="138">
        <v>171</v>
      </c>
      <c r="FQ9" s="137">
        <v>172</v>
      </c>
      <c r="FR9" s="138">
        <v>173</v>
      </c>
      <c r="FS9" s="137">
        <v>174</v>
      </c>
      <c r="FT9" s="138">
        <v>175</v>
      </c>
      <c r="FU9" s="137">
        <v>176</v>
      </c>
      <c r="FV9" s="138">
        <v>177</v>
      </c>
      <c r="FW9" s="137">
        <v>178</v>
      </c>
      <c r="FX9" s="138">
        <v>179</v>
      </c>
      <c r="FY9" s="137">
        <v>180</v>
      </c>
      <c r="FZ9" s="138">
        <v>181</v>
      </c>
      <c r="GA9" s="137">
        <v>182</v>
      </c>
      <c r="GB9" s="138">
        <v>183</v>
      </c>
      <c r="GC9" s="137">
        <v>184</v>
      </c>
      <c r="GD9" s="138">
        <v>185</v>
      </c>
      <c r="GE9" s="137">
        <v>186</v>
      </c>
      <c r="GF9" s="138">
        <v>187</v>
      </c>
      <c r="GG9" s="137">
        <v>188</v>
      </c>
      <c r="GH9" s="138">
        <v>189</v>
      </c>
      <c r="GI9" s="137">
        <v>190</v>
      </c>
      <c r="GJ9" s="138">
        <v>191</v>
      </c>
      <c r="GK9" s="67"/>
      <c r="GL9" s="67"/>
    </row>
    <row r="10" spans="1:195" ht="12" customHeight="1" x14ac:dyDescent="0.2">
      <c r="B10" s="41" t="s">
        <v>490</v>
      </c>
      <c r="C10" s="41" t="s">
        <v>490</v>
      </c>
      <c r="E10" s="69"/>
      <c r="F10" s="72"/>
      <c r="G10" s="58">
        <f>SUM(G11:G307)</f>
        <v>5458325</v>
      </c>
      <c r="H10" s="58">
        <f t="shared" ref="H10:BS10" si="0">SUM(H11:H307)</f>
        <v>7519570</v>
      </c>
      <c r="I10" s="58">
        <f t="shared" si="0"/>
        <v>3229913</v>
      </c>
      <c r="J10" s="58">
        <f t="shared" si="0"/>
        <v>1768620</v>
      </c>
      <c r="K10" s="58">
        <f t="shared" si="0"/>
        <v>813413</v>
      </c>
      <c r="L10" s="58">
        <f t="shared" si="0"/>
        <v>1707624</v>
      </c>
      <c r="M10" s="58">
        <f t="shared" si="0"/>
        <v>148</v>
      </c>
      <c r="N10" s="58">
        <f t="shared" si="0"/>
        <v>509119</v>
      </c>
      <c r="O10" s="58">
        <f t="shared" si="0"/>
        <v>36334056</v>
      </c>
      <c r="P10" s="58">
        <f t="shared" si="0"/>
        <v>14616405</v>
      </c>
      <c r="Q10" s="58">
        <f t="shared" si="0"/>
        <v>11094172</v>
      </c>
      <c r="R10" s="58">
        <f t="shared" si="0"/>
        <v>3522233</v>
      </c>
      <c r="S10" s="58">
        <f t="shared" si="0"/>
        <v>2885440</v>
      </c>
      <c r="T10" s="58">
        <f t="shared" si="0"/>
        <v>636793</v>
      </c>
      <c r="U10" s="58">
        <f t="shared" si="0"/>
        <v>16399784</v>
      </c>
      <c r="V10" s="58">
        <f t="shared" si="0"/>
        <v>1838746</v>
      </c>
      <c r="W10" s="58">
        <f t="shared" si="0"/>
        <v>2494477</v>
      </c>
      <c r="X10" s="58">
        <f t="shared" si="0"/>
        <v>984644</v>
      </c>
      <c r="Y10" s="58">
        <f t="shared" si="0"/>
        <v>-28305219</v>
      </c>
      <c r="Z10" s="58">
        <f t="shared" si="0"/>
        <v>21662871</v>
      </c>
      <c r="AA10" s="58">
        <f t="shared" si="0"/>
        <v>18443219</v>
      </c>
      <c r="AB10" s="58">
        <f t="shared" si="0"/>
        <v>1638497</v>
      </c>
      <c r="AC10" s="58">
        <f t="shared" si="0"/>
        <v>1581155</v>
      </c>
      <c r="AD10" s="58">
        <f t="shared" si="0"/>
        <v>8196322</v>
      </c>
      <c r="AE10" s="58">
        <f t="shared" si="0"/>
        <v>340731</v>
      </c>
      <c r="AF10" s="58">
        <f t="shared" si="0"/>
        <v>250238</v>
      </c>
      <c r="AG10" s="58">
        <f t="shared" si="0"/>
        <v>359922</v>
      </c>
      <c r="AH10" s="58">
        <f t="shared" si="0"/>
        <v>198516</v>
      </c>
      <c r="AI10" s="58">
        <f t="shared" si="0"/>
        <v>193799</v>
      </c>
      <c r="AJ10" s="58">
        <f t="shared" si="0"/>
        <v>75630</v>
      </c>
      <c r="AK10" s="58">
        <f t="shared" si="0"/>
        <v>1894705</v>
      </c>
      <c r="AL10" s="58">
        <f t="shared" si="0"/>
        <v>2081911</v>
      </c>
      <c r="AM10" s="58">
        <f t="shared" si="0"/>
        <v>2001054</v>
      </c>
      <c r="AN10" s="58">
        <f t="shared" si="0"/>
        <v>80857</v>
      </c>
      <c r="AO10" s="58">
        <f t="shared" si="0"/>
        <v>330829</v>
      </c>
      <c r="AP10" s="58">
        <f t="shared" si="0"/>
        <v>346559</v>
      </c>
      <c r="AQ10" s="58">
        <f t="shared" si="0"/>
        <v>15730</v>
      </c>
      <c r="AR10" s="58">
        <f t="shared" si="0"/>
        <v>143623</v>
      </c>
      <c r="AS10" s="58">
        <f t="shared" si="0"/>
        <v>-16481</v>
      </c>
      <c r="AT10" s="58">
        <f t="shared" si="0"/>
        <v>-15415</v>
      </c>
      <c r="AU10" s="58">
        <f t="shared" si="0"/>
        <v>52925</v>
      </c>
      <c r="AV10" s="58">
        <f t="shared" si="0"/>
        <v>164652</v>
      </c>
      <c r="AW10" s="58">
        <f t="shared" si="0"/>
        <v>0</v>
      </c>
      <c r="AX10" s="58">
        <f t="shared" si="0"/>
        <v>1611183</v>
      </c>
      <c r="AY10" s="58">
        <f t="shared" si="0"/>
        <v>1894705</v>
      </c>
      <c r="AZ10" s="58">
        <f t="shared" si="0"/>
        <v>330857</v>
      </c>
      <c r="BA10" s="58">
        <f t="shared" si="0"/>
        <v>-614379</v>
      </c>
      <c r="BB10" s="58">
        <f t="shared" si="0"/>
        <v>-2501667</v>
      </c>
      <c r="BC10" s="58">
        <f t="shared" si="0"/>
        <v>3613766</v>
      </c>
      <c r="BD10" s="58">
        <f t="shared" si="0"/>
        <v>195876</v>
      </c>
      <c r="BE10" s="58">
        <f t="shared" si="0"/>
        <v>916223</v>
      </c>
      <c r="BF10" s="58">
        <f t="shared" si="0"/>
        <v>-890484</v>
      </c>
      <c r="BG10" s="58">
        <f t="shared" si="0"/>
        <v>704186</v>
      </c>
      <c r="BH10" s="58">
        <f t="shared" si="0"/>
        <v>-198760</v>
      </c>
      <c r="BI10" s="58">
        <f t="shared" si="0"/>
        <v>512465</v>
      </c>
      <c r="BJ10" s="58">
        <f t="shared" si="0"/>
        <v>313705</v>
      </c>
      <c r="BK10" s="58">
        <f t="shared" si="0"/>
        <v>819452</v>
      </c>
      <c r="BL10" s="58">
        <f t="shared" si="0"/>
        <v>2268170</v>
      </c>
      <c r="BM10" s="58">
        <f t="shared" si="0"/>
        <v>1783114</v>
      </c>
      <c r="BN10" s="58">
        <f t="shared" si="0"/>
        <v>334396</v>
      </c>
      <c r="BO10" s="58">
        <f t="shared" si="0"/>
        <v>-7937</v>
      </c>
      <c r="BP10" s="58">
        <f t="shared" si="0"/>
        <v>91431</v>
      </c>
      <c r="BQ10" s="58">
        <f t="shared" si="0"/>
        <v>-1902</v>
      </c>
      <c r="BR10" s="58">
        <f t="shared" si="0"/>
        <v>13571</v>
      </c>
      <c r="BS10" s="58">
        <f t="shared" si="0"/>
        <v>89249</v>
      </c>
      <c r="BT10" s="58">
        <f t="shared" ref="BT10:EE10" si="1">SUM(BT11:BT307)</f>
        <v>-9487</v>
      </c>
      <c r="BU10" s="58">
        <f t="shared" si="1"/>
        <v>-186280</v>
      </c>
      <c r="BV10" s="58">
        <f t="shared" si="1"/>
        <v>4114383</v>
      </c>
      <c r="BW10" s="58">
        <f t="shared" si="1"/>
        <v>4300663</v>
      </c>
      <c r="BX10" s="58">
        <f t="shared" si="1"/>
        <v>0</v>
      </c>
      <c r="BY10" s="58">
        <f t="shared" si="1"/>
        <v>47635049</v>
      </c>
      <c r="BZ10" s="58">
        <f t="shared" si="1"/>
        <v>599643</v>
      </c>
      <c r="CA10" s="58">
        <f t="shared" si="1"/>
        <v>81295</v>
      </c>
      <c r="CB10" s="58">
        <f t="shared" si="1"/>
        <v>508932</v>
      </c>
      <c r="CC10" s="58">
        <f t="shared" si="1"/>
        <v>9416</v>
      </c>
      <c r="CD10" s="58">
        <f t="shared" si="1"/>
        <v>30789415</v>
      </c>
      <c r="CE10" s="58">
        <f t="shared" si="1"/>
        <v>7706316</v>
      </c>
      <c r="CF10" s="58">
        <f t="shared" si="1"/>
        <v>13264680</v>
      </c>
      <c r="CG10" s="58">
        <f t="shared" si="1"/>
        <v>7900541</v>
      </c>
      <c r="CH10" s="58">
        <f t="shared" si="1"/>
        <v>583969</v>
      </c>
      <c r="CI10" s="58">
        <f t="shared" si="1"/>
        <v>58182</v>
      </c>
      <c r="CJ10" s="58">
        <f t="shared" si="1"/>
        <v>48729</v>
      </c>
      <c r="CK10" s="58">
        <f t="shared" si="1"/>
        <v>1275727</v>
      </c>
      <c r="CL10" s="58">
        <f t="shared" si="1"/>
        <v>16245991</v>
      </c>
      <c r="CM10" s="58">
        <f t="shared" si="1"/>
        <v>10641793</v>
      </c>
      <c r="CN10" s="58">
        <f t="shared" si="1"/>
        <v>2746111</v>
      </c>
      <c r="CO10" s="58">
        <f t="shared" si="1"/>
        <v>7895682</v>
      </c>
      <c r="CP10" s="58">
        <f t="shared" si="1"/>
        <v>150000</v>
      </c>
      <c r="CQ10" s="58">
        <f t="shared" si="1"/>
        <v>5402611</v>
      </c>
      <c r="CR10" s="58">
        <f t="shared" si="1"/>
        <v>6</v>
      </c>
      <c r="CS10" s="58">
        <f t="shared" si="1"/>
        <v>1193241</v>
      </c>
      <c r="CT10" s="58">
        <f t="shared" si="1"/>
        <v>4209364</v>
      </c>
      <c r="CU10" s="58">
        <f t="shared" si="1"/>
        <v>51587</v>
      </c>
      <c r="CV10" s="58">
        <f t="shared" si="1"/>
        <v>793634</v>
      </c>
      <c r="CW10" s="58">
        <f t="shared" si="1"/>
        <v>218311</v>
      </c>
      <c r="CX10" s="58">
        <f t="shared" si="1"/>
        <v>126855</v>
      </c>
      <c r="CY10" s="58">
        <f t="shared" si="1"/>
        <v>448468</v>
      </c>
      <c r="CZ10" s="58">
        <f t="shared" si="1"/>
        <v>6357888</v>
      </c>
      <c r="DA10" s="58">
        <f t="shared" si="1"/>
        <v>94451</v>
      </c>
      <c r="DB10" s="58">
        <f t="shared" si="1"/>
        <v>39141</v>
      </c>
      <c r="DC10" s="58">
        <f t="shared" si="1"/>
        <v>11571</v>
      </c>
      <c r="DD10" s="58">
        <f t="shared" si="1"/>
        <v>2634</v>
      </c>
      <c r="DE10" s="58">
        <f t="shared" si="1"/>
        <v>40926</v>
      </c>
      <c r="DF10" s="58">
        <f t="shared" si="1"/>
        <v>179</v>
      </c>
      <c r="DG10" s="58">
        <f t="shared" si="1"/>
        <v>2149314</v>
      </c>
      <c r="DH10" s="58">
        <f t="shared" si="1"/>
        <v>368119</v>
      </c>
      <c r="DI10" s="58">
        <f t="shared" si="1"/>
        <v>32295</v>
      </c>
      <c r="DJ10" s="58">
        <f t="shared" si="1"/>
        <v>173963</v>
      </c>
      <c r="DK10" s="58">
        <f t="shared" si="1"/>
        <v>97613</v>
      </c>
      <c r="DL10" s="58">
        <f t="shared" si="1"/>
        <v>64248</v>
      </c>
      <c r="DM10" s="58">
        <f t="shared" si="1"/>
        <v>1781195</v>
      </c>
      <c r="DN10" s="58">
        <f t="shared" si="1"/>
        <v>676692</v>
      </c>
      <c r="DO10" s="58">
        <f t="shared" si="1"/>
        <v>210651</v>
      </c>
      <c r="DP10" s="58">
        <f t="shared" si="1"/>
        <v>413286</v>
      </c>
      <c r="DQ10" s="58">
        <f t="shared" si="1"/>
        <v>480566</v>
      </c>
      <c r="DR10" s="58">
        <f t="shared" si="1"/>
        <v>2038326</v>
      </c>
      <c r="DS10" s="58">
        <f t="shared" si="1"/>
        <v>226356</v>
      </c>
      <c r="DT10" s="58">
        <f t="shared" si="1"/>
        <v>654960</v>
      </c>
      <c r="DU10" s="58">
        <f t="shared" si="1"/>
        <v>281247</v>
      </c>
      <c r="DV10" s="58">
        <f t="shared" si="1"/>
        <v>875763</v>
      </c>
      <c r="DW10" s="58">
        <f t="shared" si="1"/>
        <v>2075797</v>
      </c>
      <c r="DX10" s="58">
        <f t="shared" si="1"/>
        <v>54786571</v>
      </c>
      <c r="DY10" s="58">
        <f t="shared" si="1"/>
        <v>31923788</v>
      </c>
      <c r="DZ10" s="58">
        <f t="shared" si="1"/>
        <v>17949096</v>
      </c>
      <c r="EA10" s="58">
        <f t="shared" si="1"/>
        <v>2126226</v>
      </c>
      <c r="EB10" s="58">
        <f t="shared" si="1"/>
        <v>2425879</v>
      </c>
      <c r="EC10" s="58">
        <f t="shared" si="1"/>
        <v>9257918</v>
      </c>
      <c r="ED10" s="58">
        <f t="shared" si="1"/>
        <v>164669</v>
      </c>
      <c r="EE10" s="58">
        <f t="shared" si="1"/>
        <v>889168</v>
      </c>
      <c r="EF10" s="58">
        <f t="shared" ref="EF10:GJ10" si="2">SUM(EF11:EF307)</f>
        <v>684645</v>
      </c>
      <c r="EG10" s="58">
        <f t="shared" si="2"/>
        <v>204523</v>
      </c>
      <c r="EH10" s="58">
        <f t="shared" si="2"/>
        <v>307081</v>
      </c>
      <c r="EI10" s="58">
        <f t="shared" si="2"/>
        <v>173488</v>
      </c>
      <c r="EJ10" s="58">
        <f t="shared" si="2"/>
        <v>133593</v>
      </c>
      <c r="EK10" s="58">
        <f t="shared" si="2"/>
        <v>892632</v>
      </c>
      <c r="EL10" s="58">
        <f t="shared" si="2"/>
        <v>220710</v>
      </c>
      <c r="EM10" s="58">
        <f t="shared" si="2"/>
        <v>178340</v>
      </c>
      <c r="EN10" s="58">
        <f t="shared" si="2"/>
        <v>493582</v>
      </c>
      <c r="EO10" s="58">
        <f t="shared" si="2"/>
        <v>20773908</v>
      </c>
      <c r="EP10" s="58">
        <f t="shared" si="2"/>
        <v>11577150</v>
      </c>
      <c r="EQ10" s="58">
        <f t="shared" si="2"/>
        <v>649687</v>
      </c>
      <c r="ER10" s="58">
        <f t="shared" si="2"/>
        <v>10161058</v>
      </c>
      <c r="ES10" s="58">
        <f t="shared" si="2"/>
        <v>1336738</v>
      </c>
      <c r="ET10" s="58">
        <f t="shared" si="2"/>
        <v>6690530</v>
      </c>
      <c r="EU10" s="58">
        <f t="shared" si="2"/>
        <v>122515</v>
      </c>
      <c r="EV10" s="58">
        <f t="shared" si="2"/>
        <v>2011275</v>
      </c>
      <c r="EW10" s="58">
        <f t="shared" si="2"/>
        <v>159140</v>
      </c>
      <c r="EX10" s="58">
        <f t="shared" si="2"/>
        <v>32439</v>
      </c>
      <c r="EY10" s="58">
        <f t="shared" si="2"/>
        <v>52428</v>
      </c>
      <c r="EZ10" s="58">
        <f t="shared" si="2"/>
        <v>4795</v>
      </c>
      <c r="FA10" s="58">
        <f t="shared" si="2"/>
        <v>463491</v>
      </c>
      <c r="FB10" s="58">
        <f t="shared" si="2"/>
        <v>61</v>
      </c>
      <c r="FC10" s="58">
        <f t="shared" si="2"/>
        <v>54112</v>
      </c>
      <c r="FD10" s="58">
        <f t="shared" si="2"/>
        <v>9196758</v>
      </c>
      <c r="FE10" s="58">
        <f t="shared" si="2"/>
        <v>170083</v>
      </c>
      <c r="FF10" s="58">
        <f t="shared" si="2"/>
        <v>3324352</v>
      </c>
      <c r="FG10" s="58">
        <f t="shared" si="2"/>
        <v>1112096</v>
      </c>
      <c r="FH10" s="58">
        <f t="shared" si="2"/>
        <v>1987095</v>
      </c>
      <c r="FI10" s="58">
        <f t="shared" si="2"/>
        <v>98569</v>
      </c>
      <c r="FJ10" s="58">
        <f t="shared" si="2"/>
        <v>126592</v>
      </c>
      <c r="FK10" s="58">
        <f t="shared" si="2"/>
        <v>59956</v>
      </c>
      <c r="FL10" s="58">
        <f t="shared" si="2"/>
        <v>947668</v>
      </c>
      <c r="FM10" s="58">
        <f t="shared" si="2"/>
        <v>202868</v>
      </c>
      <c r="FN10" s="58">
        <f t="shared" si="2"/>
        <v>1555454</v>
      </c>
      <c r="FO10" s="58">
        <f t="shared" si="2"/>
        <v>543764</v>
      </c>
      <c r="FP10" s="58">
        <f t="shared" si="2"/>
        <v>2392613</v>
      </c>
      <c r="FQ10" s="58">
        <f t="shared" si="2"/>
        <v>54786577</v>
      </c>
      <c r="FR10" s="58">
        <f t="shared" si="2"/>
        <v>7792282</v>
      </c>
      <c r="FS10" s="58">
        <f t="shared" si="2"/>
        <v>1190864</v>
      </c>
      <c r="FT10" s="58">
        <f t="shared" si="2"/>
        <v>20831644.643164914</v>
      </c>
      <c r="FU10" s="58"/>
      <c r="FV10" s="58">
        <f t="shared" si="2"/>
        <v>9740551</v>
      </c>
      <c r="FW10" s="58">
        <f t="shared" si="2"/>
        <v>2012130</v>
      </c>
      <c r="FX10" s="58">
        <f t="shared" si="2"/>
        <v>-13347671</v>
      </c>
      <c r="FY10" s="58">
        <f>SUM(FY11:FY307)</f>
        <v>-26223308</v>
      </c>
      <c r="FZ10" s="58">
        <f t="shared" si="2"/>
        <v>17680989.593708858</v>
      </c>
      <c r="GA10" s="58">
        <v>12875637</v>
      </c>
      <c r="GB10" s="58">
        <f t="shared" ref="GB10:GB73" si="3">GA10-FV10</f>
        <v>3135086</v>
      </c>
      <c r="GC10" s="58">
        <v>2082380</v>
      </c>
      <c r="GD10" s="58">
        <v>1777095</v>
      </c>
      <c r="GE10" s="58">
        <v>789855</v>
      </c>
      <c r="GF10" s="58">
        <f t="shared" ref="GF10:GF73" si="4">GD10-GE10</f>
        <v>987240</v>
      </c>
      <c r="GG10" s="58">
        <f t="shared" si="2"/>
        <v>-11265188.720999995</v>
      </c>
      <c r="GH10" s="58">
        <f t="shared" si="2"/>
        <v>-500000.00000000029</v>
      </c>
      <c r="GI10" s="58">
        <f t="shared" si="2"/>
        <v>-5922165.8619915964</v>
      </c>
      <c r="GJ10" s="58">
        <f t="shared" si="2"/>
        <v>70250</v>
      </c>
      <c r="GK10" s="67"/>
    </row>
    <row r="11" spans="1:195" ht="13.7" customHeight="1" x14ac:dyDescent="0.2">
      <c r="A11" s="74">
        <v>20</v>
      </c>
      <c r="B11" s="75" t="s">
        <v>12</v>
      </c>
      <c r="C11" s="75" t="s">
        <v>12</v>
      </c>
      <c r="D11" s="76"/>
      <c r="E11" s="77" t="s">
        <v>214</v>
      </c>
      <c r="F11" s="78">
        <v>4</v>
      </c>
      <c r="G11" s="79">
        <v>17043</v>
      </c>
      <c r="H11" s="80">
        <v>22837</v>
      </c>
      <c r="I11" s="80">
        <v>10749</v>
      </c>
      <c r="J11" s="80">
        <v>7082</v>
      </c>
      <c r="K11" s="80">
        <v>2586</v>
      </c>
      <c r="L11" s="80">
        <v>2420</v>
      </c>
      <c r="M11" s="80">
        <v>0</v>
      </c>
      <c r="N11" s="80">
        <v>4</v>
      </c>
      <c r="O11" s="80">
        <v>110377</v>
      </c>
      <c r="P11" s="80">
        <v>47398</v>
      </c>
      <c r="Q11" s="80">
        <v>35953</v>
      </c>
      <c r="R11" s="80">
        <v>11445</v>
      </c>
      <c r="S11" s="80">
        <v>9429</v>
      </c>
      <c r="T11" s="80">
        <v>2016</v>
      </c>
      <c r="U11" s="80">
        <v>47031</v>
      </c>
      <c r="V11" s="80">
        <v>5454</v>
      </c>
      <c r="W11" s="80">
        <v>6461</v>
      </c>
      <c r="X11" s="80">
        <v>4033</v>
      </c>
      <c r="Y11" s="80">
        <v>-87536</v>
      </c>
      <c r="Z11" s="80">
        <v>59092</v>
      </c>
      <c r="AA11" s="80">
        <v>54123</v>
      </c>
      <c r="AB11" s="80">
        <v>1775</v>
      </c>
      <c r="AC11" s="80">
        <v>3194</v>
      </c>
      <c r="AD11" s="80">
        <v>29881</v>
      </c>
      <c r="AE11" s="80">
        <v>-208</v>
      </c>
      <c r="AF11" s="80">
        <v>364</v>
      </c>
      <c r="AG11" s="80">
        <v>223</v>
      </c>
      <c r="AH11" s="80">
        <v>30</v>
      </c>
      <c r="AI11" s="80">
        <v>582</v>
      </c>
      <c r="AJ11" s="80">
        <v>213</v>
      </c>
      <c r="AK11" s="80">
        <v>1229</v>
      </c>
      <c r="AL11" s="80">
        <v>4203</v>
      </c>
      <c r="AM11" s="80">
        <v>4203</v>
      </c>
      <c r="AN11" s="80">
        <v>0</v>
      </c>
      <c r="AO11" s="80">
        <v>0</v>
      </c>
      <c r="AP11" s="80">
        <v>0</v>
      </c>
      <c r="AQ11" s="80">
        <v>0</v>
      </c>
      <c r="AR11" s="80">
        <v>-2974</v>
      </c>
      <c r="AS11" s="80">
        <v>31</v>
      </c>
      <c r="AT11" s="80">
        <v>0</v>
      </c>
      <c r="AU11" s="80">
        <v>0</v>
      </c>
      <c r="AV11" s="80">
        <v>-2943</v>
      </c>
      <c r="AW11" s="81"/>
      <c r="AX11" s="80">
        <v>758</v>
      </c>
      <c r="AY11" s="80">
        <v>1229</v>
      </c>
      <c r="AZ11" s="80">
        <v>0</v>
      </c>
      <c r="BA11" s="80">
        <v>-471</v>
      </c>
      <c r="BB11" s="80">
        <v>-7351</v>
      </c>
      <c r="BC11" s="80">
        <v>8431</v>
      </c>
      <c r="BD11" s="80">
        <v>341</v>
      </c>
      <c r="BE11" s="80">
        <v>739</v>
      </c>
      <c r="BF11" s="80">
        <v>-6593</v>
      </c>
      <c r="BG11" s="80">
        <v>7791</v>
      </c>
      <c r="BH11" s="80">
        <v>0</v>
      </c>
      <c r="BI11" s="80">
        <v>0</v>
      </c>
      <c r="BJ11" s="80">
        <v>0</v>
      </c>
      <c r="BK11" s="80">
        <v>7748</v>
      </c>
      <c r="BL11" s="80">
        <v>12000</v>
      </c>
      <c r="BM11" s="80">
        <v>6670</v>
      </c>
      <c r="BN11" s="80">
        <v>2418</v>
      </c>
      <c r="BO11" s="80">
        <v>0</v>
      </c>
      <c r="BP11" s="80">
        <v>43</v>
      </c>
      <c r="BQ11" s="80">
        <v>32</v>
      </c>
      <c r="BR11" s="80">
        <v>0</v>
      </c>
      <c r="BS11" s="80">
        <v>790</v>
      </c>
      <c r="BT11" s="80">
        <v>-779</v>
      </c>
      <c r="BU11" s="80">
        <v>1199</v>
      </c>
      <c r="BV11" s="80">
        <v>2002</v>
      </c>
      <c r="BW11" s="80">
        <v>803</v>
      </c>
      <c r="BX11" s="81"/>
      <c r="BY11" s="80">
        <v>91641</v>
      </c>
      <c r="BZ11" s="80">
        <v>82</v>
      </c>
      <c r="CA11" s="80">
        <v>0</v>
      </c>
      <c r="CB11" s="80">
        <v>82</v>
      </c>
      <c r="CC11" s="80">
        <v>0</v>
      </c>
      <c r="CD11" s="80">
        <v>63595</v>
      </c>
      <c r="CE11" s="80">
        <v>8112</v>
      </c>
      <c r="CF11" s="80">
        <v>41298</v>
      </c>
      <c r="CG11" s="80">
        <v>12875</v>
      </c>
      <c r="CH11" s="80">
        <v>832</v>
      </c>
      <c r="CI11" s="80">
        <v>30</v>
      </c>
      <c r="CJ11" s="80">
        <v>30</v>
      </c>
      <c r="CK11" s="80">
        <v>448</v>
      </c>
      <c r="CL11" s="80">
        <v>27964</v>
      </c>
      <c r="CM11" s="80">
        <v>20615</v>
      </c>
      <c r="CN11" s="80">
        <v>8140</v>
      </c>
      <c r="CO11" s="80">
        <v>12475</v>
      </c>
      <c r="CP11" s="80">
        <v>0</v>
      </c>
      <c r="CQ11" s="80">
        <v>7333</v>
      </c>
      <c r="CR11" s="80">
        <v>0</v>
      </c>
      <c r="CS11" s="80">
        <v>0</v>
      </c>
      <c r="CT11" s="80">
        <v>7333</v>
      </c>
      <c r="CU11" s="80">
        <v>16</v>
      </c>
      <c r="CV11" s="80">
        <v>211</v>
      </c>
      <c r="CW11" s="80">
        <v>0</v>
      </c>
      <c r="CX11" s="80">
        <v>211</v>
      </c>
      <c r="CY11" s="80">
        <v>0</v>
      </c>
      <c r="CZ11" s="80">
        <v>6930</v>
      </c>
      <c r="DA11" s="80">
        <v>0</v>
      </c>
      <c r="DB11" s="80">
        <v>0</v>
      </c>
      <c r="DC11" s="80">
        <v>0</v>
      </c>
      <c r="DD11" s="80">
        <v>0</v>
      </c>
      <c r="DE11" s="80">
        <v>0</v>
      </c>
      <c r="DF11" s="80">
        <v>0</v>
      </c>
      <c r="DG11" s="80">
        <v>4928</v>
      </c>
      <c r="DH11" s="80">
        <v>57</v>
      </c>
      <c r="DI11" s="80">
        <v>0</v>
      </c>
      <c r="DJ11" s="80">
        <v>57</v>
      </c>
      <c r="DK11" s="80">
        <v>0</v>
      </c>
      <c r="DL11" s="80">
        <v>0</v>
      </c>
      <c r="DM11" s="80">
        <v>4871</v>
      </c>
      <c r="DN11" s="80">
        <v>1421</v>
      </c>
      <c r="DO11" s="80">
        <v>37</v>
      </c>
      <c r="DP11" s="80">
        <v>2074</v>
      </c>
      <c r="DQ11" s="80">
        <v>1339</v>
      </c>
      <c r="DR11" s="80">
        <v>0</v>
      </c>
      <c r="DS11" s="80">
        <v>0</v>
      </c>
      <c r="DT11" s="80">
        <v>0</v>
      </c>
      <c r="DU11" s="80">
        <v>0</v>
      </c>
      <c r="DV11" s="80">
        <v>0</v>
      </c>
      <c r="DW11" s="80">
        <v>2002</v>
      </c>
      <c r="DX11" s="80">
        <v>98782</v>
      </c>
      <c r="DY11" s="80">
        <v>24643</v>
      </c>
      <c r="DZ11" s="80">
        <v>32829</v>
      </c>
      <c r="EA11" s="80">
        <v>0</v>
      </c>
      <c r="EB11" s="80">
        <v>0</v>
      </c>
      <c r="EC11" s="80">
        <v>-5243</v>
      </c>
      <c r="ED11" s="80">
        <v>-2943</v>
      </c>
      <c r="EE11" s="80">
        <v>151</v>
      </c>
      <c r="EF11" s="80">
        <v>151</v>
      </c>
      <c r="EG11" s="80">
        <v>0</v>
      </c>
      <c r="EH11" s="80">
        <v>0</v>
      </c>
      <c r="EI11" s="80">
        <v>0</v>
      </c>
      <c r="EJ11" s="80">
        <v>0</v>
      </c>
      <c r="EK11" s="80">
        <v>410</v>
      </c>
      <c r="EL11" s="80">
        <v>0</v>
      </c>
      <c r="EM11" s="80">
        <v>408</v>
      </c>
      <c r="EN11" s="80">
        <v>2</v>
      </c>
      <c r="EO11" s="80">
        <v>73578</v>
      </c>
      <c r="EP11" s="80">
        <v>44286</v>
      </c>
      <c r="EQ11" s="80">
        <v>0</v>
      </c>
      <c r="ER11" s="80">
        <v>42912</v>
      </c>
      <c r="ES11" s="80">
        <v>745</v>
      </c>
      <c r="ET11" s="80">
        <v>30544</v>
      </c>
      <c r="EU11" s="80">
        <v>11623</v>
      </c>
      <c r="EV11" s="80">
        <v>0</v>
      </c>
      <c r="EW11" s="80">
        <v>767</v>
      </c>
      <c r="EX11" s="80">
        <v>0</v>
      </c>
      <c r="EY11" s="80">
        <v>46</v>
      </c>
      <c r="EZ11" s="80">
        <v>0</v>
      </c>
      <c r="FA11" s="80">
        <v>561</v>
      </c>
      <c r="FB11" s="80">
        <v>0</v>
      </c>
      <c r="FC11" s="80">
        <v>0</v>
      </c>
      <c r="FD11" s="80">
        <v>29292</v>
      </c>
      <c r="FE11" s="80">
        <v>0</v>
      </c>
      <c r="FF11" s="80">
        <v>15792</v>
      </c>
      <c r="FG11" s="80">
        <v>191</v>
      </c>
      <c r="FH11" s="80">
        <v>13756</v>
      </c>
      <c r="FI11" s="80">
        <v>1845</v>
      </c>
      <c r="FJ11" s="80">
        <v>0</v>
      </c>
      <c r="FK11" s="80">
        <v>480</v>
      </c>
      <c r="FL11" s="80">
        <v>2</v>
      </c>
      <c r="FM11" s="80">
        <v>12</v>
      </c>
      <c r="FN11" s="80">
        <v>4239</v>
      </c>
      <c r="FO11" s="80">
        <v>1204</v>
      </c>
      <c r="FP11" s="80">
        <v>7563</v>
      </c>
      <c r="FQ11" s="80">
        <v>98782</v>
      </c>
      <c r="FR11" s="80">
        <v>1947</v>
      </c>
      <c r="FS11" s="80">
        <v>5637</v>
      </c>
      <c r="FT11" s="100">
        <v>50773.499746102716</v>
      </c>
      <c r="FU11" s="100"/>
      <c r="FV11" s="100">
        <v>17188</v>
      </c>
      <c r="FW11" s="67">
        <v>4131</v>
      </c>
      <c r="FX11" s="100">
        <f t="shared" ref="FX11:FX74" si="5">FY11+GA11</f>
        <v>-48163</v>
      </c>
      <c r="FY11" s="100">
        <f t="shared" ref="FY11:FY74" si="6">Y11+AL11</f>
        <v>-83333</v>
      </c>
      <c r="FZ11" s="100">
        <v>54088.562411973486</v>
      </c>
      <c r="GA11" s="67">
        <v>35170</v>
      </c>
      <c r="GB11" s="58">
        <f t="shared" si="3"/>
        <v>17982</v>
      </c>
      <c r="GC11" s="67">
        <v>4202</v>
      </c>
      <c r="GD11" s="100">
        <v>7094</v>
      </c>
      <c r="GE11" s="100">
        <v>1659</v>
      </c>
      <c r="GF11" s="58">
        <f t="shared" si="4"/>
        <v>5435</v>
      </c>
      <c r="GG11" s="100">
        <v>-30650.093000000001</v>
      </c>
      <c r="GH11" s="100">
        <v>-517.35725000000014</v>
      </c>
      <c r="GI11" s="100">
        <v>-22895.042632857687</v>
      </c>
      <c r="GJ11" s="67">
        <f t="shared" ref="GJ11:GJ74" si="7">GC11-FW11</f>
        <v>71</v>
      </c>
      <c r="GK11" s="67"/>
      <c r="GL11" s="67"/>
      <c r="GM11" s="96"/>
    </row>
    <row r="12" spans="1:195" ht="13.7" customHeight="1" x14ac:dyDescent="0.2">
      <c r="A12" s="74">
        <v>5</v>
      </c>
      <c r="B12" s="75" t="s">
        <v>6</v>
      </c>
      <c r="C12" s="75" t="s">
        <v>6</v>
      </c>
      <c r="D12" s="76"/>
      <c r="E12" s="77" t="s">
        <v>215</v>
      </c>
      <c r="F12" s="78">
        <v>4</v>
      </c>
      <c r="G12" s="79">
        <v>10006</v>
      </c>
      <c r="H12" s="80">
        <v>41661</v>
      </c>
      <c r="I12" s="80">
        <v>33037</v>
      </c>
      <c r="J12" s="80">
        <v>5527</v>
      </c>
      <c r="K12" s="80">
        <v>1026</v>
      </c>
      <c r="L12" s="80">
        <v>2071</v>
      </c>
      <c r="M12" s="80">
        <v>0</v>
      </c>
      <c r="N12" s="80">
        <v>0</v>
      </c>
      <c r="O12" s="80">
        <v>98986</v>
      </c>
      <c r="P12" s="80">
        <v>41443</v>
      </c>
      <c r="Q12" s="80">
        <v>31253</v>
      </c>
      <c r="R12" s="80">
        <v>10190</v>
      </c>
      <c r="S12" s="80">
        <v>8227</v>
      </c>
      <c r="T12" s="80">
        <v>1963</v>
      </c>
      <c r="U12" s="80">
        <v>49220</v>
      </c>
      <c r="V12" s="80">
        <v>2181</v>
      </c>
      <c r="W12" s="80">
        <v>5127</v>
      </c>
      <c r="X12" s="80">
        <v>1015</v>
      </c>
      <c r="Y12" s="80">
        <v>-57325</v>
      </c>
      <c r="Z12" s="109">
        <v>28454</v>
      </c>
      <c r="AA12" s="109">
        <v>24150</v>
      </c>
      <c r="AB12" s="109">
        <v>2048</v>
      </c>
      <c r="AC12" s="109">
        <v>2256</v>
      </c>
      <c r="AD12" s="109">
        <v>34084</v>
      </c>
      <c r="AE12" s="80">
        <v>-189</v>
      </c>
      <c r="AF12" s="80">
        <v>9</v>
      </c>
      <c r="AG12" s="80">
        <v>129</v>
      </c>
      <c r="AH12" s="80">
        <v>73</v>
      </c>
      <c r="AI12" s="80">
        <v>324</v>
      </c>
      <c r="AJ12" s="80">
        <v>3</v>
      </c>
      <c r="AK12" s="80">
        <v>5024</v>
      </c>
      <c r="AL12" s="80">
        <v>3095</v>
      </c>
      <c r="AM12" s="80">
        <v>3095</v>
      </c>
      <c r="AN12" s="80">
        <v>0</v>
      </c>
      <c r="AO12" s="80">
        <v>0</v>
      </c>
      <c r="AP12" s="80">
        <v>0</v>
      </c>
      <c r="AQ12" s="80">
        <v>0</v>
      </c>
      <c r="AR12" s="80">
        <v>1929</v>
      </c>
      <c r="AS12" s="80">
        <v>0</v>
      </c>
      <c r="AT12" s="80">
        <v>0</v>
      </c>
      <c r="AU12" s="80">
        <v>0</v>
      </c>
      <c r="AV12" s="80">
        <v>1929</v>
      </c>
      <c r="AW12" s="81"/>
      <c r="AX12" s="80">
        <v>4948</v>
      </c>
      <c r="AY12" s="80">
        <v>5024</v>
      </c>
      <c r="AZ12" s="80">
        <v>0</v>
      </c>
      <c r="BA12" s="80">
        <v>-76</v>
      </c>
      <c r="BB12" s="80">
        <v>-1694</v>
      </c>
      <c r="BC12" s="80">
        <v>2072</v>
      </c>
      <c r="BD12" s="80">
        <v>276</v>
      </c>
      <c r="BE12" s="80">
        <v>102</v>
      </c>
      <c r="BF12" s="80">
        <v>3254</v>
      </c>
      <c r="BG12" s="80">
        <v>-2278</v>
      </c>
      <c r="BH12" s="80">
        <v>176</v>
      </c>
      <c r="BI12" s="80">
        <v>0</v>
      </c>
      <c r="BJ12" s="80">
        <v>176</v>
      </c>
      <c r="BK12" s="80">
        <v>-2240</v>
      </c>
      <c r="BL12" s="80">
        <v>2000</v>
      </c>
      <c r="BM12" s="80">
        <v>4240</v>
      </c>
      <c r="BN12" s="80">
        <v>0</v>
      </c>
      <c r="BO12" s="80">
        <v>0</v>
      </c>
      <c r="BP12" s="80">
        <v>-214</v>
      </c>
      <c r="BQ12" s="80">
        <v>40</v>
      </c>
      <c r="BR12" s="80">
        <v>10</v>
      </c>
      <c r="BS12" s="80">
        <v>593</v>
      </c>
      <c r="BT12" s="80">
        <v>-857</v>
      </c>
      <c r="BU12" s="80">
        <v>976</v>
      </c>
      <c r="BV12" s="80">
        <v>3969</v>
      </c>
      <c r="BW12" s="80">
        <v>2993</v>
      </c>
      <c r="BX12" s="81"/>
      <c r="BY12" s="80">
        <v>51987</v>
      </c>
      <c r="BZ12" s="80">
        <v>770</v>
      </c>
      <c r="CA12" s="80">
        <v>118</v>
      </c>
      <c r="CB12" s="80">
        <v>652</v>
      </c>
      <c r="CC12" s="80">
        <v>0</v>
      </c>
      <c r="CD12" s="80">
        <v>40961</v>
      </c>
      <c r="CE12" s="80">
        <v>4496</v>
      </c>
      <c r="CF12" s="80">
        <v>29632</v>
      </c>
      <c r="CG12" s="80">
        <v>6246</v>
      </c>
      <c r="CH12" s="80">
        <v>365</v>
      </c>
      <c r="CI12" s="80">
        <v>0</v>
      </c>
      <c r="CJ12" s="80">
        <v>0</v>
      </c>
      <c r="CK12" s="80">
        <v>222</v>
      </c>
      <c r="CL12" s="80">
        <v>10256</v>
      </c>
      <c r="CM12" s="80">
        <v>9705</v>
      </c>
      <c r="CN12" s="80">
        <v>6954</v>
      </c>
      <c r="CO12" s="80">
        <v>2751</v>
      </c>
      <c r="CP12" s="80">
        <v>0</v>
      </c>
      <c r="CQ12" s="80">
        <v>551</v>
      </c>
      <c r="CR12" s="80">
        <v>0</v>
      </c>
      <c r="CS12" s="80">
        <v>0</v>
      </c>
      <c r="CT12" s="80">
        <v>551</v>
      </c>
      <c r="CU12" s="80">
        <v>0</v>
      </c>
      <c r="CV12" s="80">
        <v>262</v>
      </c>
      <c r="CW12" s="80">
        <v>59</v>
      </c>
      <c r="CX12" s="80">
        <v>160</v>
      </c>
      <c r="CY12" s="80">
        <v>43</v>
      </c>
      <c r="CZ12" s="80">
        <v>7279</v>
      </c>
      <c r="DA12" s="80">
        <v>124</v>
      </c>
      <c r="DB12" s="80">
        <v>76</v>
      </c>
      <c r="DC12" s="80">
        <v>0</v>
      </c>
      <c r="DD12" s="80">
        <v>0</v>
      </c>
      <c r="DE12" s="80">
        <v>48</v>
      </c>
      <c r="DF12" s="80">
        <v>0</v>
      </c>
      <c r="DG12" s="80">
        <v>3186</v>
      </c>
      <c r="DH12" s="80">
        <v>620</v>
      </c>
      <c r="DI12" s="80">
        <v>0</v>
      </c>
      <c r="DJ12" s="80">
        <v>348</v>
      </c>
      <c r="DK12" s="80">
        <v>272</v>
      </c>
      <c r="DL12" s="80">
        <v>0</v>
      </c>
      <c r="DM12" s="80">
        <v>2566</v>
      </c>
      <c r="DN12" s="80">
        <v>1725</v>
      </c>
      <c r="DO12" s="80">
        <v>9</v>
      </c>
      <c r="DP12" s="80">
        <v>336</v>
      </c>
      <c r="DQ12" s="80">
        <v>496</v>
      </c>
      <c r="DR12" s="80">
        <v>0</v>
      </c>
      <c r="DS12" s="80">
        <v>0</v>
      </c>
      <c r="DT12" s="80">
        <v>0</v>
      </c>
      <c r="DU12" s="80">
        <v>0</v>
      </c>
      <c r="DV12" s="80">
        <v>0</v>
      </c>
      <c r="DW12" s="80">
        <v>3969</v>
      </c>
      <c r="DX12" s="80">
        <v>59528</v>
      </c>
      <c r="DY12" s="80">
        <v>24216</v>
      </c>
      <c r="DZ12" s="80">
        <v>26152</v>
      </c>
      <c r="EA12" s="80">
        <v>64</v>
      </c>
      <c r="EB12" s="80">
        <v>0</v>
      </c>
      <c r="EC12" s="80">
        <v>-3929</v>
      </c>
      <c r="ED12" s="80">
        <v>1929</v>
      </c>
      <c r="EE12" s="80">
        <v>0</v>
      </c>
      <c r="EF12" s="80">
        <v>0</v>
      </c>
      <c r="EG12" s="80">
        <v>0</v>
      </c>
      <c r="EH12" s="80">
        <v>0</v>
      </c>
      <c r="EI12" s="80">
        <v>0</v>
      </c>
      <c r="EJ12" s="80">
        <v>0</v>
      </c>
      <c r="EK12" s="80">
        <v>418</v>
      </c>
      <c r="EL12" s="80">
        <v>44</v>
      </c>
      <c r="EM12" s="80">
        <v>160</v>
      </c>
      <c r="EN12" s="80">
        <v>214</v>
      </c>
      <c r="EO12" s="80">
        <v>34893</v>
      </c>
      <c r="EP12" s="80">
        <v>19131</v>
      </c>
      <c r="EQ12" s="80">
        <v>0</v>
      </c>
      <c r="ER12" s="80">
        <v>18694</v>
      </c>
      <c r="ES12" s="80">
        <v>3200</v>
      </c>
      <c r="ET12" s="80">
        <v>15494</v>
      </c>
      <c r="EU12" s="80">
        <v>0</v>
      </c>
      <c r="EV12" s="80">
        <v>0</v>
      </c>
      <c r="EW12" s="80">
        <v>0</v>
      </c>
      <c r="EX12" s="80">
        <v>0</v>
      </c>
      <c r="EY12" s="80">
        <v>0</v>
      </c>
      <c r="EZ12" s="80">
        <v>0</v>
      </c>
      <c r="FA12" s="80">
        <v>437</v>
      </c>
      <c r="FB12" s="80">
        <v>0</v>
      </c>
      <c r="FC12" s="80">
        <v>0</v>
      </c>
      <c r="FD12" s="80">
        <v>15762</v>
      </c>
      <c r="FE12" s="80">
        <v>0</v>
      </c>
      <c r="FF12" s="80">
        <v>5421</v>
      </c>
      <c r="FG12" s="80">
        <v>414</v>
      </c>
      <c r="FH12" s="80">
        <v>5007</v>
      </c>
      <c r="FI12" s="80">
        <v>0</v>
      </c>
      <c r="FJ12" s="80">
        <v>0</v>
      </c>
      <c r="FK12" s="80">
        <v>0</v>
      </c>
      <c r="FL12" s="80">
        <v>0</v>
      </c>
      <c r="FM12" s="80">
        <v>5</v>
      </c>
      <c r="FN12" s="80">
        <v>3345</v>
      </c>
      <c r="FO12" s="80">
        <v>770</v>
      </c>
      <c r="FP12" s="80">
        <v>6221</v>
      </c>
      <c r="FQ12" s="80">
        <v>59527</v>
      </c>
      <c r="FR12" s="80">
        <v>6872</v>
      </c>
      <c r="FS12" s="80">
        <v>1728</v>
      </c>
      <c r="FT12" s="100">
        <v>39494.517211798637</v>
      </c>
      <c r="FU12" s="100"/>
      <c r="FV12" s="100">
        <v>16963</v>
      </c>
      <c r="FW12" s="67">
        <v>2997</v>
      </c>
      <c r="FX12" s="100">
        <f t="shared" si="5"/>
        <v>-10014</v>
      </c>
      <c r="FY12" s="100">
        <f t="shared" si="6"/>
        <v>-54230</v>
      </c>
      <c r="FZ12" s="100">
        <v>34680.545919401833</v>
      </c>
      <c r="GA12" s="67">
        <v>44216</v>
      </c>
      <c r="GB12" s="58">
        <f t="shared" si="3"/>
        <v>27253</v>
      </c>
      <c r="GC12" s="67">
        <v>3095</v>
      </c>
      <c r="GD12" s="100">
        <v>5448</v>
      </c>
      <c r="GE12" s="100">
        <v>1230</v>
      </c>
      <c r="GF12" s="58">
        <f t="shared" si="4"/>
        <v>4218</v>
      </c>
      <c r="GG12" s="100">
        <v>-13524.445000000002</v>
      </c>
      <c r="GH12" s="100">
        <v>-660.95105000000024</v>
      </c>
      <c r="GI12" s="100">
        <v>-21091.971739708915</v>
      </c>
      <c r="GJ12" s="67">
        <f t="shared" si="7"/>
        <v>98</v>
      </c>
      <c r="GK12" s="67"/>
      <c r="GL12" s="67"/>
      <c r="GM12" s="96"/>
    </row>
    <row r="13" spans="1:195" ht="13.7" customHeight="1" x14ac:dyDescent="0.2">
      <c r="A13" s="74">
        <v>9</v>
      </c>
      <c r="B13" s="75" t="s">
        <v>7</v>
      </c>
      <c r="C13" s="75" t="s">
        <v>7</v>
      </c>
      <c r="D13" s="76"/>
      <c r="E13" s="77" t="s">
        <v>216</v>
      </c>
      <c r="F13" s="78">
        <v>2</v>
      </c>
      <c r="G13" s="79">
        <v>2687</v>
      </c>
      <c r="H13" s="80">
        <v>2108</v>
      </c>
      <c r="I13" s="80">
        <v>845</v>
      </c>
      <c r="J13" s="80">
        <v>42</v>
      </c>
      <c r="K13" s="80">
        <v>53</v>
      </c>
      <c r="L13" s="80">
        <v>1168</v>
      </c>
      <c r="M13" s="80">
        <v>0</v>
      </c>
      <c r="N13" s="80">
        <v>0</v>
      </c>
      <c r="O13" s="80">
        <v>17064</v>
      </c>
      <c r="P13" s="80">
        <v>3525</v>
      </c>
      <c r="Q13" s="80">
        <v>2536</v>
      </c>
      <c r="R13" s="80">
        <v>989</v>
      </c>
      <c r="S13" s="80">
        <v>876</v>
      </c>
      <c r="T13" s="80">
        <v>113</v>
      </c>
      <c r="U13" s="80">
        <v>12293</v>
      </c>
      <c r="V13" s="80">
        <v>865</v>
      </c>
      <c r="W13" s="80">
        <v>300</v>
      </c>
      <c r="X13" s="80">
        <v>81</v>
      </c>
      <c r="Y13" s="80">
        <v>-14956</v>
      </c>
      <c r="Z13" s="80">
        <v>7792</v>
      </c>
      <c r="AA13" s="80">
        <v>7099</v>
      </c>
      <c r="AB13" s="80">
        <v>285</v>
      </c>
      <c r="AC13" s="80">
        <v>408</v>
      </c>
      <c r="AD13" s="80">
        <v>8552</v>
      </c>
      <c r="AE13" s="80">
        <v>-52</v>
      </c>
      <c r="AF13" s="80">
        <v>0</v>
      </c>
      <c r="AG13" s="80">
        <v>15</v>
      </c>
      <c r="AH13" s="80">
        <v>0</v>
      </c>
      <c r="AI13" s="80">
        <v>58</v>
      </c>
      <c r="AJ13" s="80">
        <v>9</v>
      </c>
      <c r="AK13" s="80">
        <v>1336</v>
      </c>
      <c r="AL13" s="80">
        <v>795</v>
      </c>
      <c r="AM13" s="80">
        <v>795</v>
      </c>
      <c r="AN13" s="80">
        <v>0</v>
      </c>
      <c r="AO13" s="80">
        <v>0</v>
      </c>
      <c r="AP13" s="80">
        <v>0</v>
      </c>
      <c r="AQ13" s="80">
        <v>0</v>
      </c>
      <c r="AR13" s="80">
        <v>541</v>
      </c>
      <c r="AS13" s="80">
        <v>0</v>
      </c>
      <c r="AT13" s="80">
        <v>0</v>
      </c>
      <c r="AU13" s="80">
        <v>0</v>
      </c>
      <c r="AV13" s="80">
        <v>541</v>
      </c>
      <c r="AW13" s="81"/>
      <c r="AX13" s="80">
        <v>1336</v>
      </c>
      <c r="AY13" s="80">
        <v>1336</v>
      </c>
      <c r="AZ13" s="80">
        <v>0</v>
      </c>
      <c r="BA13" s="80">
        <v>0</v>
      </c>
      <c r="BB13" s="80">
        <v>-573</v>
      </c>
      <c r="BC13" s="80">
        <v>650</v>
      </c>
      <c r="BD13" s="80">
        <v>72</v>
      </c>
      <c r="BE13" s="80">
        <v>5</v>
      </c>
      <c r="BF13" s="80">
        <v>763</v>
      </c>
      <c r="BG13" s="80">
        <v>-165</v>
      </c>
      <c r="BH13" s="80">
        <v>0</v>
      </c>
      <c r="BI13" s="80">
        <v>0</v>
      </c>
      <c r="BJ13" s="80">
        <v>0</v>
      </c>
      <c r="BK13" s="80">
        <v>-352</v>
      </c>
      <c r="BL13" s="80">
        <v>0</v>
      </c>
      <c r="BM13" s="80">
        <v>852</v>
      </c>
      <c r="BN13" s="80">
        <v>500</v>
      </c>
      <c r="BO13" s="80">
        <v>0</v>
      </c>
      <c r="BP13" s="80">
        <v>187</v>
      </c>
      <c r="BQ13" s="80">
        <v>-2</v>
      </c>
      <c r="BR13" s="80">
        <v>0</v>
      </c>
      <c r="BS13" s="80">
        <v>213</v>
      </c>
      <c r="BT13" s="80">
        <v>-24</v>
      </c>
      <c r="BU13" s="80">
        <v>599</v>
      </c>
      <c r="BV13" s="80">
        <v>1238</v>
      </c>
      <c r="BW13" s="80">
        <v>639</v>
      </c>
      <c r="BX13" s="81"/>
      <c r="BY13" s="80">
        <v>16851</v>
      </c>
      <c r="BZ13" s="80">
        <v>134</v>
      </c>
      <c r="CA13" s="80">
        <v>0</v>
      </c>
      <c r="CB13" s="80">
        <v>134</v>
      </c>
      <c r="CC13" s="80">
        <v>0</v>
      </c>
      <c r="CD13" s="80">
        <v>14855</v>
      </c>
      <c r="CE13" s="80">
        <v>1222</v>
      </c>
      <c r="CF13" s="80">
        <v>12487</v>
      </c>
      <c r="CG13" s="80">
        <v>941</v>
      </c>
      <c r="CH13" s="80">
        <v>16</v>
      </c>
      <c r="CI13" s="80">
        <v>0</v>
      </c>
      <c r="CJ13" s="80">
        <v>0</v>
      </c>
      <c r="CK13" s="80">
        <v>189</v>
      </c>
      <c r="CL13" s="80">
        <v>1862</v>
      </c>
      <c r="CM13" s="80">
        <v>1778</v>
      </c>
      <c r="CN13" s="80">
        <v>1380</v>
      </c>
      <c r="CO13" s="80">
        <v>398</v>
      </c>
      <c r="CP13" s="80">
        <v>0</v>
      </c>
      <c r="CQ13" s="80">
        <v>84</v>
      </c>
      <c r="CR13" s="80">
        <v>0</v>
      </c>
      <c r="CS13" s="80">
        <v>0</v>
      </c>
      <c r="CT13" s="80">
        <v>84</v>
      </c>
      <c r="CU13" s="80">
        <v>0</v>
      </c>
      <c r="CV13" s="80">
        <v>36</v>
      </c>
      <c r="CW13" s="80">
        <v>36</v>
      </c>
      <c r="CX13" s="80">
        <v>0</v>
      </c>
      <c r="CY13" s="80">
        <v>0</v>
      </c>
      <c r="CZ13" s="80">
        <v>1898</v>
      </c>
      <c r="DA13" s="80">
        <v>2</v>
      </c>
      <c r="DB13" s="80">
        <v>2</v>
      </c>
      <c r="DC13" s="80">
        <v>0</v>
      </c>
      <c r="DD13" s="80">
        <v>0</v>
      </c>
      <c r="DE13" s="80">
        <v>0</v>
      </c>
      <c r="DF13" s="80">
        <v>0</v>
      </c>
      <c r="DG13" s="80">
        <v>658</v>
      </c>
      <c r="DH13" s="80">
        <v>0</v>
      </c>
      <c r="DI13" s="80">
        <v>0</v>
      </c>
      <c r="DJ13" s="80">
        <v>0</v>
      </c>
      <c r="DK13" s="80">
        <v>0</v>
      </c>
      <c r="DL13" s="80">
        <v>0</v>
      </c>
      <c r="DM13" s="80">
        <v>658</v>
      </c>
      <c r="DN13" s="80">
        <v>265</v>
      </c>
      <c r="DO13" s="80">
        <v>0</v>
      </c>
      <c r="DP13" s="80">
        <v>0</v>
      </c>
      <c r="DQ13" s="80">
        <v>393</v>
      </c>
      <c r="DR13" s="80">
        <v>0</v>
      </c>
      <c r="DS13" s="80">
        <v>0</v>
      </c>
      <c r="DT13" s="80">
        <v>0</v>
      </c>
      <c r="DU13" s="80">
        <v>0</v>
      </c>
      <c r="DV13" s="80">
        <v>0</v>
      </c>
      <c r="DW13" s="80">
        <v>1238</v>
      </c>
      <c r="DX13" s="80">
        <v>18785</v>
      </c>
      <c r="DY13" s="80">
        <v>6109</v>
      </c>
      <c r="DZ13" s="80">
        <v>7531</v>
      </c>
      <c r="EA13" s="80">
        <v>0</v>
      </c>
      <c r="EB13" s="80">
        <v>0</v>
      </c>
      <c r="EC13" s="80">
        <v>-1963</v>
      </c>
      <c r="ED13" s="80">
        <v>541</v>
      </c>
      <c r="EE13" s="80">
        <v>0</v>
      </c>
      <c r="EF13" s="80">
        <v>0</v>
      </c>
      <c r="EG13" s="80">
        <v>0</v>
      </c>
      <c r="EH13" s="80">
        <v>0</v>
      </c>
      <c r="EI13" s="80">
        <v>0</v>
      </c>
      <c r="EJ13" s="80">
        <v>0</v>
      </c>
      <c r="EK13" s="80">
        <v>58</v>
      </c>
      <c r="EL13" s="80">
        <v>36</v>
      </c>
      <c r="EM13" s="80">
        <v>0</v>
      </c>
      <c r="EN13" s="80">
        <v>22</v>
      </c>
      <c r="EO13" s="80">
        <v>12620</v>
      </c>
      <c r="EP13" s="80">
        <v>5612</v>
      </c>
      <c r="EQ13" s="80">
        <v>0</v>
      </c>
      <c r="ER13" s="80">
        <v>5360</v>
      </c>
      <c r="ES13" s="80">
        <v>0</v>
      </c>
      <c r="ET13" s="80">
        <v>5360</v>
      </c>
      <c r="EU13" s="80">
        <v>0</v>
      </c>
      <c r="EV13" s="80">
        <v>0</v>
      </c>
      <c r="EW13" s="80">
        <v>119</v>
      </c>
      <c r="EX13" s="80">
        <v>0</v>
      </c>
      <c r="EY13" s="80">
        <v>0</v>
      </c>
      <c r="EZ13" s="80">
        <v>0</v>
      </c>
      <c r="FA13" s="80">
        <v>133</v>
      </c>
      <c r="FB13" s="80">
        <v>0</v>
      </c>
      <c r="FC13" s="80">
        <v>0</v>
      </c>
      <c r="FD13" s="80">
        <v>7008</v>
      </c>
      <c r="FE13" s="80">
        <v>0</v>
      </c>
      <c r="FF13" s="80">
        <v>5504</v>
      </c>
      <c r="FG13" s="80">
        <v>0</v>
      </c>
      <c r="FH13" s="80">
        <v>5504</v>
      </c>
      <c r="FI13" s="80">
        <v>0</v>
      </c>
      <c r="FJ13" s="80">
        <v>0</v>
      </c>
      <c r="FK13" s="80">
        <v>141</v>
      </c>
      <c r="FL13" s="80">
        <v>0</v>
      </c>
      <c r="FM13" s="80">
        <v>31</v>
      </c>
      <c r="FN13" s="80">
        <v>909</v>
      </c>
      <c r="FO13" s="80">
        <v>106</v>
      </c>
      <c r="FP13" s="80">
        <v>317</v>
      </c>
      <c r="FQ13" s="80">
        <v>18787</v>
      </c>
      <c r="FR13" s="80">
        <v>30</v>
      </c>
      <c r="FS13" s="80">
        <v>305</v>
      </c>
      <c r="FT13" s="100">
        <v>8083.4751638730022</v>
      </c>
      <c r="FU13" s="100"/>
      <c r="FV13" s="100">
        <v>3393</v>
      </c>
      <c r="FW13" s="67">
        <v>791</v>
      </c>
      <c r="FX13" s="100">
        <f t="shared" si="5"/>
        <v>-10755</v>
      </c>
      <c r="FY13" s="100">
        <f t="shared" si="6"/>
        <v>-14161</v>
      </c>
      <c r="FZ13" s="100">
        <v>10256.5385403461</v>
      </c>
      <c r="GA13" s="67">
        <v>3406</v>
      </c>
      <c r="GB13" s="58">
        <f t="shared" si="3"/>
        <v>13</v>
      </c>
      <c r="GC13" s="67">
        <v>795</v>
      </c>
      <c r="GD13" s="100">
        <v>43</v>
      </c>
      <c r="GE13" s="100">
        <v>43</v>
      </c>
      <c r="GF13" s="58">
        <f t="shared" si="4"/>
        <v>0</v>
      </c>
      <c r="GG13" s="100">
        <v>-3822.2550000000001</v>
      </c>
      <c r="GH13" s="100">
        <v>-87.652100000000019</v>
      </c>
      <c r="GI13" s="100">
        <v>-6330.7778867967691</v>
      </c>
      <c r="GJ13" s="67">
        <f t="shared" si="7"/>
        <v>4</v>
      </c>
      <c r="GK13" s="67"/>
      <c r="GL13" s="67"/>
      <c r="GM13" s="96"/>
    </row>
    <row r="14" spans="1:195" ht="13.7" customHeight="1" x14ac:dyDescent="0.2">
      <c r="A14" s="74">
        <v>10</v>
      </c>
      <c r="B14" s="75" t="s">
        <v>8</v>
      </c>
      <c r="C14" s="75" t="s">
        <v>8</v>
      </c>
      <c r="D14" s="76"/>
      <c r="E14" s="77" t="s">
        <v>215</v>
      </c>
      <c r="F14" s="78">
        <v>4</v>
      </c>
      <c r="G14" s="79">
        <v>12050</v>
      </c>
      <c r="H14" s="80">
        <v>15659</v>
      </c>
      <c r="I14" s="80">
        <v>8124</v>
      </c>
      <c r="J14" s="80">
        <v>3403</v>
      </c>
      <c r="K14" s="80">
        <v>1957</v>
      </c>
      <c r="L14" s="80">
        <v>2175</v>
      </c>
      <c r="M14" s="80">
        <v>0</v>
      </c>
      <c r="N14" s="80">
        <v>0</v>
      </c>
      <c r="O14" s="80">
        <v>86214</v>
      </c>
      <c r="P14" s="80">
        <v>34642</v>
      </c>
      <c r="Q14" s="80">
        <v>26602</v>
      </c>
      <c r="R14" s="80">
        <v>8040</v>
      </c>
      <c r="S14" s="80">
        <v>6493</v>
      </c>
      <c r="T14" s="80">
        <v>1547</v>
      </c>
      <c r="U14" s="80">
        <v>41589</v>
      </c>
      <c r="V14" s="80">
        <v>4562</v>
      </c>
      <c r="W14" s="80">
        <v>4156</v>
      </c>
      <c r="X14" s="80">
        <v>1265</v>
      </c>
      <c r="Y14" s="80">
        <v>-70555</v>
      </c>
      <c r="Z14" s="80">
        <v>34015</v>
      </c>
      <c r="AA14" s="80">
        <v>29182</v>
      </c>
      <c r="AB14" s="80">
        <v>2245</v>
      </c>
      <c r="AC14" s="80">
        <v>2588</v>
      </c>
      <c r="AD14" s="80">
        <v>37398</v>
      </c>
      <c r="AE14" s="80">
        <v>726</v>
      </c>
      <c r="AF14" s="80">
        <v>274</v>
      </c>
      <c r="AG14" s="80">
        <v>737</v>
      </c>
      <c r="AH14" s="80">
        <v>575</v>
      </c>
      <c r="AI14" s="80">
        <v>281</v>
      </c>
      <c r="AJ14" s="80">
        <v>4</v>
      </c>
      <c r="AK14" s="80">
        <v>1584</v>
      </c>
      <c r="AL14" s="80">
        <v>2982</v>
      </c>
      <c r="AM14" s="80">
        <v>2982</v>
      </c>
      <c r="AN14" s="80">
        <v>0</v>
      </c>
      <c r="AO14" s="80">
        <v>0</v>
      </c>
      <c r="AP14" s="80">
        <v>0</v>
      </c>
      <c r="AQ14" s="80">
        <v>0</v>
      </c>
      <c r="AR14" s="80">
        <v>-1398</v>
      </c>
      <c r="AS14" s="80">
        <v>0</v>
      </c>
      <c r="AT14" s="80">
        <v>0</v>
      </c>
      <c r="AU14" s="80">
        <v>0</v>
      </c>
      <c r="AV14" s="80">
        <v>-1398</v>
      </c>
      <c r="AW14" s="81"/>
      <c r="AX14" s="80">
        <v>1475</v>
      </c>
      <c r="AY14" s="80">
        <v>1584</v>
      </c>
      <c r="AZ14" s="80">
        <v>0</v>
      </c>
      <c r="BA14" s="80">
        <v>-109</v>
      </c>
      <c r="BB14" s="80">
        <v>-4678</v>
      </c>
      <c r="BC14" s="80">
        <v>5241</v>
      </c>
      <c r="BD14" s="80">
        <v>185</v>
      </c>
      <c r="BE14" s="80">
        <v>378</v>
      </c>
      <c r="BF14" s="80">
        <v>-3203</v>
      </c>
      <c r="BG14" s="80">
        <v>3557</v>
      </c>
      <c r="BH14" s="80">
        <v>125</v>
      </c>
      <c r="BI14" s="80">
        <v>3</v>
      </c>
      <c r="BJ14" s="80">
        <v>128</v>
      </c>
      <c r="BK14" s="80">
        <v>3017</v>
      </c>
      <c r="BL14" s="80">
        <v>6000</v>
      </c>
      <c r="BM14" s="80">
        <v>4783</v>
      </c>
      <c r="BN14" s="80">
        <v>1800</v>
      </c>
      <c r="BO14" s="80">
        <v>0</v>
      </c>
      <c r="BP14" s="80">
        <v>415</v>
      </c>
      <c r="BQ14" s="80">
        <v>88</v>
      </c>
      <c r="BR14" s="80">
        <v>-60</v>
      </c>
      <c r="BS14" s="80">
        <v>-68</v>
      </c>
      <c r="BT14" s="80">
        <v>455</v>
      </c>
      <c r="BU14" s="80">
        <v>353</v>
      </c>
      <c r="BV14" s="80">
        <v>11172</v>
      </c>
      <c r="BW14" s="80">
        <v>10819</v>
      </c>
      <c r="BX14" s="81"/>
      <c r="BY14" s="80">
        <v>75544</v>
      </c>
      <c r="BZ14" s="80">
        <v>1750</v>
      </c>
      <c r="CA14" s="80">
        <v>0</v>
      </c>
      <c r="CB14" s="80">
        <v>1750</v>
      </c>
      <c r="CC14" s="80">
        <v>0</v>
      </c>
      <c r="CD14" s="80">
        <v>49173</v>
      </c>
      <c r="CE14" s="80">
        <v>8381</v>
      </c>
      <c r="CF14" s="80">
        <v>22963</v>
      </c>
      <c r="CG14" s="80">
        <v>14645</v>
      </c>
      <c r="CH14" s="80">
        <v>1042</v>
      </c>
      <c r="CI14" s="80">
        <v>109</v>
      </c>
      <c r="CJ14" s="80">
        <v>109</v>
      </c>
      <c r="CK14" s="80">
        <v>2033</v>
      </c>
      <c r="CL14" s="80">
        <v>24621</v>
      </c>
      <c r="CM14" s="80">
        <v>16744</v>
      </c>
      <c r="CN14" s="80">
        <v>6658</v>
      </c>
      <c r="CO14" s="80">
        <v>10086</v>
      </c>
      <c r="CP14" s="80">
        <v>0</v>
      </c>
      <c r="CQ14" s="80">
        <v>7869</v>
      </c>
      <c r="CR14" s="80">
        <v>0</v>
      </c>
      <c r="CS14" s="80">
        <v>0</v>
      </c>
      <c r="CT14" s="80">
        <v>7869</v>
      </c>
      <c r="CU14" s="80">
        <v>8</v>
      </c>
      <c r="CV14" s="80">
        <v>72</v>
      </c>
      <c r="CW14" s="80">
        <v>21</v>
      </c>
      <c r="CX14" s="80">
        <v>51</v>
      </c>
      <c r="CY14" s="80">
        <v>0</v>
      </c>
      <c r="CZ14" s="80">
        <v>15333</v>
      </c>
      <c r="DA14" s="80">
        <v>65</v>
      </c>
      <c r="DB14" s="80">
        <v>4</v>
      </c>
      <c r="DC14" s="80">
        <v>0</v>
      </c>
      <c r="DD14" s="80">
        <v>0</v>
      </c>
      <c r="DE14" s="80">
        <v>0</v>
      </c>
      <c r="DF14" s="80">
        <v>61</v>
      </c>
      <c r="DG14" s="80">
        <v>4096</v>
      </c>
      <c r="DH14" s="80">
        <v>0</v>
      </c>
      <c r="DI14" s="80">
        <v>0</v>
      </c>
      <c r="DJ14" s="80">
        <v>0</v>
      </c>
      <c r="DK14" s="80">
        <v>0</v>
      </c>
      <c r="DL14" s="80">
        <v>0</v>
      </c>
      <c r="DM14" s="80">
        <v>4096</v>
      </c>
      <c r="DN14" s="80">
        <v>2455</v>
      </c>
      <c r="DO14" s="80">
        <v>85</v>
      </c>
      <c r="DP14" s="80">
        <v>232</v>
      </c>
      <c r="DQ14" s="80">
        <v>1324</v>
      </c>
      <c r="DR14" s="80">
        <v>10811</v>
      </c>
      <c r="DS14" s="80">
        <v>0</v>
      </c>
      <c r="DT14" s="80">
        <v>10811</v>
      </c>
      <c r="DU14" s="80">
        <v>0</v>
      </c>
      <c r="DV14" s="80">
        <v>0</v>
      </c>
      <c r="DW14" s="80">
        <v>361</v>
      </c>
      <c r="DX14" s="80">
        <v>90949</v>
      </c>
      <c r="DY14" s="80">
        <v>45041</v>
      </c>
      <c r="DZ14" s="80">
        <v>33657</v>
      </c>
      <c r="EA14" s="80">
        <v>0</v>
      </c>
      <c r="EB14" s="80">
        <v>0</v>
      </c>
      <c r="EC14" s="80">
        <v>12782</v>
      </c>
      <c r="ED14" s="80">
        <v>-1398</v>
      </c>
      <c r="EE14" s="80">
        <v>0</v>
      </c>
      <c r="EF14" s="80">
        <v>0</v>
      </c>
      <c r="EG14" s="80">
        <v>0</v>
      </c>
      <c r="EH14" s="80">
        <v>0</v>
      </c>
      <c r="EI14" s="80">
        <v>0</v>
      </c>
      <c r="EJ14" s="80">
        <v>0</v>
      </c>
      <c r="EK14" s="80">
        <v>629</v>
      </c>
      <c r="EL14" s="80">
        <v>21</v>
      </c>
      <c r="EM14" s="80">
        <v>486</v>
      </c>
      <c r="EN14" s="80">
        <v>122</v>
      </c>
      <c r="EO14" s="80">
        <v>45279</v>
      </c>
      <c r="EP14" s="80">
        <v>28828</v>
      </c>
      <c r="EQ14" s="80">
        <v>0</v>
      </c>
      <c r="ER14" s="80">
        <v>26700</v>
      </c>
      <c r="ES14" s="80">
        <v>5707</v>
      </c>
      <c r="ET14" s="80">
        <v>20993</v>
      </c>
      <c r="EU14" s="80">
        <v>0</v>
      </c>
      <c r="EV14" s="80">
        <v>0</v>
      </c>
      <c r="EW14" s="80">
        <v>18</v>
      </c>
      <c r="EX14" s="80">
        <v>0</v>
      </c>
      <c r="EY14" s="80">
        <v>0</v>
      </c>
      <c r="EZ14" s="80">
        <v>0</v>
      </c>
      <c r="FA14" s="80">
        <v>2110</v>
      </c>
      <c r="FB14" s="80">
        <v>0</v>
      </c>
      <c r="FC14" s="80">
        <v>0</v>
      </c>
      <c r="FD14" s="80">
        <v>16451</v>
      </c>
      <c r="FE14" s="80">
        <v>0</v>
      </c>
      <c r="FF14" s="80">
        <v>7417</v>
      </c>
      <c r="FG14" s="80">
        <v>892</v>
      </c>
      <c r="FH14" s="80">
        <v>6525</v>
      </c>
      <c r="FI14" s="80">
        <v>0</v>
      </c>
      <c r="FJ14" s="80">
        <v>0</v>
      </c>
      <c r="FK14" s="80">
        <v>3</v>
      </c>
      <c r="FL14" s="80">
        <v>0</v>
      </c>
      <c r="FM14" s="80">
        <v>173</v>
      </c>
      <c r="FN14" s="80">
        <v>3077</v>
      </c>
      <c r="FO14" s="80">
        <v>615</v>
      </c>
      <c r="FP14" s="80">
        <v>5166</v>
      </c>
      <c r="FQ14" s="80">
        <v>90949</v>
      </c>
      <c r="FR14" s="80">
        <v>6065</v>
      </c>
      <c r="FS14" s="80">
        <v>5176</v>
      </c>
      <c r="FT14" s="100">
        <v>41258.596197298524</v>
      </c>
      <c r="FU14" s="100"/>
      <c r="FV14" s="100">
        <v>16852</v>
      </c>
      <c r="FW14" s="67">
        <v>2685</v>
      </c>
      <c r="FX14" s="100">
        <f t="shared" si="5"/>
        <v>-45908</v>
      </c>
      <c r="FY14" s="100">
        <f t="shared" si="6"/>
        <v>-67573</v>
      </c>
      <c r="FZ14" s="100">
        <v>45517.12760445915</v>
      </c>
      <c r="GA14" s="67">
        <v>21665</v>
      </c>
      <c r="GB14" s="58">
        <f t="shared" si="3"/>
        <v>4813</v>
      </c>
      <c r="GC14" s="67">
        <v>2982</v>
      </c>
      <c r="GD14" s="100">
        <v>3420</v>
      </c>
      <c r="GE14" s="100">
        <v>1412</v>
      </c>
      <c r="GF14" s="58">
        <f t="shared" si="4"/>
        <v>2008</v>
      </c>
      <c r="GG14" s="100">
        <v>-16483.628999999997</v>
      </c>
      <c r="GH14" s="100">
        <v>-730.29405000000031</v>
      </c>
      <c r="GI14" s="100">
        <v>-28712.509407360139</v>
      </c>
      <c r="GJ14" s="67">
        <f t="shared" si="7"/>
        <v>297</v>
      </c>
      <c r="GK14" s="67"/>
      <c r="GL14" s="67"/>
      <c r="GM14" s="96"/>
    </row>
    <row r="15" spans="1:195" ht="13.5" customHeight="1" x14ac:dyDescent="0.2">
      <c r="A15" s="74">
        <v>16</v>
      </c>
      <c r="B15" s="75" t="s">
        <v>9</v>
      </c>
      <c r="C15" s="75" t="s">
        <v>9</v>
      </c>
      <c r="D15" s="76"/>
      <c r="E15" s="77" t="s">
        <v>217</v>
      </c>
      <c r="F15" s="78">
        <v>3</v>
      </c>
      <c r="G15" s="79">
        <v>8287</v>
      </c>
      <c r="H15" s="80">
        <v>6843</v>
      </c>
      <c r="I15" s="80">
        <v>2776</v>
      </c>
      <c r="J15" s="80">
        <v>650</v>
      </c>
      <c r="K15" s="80">
        <v>629</v>
      </c>
      <c r="L15" s="80">
        <v>2788</v>
      </c>
      <c r="M15" s="80">
        <v>0</v>
      </c>
      <c r="N15" s="80">
        <v>4</v>
      </c>
      <c r="O15" s="80">
        <v>49270</v>
      </c>
      <c r="P15" s="80">
        <v>13159</v>
      </c>
      <c r="Q15" s="80">
        <v>9737</v>
      </c>
      <c r="R15" s="80">
        <v>3422</v>
      </c>
      <c r="S15" s="80">
        <v>2910</v>
      </c>
      <c r="T15" s="80">
        <v>512</v>
      </c>
      <c r="U15" s="80">
        <v>32577</v>
      </c>
      <c r="V15" s="80">
        <v>2154</v>
      </c>
      <c r="W15" s="80">
        <v>1109</v>
      </c>
      <c r="X15" s="80">
        <v>271</v>
      </c>
      <c r="Y15" s="80">
        <v>-42423</v>
      </c>
      <c r="Z15" s="80">
        <v>29378</v>
      </c>
      <c r="AA15" s="80">
        <v>25339</v>
      </c>
      <c r="AB15" s="80">
        <v>1538</v>
      </c>
      <c r="AC15" s="80">
        <v>2501</v>
      </c>
      <c r="AD15" s="80">
        <v>16868</v>
      </c>
      <c r="AE15" s="80">
        <v>-169</v>
      </c>
      <c r="AF15" s="80">
        <v>4</v>
      </c>
      <c r="AG15" s="80">
        <v>83</v>
      </c>
      <c r="AH15" s="80">
        <v>28</v>
      </c>
      <c r="AI15" s="80">
        <v>82</v>
      </c>
      <c r="AJ15" s="80">
        <v>174</v>
      </c>
      <c r="AK15" s="80">
        <v>3654</v>
      </c>
      <c r="AL15" s="80">
        <v>2039</v>
      </c>
      <c r="AM15" s="80">
        <v>2039</v>
      </c>
      <c r="AN15" s="80">
        <v>0</v>
      </c>
      <c r="AO15" s="80">
        <v>0</v>
      </c>
      <c r="AP15" s="80">
        <v>0</v>
      </c>
      <c r="AQ15" s="80">
        <v>0</v>
      </c>
      <c r="AR15" s="80">
        <v>1615</v>
      </c>
      <c r="AS15" s="80">
        <v>94</v>
      </c>
      <c r="AT15" s="80">
        <v>0</v>
      </c>
      <c r="AU15" s="80">
        <v>0</v>
      </c>
      <c r="AV15" s="80">
        <v>1709</v>
      </c>
      <c r="AW15" s="81"/>
      <c r="AX15" s="80">
        <v>3294</v>
      </c>
      <c r="AY15" s="80">
        <v>3654</v>
      </c>
      <c r="AZ15" s="80">
        <v>0</v>
      </c>
      <c r="BA15" s="80">
        <v>-360</v>
      </c>
      <c r="BB15" s="80">
        <v>-892</v>
      </c>
      <c r="BC15" s="80">
        <v>1540</v>
      </c>
      <c r="BD15" s="80">
        <v>113</v>
      </c>
      <c r="BE15" s="80">
        <v>535</v>
      </c>
      <c r="BF15" s="80">
        <v>2402</v>
      </c>
      <c r="BG15" s="80">
        <v>-2270</v>
      </c>
      <c r="BH15" s="80">
        <v>4660</v>
      </c>
      <c r="BI15" s="80">
        <v>0</v>
      </c>
      <c r="BJ15" s="80">
        <v>4660</v>
      </c>
      <c r="BK15" s="80">
        <v>-7029</v>
      </c>
      <c r="BL15" s="80">
        <v>0</v>
      </c>
      <c r="BM15" s="80">
        <v>29</v>
      </c>
      <c r="BN15" s="80">
        <v>-7000</v>
      </c>
      <c r="BO15" s="80">
        <v>0</v>
      </c>
      <c r="BP15" s="80">
        <v>99</v>
      </c>
      <c r="BQ15" s="80">
        <v>0</v>
      </c>
      <c r="BR15" s="80">
        <v>-4</v>
      </c>
      <c r="BS15" s="80">
        <v>-129</v>
      </c>
      <c r="BT15" s="80">
        <v>232</v>
      </c>
      <c r="BU15" s="80">
        <v>131</v>
      </c>
      <c r="BV15" s="80">
        <v>654</v>
      </c>
      <c r="BW15" s="80">
        <v>523</v>
      </c>
      <c r="BX15" s="81"/>
      <c r="BY15" s="80">
        <v>49768</v>
      </c>
      <c r="BZ15" s="80">
        <v>165</v>
      </c>
      <c r="CA15" s="80">
        <v>104</v>
      </c>
      <c r="CB15" s="80">
        <v>61</v>
      </c>
      <c r="CC15" s="80">
        <v>0</v>
      </c>
      <c r="CD15" s="80">
        <v>37049</v>
      </c>
      <c r="CE15" s="80">
        <v>7065</v>
      </c>
      <c r="CF15" s="80">
        <v>25493</v>
      </c>
      <c r="CG15" s="80">
        <v>2881</v>
      </c>
      <c r="CH15" s="80">
        <v>369</v>
      </c>
      <c r="CI15" s="80">
        <v>0</v>
      </c>
      <c r="CJ15" s="80">
        <v>0</v>
      </c>
      <c r="CK15" s="80">
        <v>1241</v>
      </c>
      <c r="CL15" s="80">
        <v>12554</v>
      </c>
      <c r="CM15" s="80">
        <v>11592</v>
      </c>
      <c r="CN15" s="80">
        <v>4498</v>
      </c>
      <c r="CO15" s="80">
        <v>7094</v>
      </c>
      <c r="CP15" s="80">
        <v>0</v>
      </c>
      <c r="CQ15" s="80">
        <v>832</v>
      </c>
      <c r="CR15" s="80">
        <v>0</v>
      </c>
      <c r="CS15" s="80">
        <v>0</v>
      </c>
      <c r="CT15" s="80">
        <v>832</v>
      </c>
      <c r="CU15" s="80">
        <v>130</v>
      </c>
      <c r="CV15" s="80">
        <v>58</v>
      </c>
      <c r="CW15" s="80">
        <v>58</v>
      </c>
      <c r="CX15" s="80">
        <v>0</v>
      </c>
      <c r="CY15" s="80">
        <v>0</v>
      </c>
      <c r="CZ15" s="80">
        <v>2649</v>
      </c>
      <c r="DA15" s="80">
        <v>12</v>
      </c>
      <c r="DB15" s="80">
        <v>0</v>
      </c>
      <c r="DC15" s="80">
        <v>0</v>
      </c>
      <c r="DD15" s="80">
        <v>12</v>
      </c>
      <c r="DE15" s="80">
        <v>0</v>
      </c>
      <c r="DF15" s="80">
        <v>0</v>
      </c>
      <c r="DG15" s="80">
        <v>1981</v>
      </c>
      <c r="DH15" s="80">
        <v>0</v>
      </c>
      <c r="DI15" s="80">
        <v>0</v>
      </c>
      <c r="DJ15" s="80">
        <v>0</v>
      </c>
      <c r="DK15" s="80">
        <v>0</v>
      </c>
      <c r="DL15" s="80">
        <v>0</v>
      </c>
      <c r="DM15" s="80">
        <v>1981</v>
      </c>
      <c r="DN15" s="80">
        <v>579</v>
      </c>
      <c r="DO15" s="80">
        <v>0</v>
      </c>
      <c r="DP15" s="80">
        <v>468</v>
      </c>
      <c r="DQ15" s="80">
        <v>934</v>
      </c>
      <c r="DR15" s="80">
        <v>0</v>
      </c>
      <c r="DS15" s="80">
        <v>0</v>
      </c>
      <c r="DT15" s="80">
        <v>0</v>
      </c>
      <c r="DU15" s="80">
        <v>0</v>
      </c>
      <c r="DV15" s="80">
        <v>0</v>
      </c>
      <c r="DW15" s="80">
        <v>656</v>
      </c>
      <c r="DX15" s="80">
        <v>52475</v>
      </c>
      <c r="DY15" s="80">
        <v>30586</v>
      </c>
      <c r="DZ15" s="80">
        <v>21430</v>
      </c>
      <c r="EA15" s="80">
        <v>0</v>
      </c>
      <c r="EB15" s="80">
        <v>0</v>
      </c>
      <c r="EC15" s="80">
        <v>7447</v>
      </c>
      <c r="ED15" s="80">
        <v>1709</v>
      </c>
      <c r="EE15" s="80">
        <v>1283</v>
      </c>
      <c r="EF15" s="80">
        <v>1283</v>
      </c>
      <c r="EG15" s="80">
        <v>0</v>
      </c>
      <c r="EH15" s="80">
        <v>0</v>
      </c>
      <c r="EI15" s="80">
        <v>0</v>
      </c>
      <c r="EJ15" s="80">
        <v>0</v>
      </c>
      <c r="EK15" s="80">
        <v>109</v>
      </c>
      <c r="EL15" s="80">
        <v>58</v>
      </c>
      <c r="EM15" s="80">
        <v>51</v>
      </c>
      <c r="EN15" s="80">
        <v>0</v>
      </c>
      <c r="EO15" s="80">
        <v>20497</v>
      </c>
      <c r="EP15" s="80">
        <v>1830</v>
      </c>
      <c r="EQ15" s="80">
        <v>0</v>
      </c>
      <c r="ER15" s="80">
        <v>1480</v>
      </c>
      <c r="ES15" s="80">
        <v>0</v>
      </c>
      <c r="ET15" s="80">
        <v>1480</v>
      </c>
      <c r="EU15" s="80">
        <v>0</v>
      </c>
      <c r="EV15" s="80">
        <v>0</v>
      </c>
      <c r="EW15" s="80">
        <v>0</v>
      </c>
      <c r="EX15" s="80">
        <v>0</v>
      </c>
      <c r="EY15" s="80">
        <v>0</v>
      </c>
      <c r="EZ15" s="80">
        <v>0</v>
      </c>
      <c r="FA15" s="80">
        <v>0</v>
      </c>
      <c r="FB15" s="80">
        <v>0</v>
      </c>
      <c r="FC15" s="80">
        <v>350</v>
      </c>
      <c r="FD15" s="80">
        <v>18667</v>
      </c>
      <c r="FE15" s="80">
        <v>0</v>
      </c>
      <c r="FF15" s="80">
        <v>15505</v>
      </c>
      <c r="FG15" s="80">
        <v>8005</v>
      </c>
      <c r="FH15" s="80">
        <v>7500</v>
      </c>
      <c r="FI15" s="80">
        <v>0</v>
      </c>
      <c r="FJ15" s="80">
        <v>0</v>
      </c>
      <c r="FK15" s="80">
        <v>61</v>
      </c>
      <c r="FL15" s="80">
        <v>0</v>
      </c>
      <c r="FM15" s="80">
        <v>80</v>
      </c>
      <c r="FN15" s="80">
        <v>1134</v>
      </c>
      <c r="FO15" s="80">
        <v>217</v>
      </c>
      <c r="FP15" s="80">
        <v>1670</v>
      </c>
      <c r="FQ15" s="80">
        <v>52475</v>
      </c>
      <c r="FR15" s="80">
        <v>11980</v>
      </c>
      <c r="FS15" s="80">
        <v>0</v>
      </c>
      <c r="FT15" s="100">
        <v>25659.429922788218</v>
      </c>
      <c r="FU15" s="100"/>
      <c r="FV15" s="100">
        <v>12031</v>
      </c>
      <c r="FW15" s="67">
        <v>2037</v>
      </c>
      <c r="FX15" s="100">
        <f t="shared" si="5"/>
        <v>-28061</v>
      </c>
      <c r="FY15" s="100">
        <f t="shared" si="6"/>
        <v>-40384</v>
      </c>
      <c r="FZ15" s="100">
        <v>28426.713121483259</v>
      </c>
      <c r="GA15" s="67">
        <v>12323</v>
      </c>
      <c r="GB15" s="58">
        <f t="shared" si="3"/>
        <v>292</v>
      </c>
      <c r="GC15" s="67">
        <v>2037</v>
      </c>
      <c r="GD15" s="100">
        <v>651</v>
      </c>
      <c r="GE15" s="100">
        <v>649</v>
      </c>
      <c r="GF15" s="58">
        <f t="shared" si="4"/>
        <v>2</v>
      </c>
      <c r="GG15" s="100">
        <v>-14818.863999999998</v>
      </c>
      <c r="GH15" s="100">
        <v>-467.49110000000013</v>
      </c>
      <c r="GI15" s="100">
        <v>-13377.073431388149</v>
      </c>
      <c r="GJ15" s="67">
        <f t="shared" si="7"/>
        <v>0</v>
      </c>
      <c r="GK15" s="67"/>
      <c r="GL15" s="67"/>
      <c r="GM15" s="96"/>
    </row>
    <row r="16" spans="1:195" ht="13.5" customHeight="1" x14ac:dyDescent="0.2">
      <c r="A16" s="74">
        <v>18</v>
      </c>
      <c r="B16" s="75" t="s">
        <v>10</v>
      </c>
      <c r="C16" s="75" t="s">
        <v>10</v>
      </c>
      <c r="D16" s="76"/>
      <c r="E16" s="77" t="s">
        <v>218</v>
      </c>
      <c r="F16" s="78">
        <v>3</v>
      </c>
      <c r="G16" s="79">
        <v>5104</v>
      </c>
      <c r="H16" s="80">
        <v>4397</v>
      </c>
      <c r="I16" s="80">
        <v>1838</v>
      </c>
      <c r="J16" s="80">
        <v>1532</v>
      </c>
      <c r="K16" s="80">
        <v>384</v>
      </c>
      <c r="L16" s="80">
        <v>643</v>
      </c>
      <c r="M16" s="80">
        <v>0</v>
      </c>
      <c r="N16" s="80">
        <v>0</v>
      </c>
      <c r="O16" s="80">
        <v>29519</v>
      </c>
      <c r="P16" s="80">
        <v>12949</v>
      </c>
      <c r="Q16" s="80">
        <v>9955</v>
      </c>
      <c r="R16" s="80">
        <v>2994</v>
      </c>
      <c r="S16" s="80">
        <v>2466</v>
      </c>
      <c r="T16" s="80">
        <v>528</v>
      </c>
      <c r="U16" s="80">
        <v>12710</v>
      </c>
      <c r="V16" s="80">
        <v>1801</v>
      </c>
      <c r="W16" s="80">
        <v>1742</v>
      </c>
      <c r="X16" s="80">
        <v>317</v>
      </c>
      <c r="Y16" s="80">
        <v>-25122</v>
      </c>
      <c r="Z16" s="80">
        <v>18430</v>
      </c>
      <c r="AA16" s="80">
        <v>16391</v>
      </c>
      <c r="AB16" s="80">
        <v>987</v>
      </c>
      <c r="AC16" s="80">
        <v>1052</v>
      </c>
      <c r="AD16" s="80">
        <v>6844</v>
      </c>
      <c r="AE16" s="80">
        <v>138</v>
      </c>
      <c r="AF16" s="80">
        <v>0</v>
      </c>
      <c r="AG16" s="80">
        <v>288</v>
      </c>
      <c r="AH16" s="80">
        <v>213</v>
      </c>
      <c r="AI16" s="80">
        <v>137</v>
      </c>
      <c r="AJ16" s="80">
        <v>13</v>
      </c>
      <c r="AK16" s="80">
        <v>290</v>
      </c>
      <c r="AL16" s="80">
        <v>1103</v>
      </c>
      <c r="AM16" s="80">
        <v>1103</v>
      </c>
      <c r="AN16" s="80">
        <v>0</v>
      </c>
      <c r="AO16" s="80">
        <v>0</v>
      </c>
      <c r="AP16" s="80">
        <v>0</v>
      </c>
      <c r="AQ16" s="80">
        <v>0</v>
      </c>
      <c r="AR16" s="80">
        <v>-813</v>
      </c>
      <c r="AS16" s="80">
        <v>0</v>
      </c>
      <c r="AT16" s="80">
        <v>0</v>
      </c>
      <c r="AU16" s="80">
        <v>0</v>
      </c>
      <c r="AV16" s="80">
        <v>-813</v>
      </c>
      <c r="AW16" s="81"/>
      <c r="AX16" s="80">
        <v>157</v>
      </c>
      <c r="AY16" s="80">
        <v>290</v>
      </c>
      <c r="AZ16" s="80">
        <v>0</v>
      </c>
      <c r="BA16" s="80">
        <v>-133</v>
      </c>
      <c r="BB16" s="80">
        <v>-2364</v>
      </c>
      <c r="BC16" s="80">
        <v>2542</v>
      </c>
      <c r="BD16" s="80">
        <v>21</v>
      </c>
      <c r="BE16" s="80">
        <v>157</v>
      </c>
      <c r="BF16" s="80">
        <v>-2207</v>
      </c>
      <c r="BG16" s="80">
        <v>2565</v>
      </c>
      <c r="BH16" s="80">
        <v>0</v>
      </c>
      <c r="BI16" s="80">
        <v>0</v>
      </c>
      <c r="BJ16" s="80">
        <v>0</v>
      </c>
      <c r="BK16" s="80">
        <v>2688</v>
      </c>
      <c r="BL16" s="80">
        <v>1300</v>
      </c>
      <c r="BM16" s="80">
        <v>810</v>
      </c>
      <c r="BN16" s="80">
        <v>2198</v>
      </c>
      <c r="BO16" s="80">
        <v>-129</v>
      </c>
      <c r="BP16" s="80">
        <v>6</v>
      </c>
      <c r="BQ16" s="80">
        <v>17</v>
      </c>
      <c r="BR16" s="80">
        <v>1</v>
      </c>
      <c r="BS16" s="80">
        <v>517</v>
      </c>
      <c r="BT16" s="80">
        <v>-529</v>
      </c>
      <c r="BU16" s="80">
        <v>358</v>
      </c>
      <c r="BV16" s="80">
        <v>1297</v>
      </c>
      <c r="BW16" s="80">
        <v>939</v>
      </c>
      <c r="BX16" s="81"/>
      <c r="BY16" s="80">
        <v>25350</v>
      </c>
      <c r="BZ16" s="80">
        <v>433</v>
      </c>
      <c r="CA16" s="80">
        <v>204</v>
      </c>
      <c r="CB16" s="80">
        <v>229</v>
      </c>
      <c r="CC16" s="80">
        <v>0</v>
      </c>
      <c r="CD16" s="80">
        <v>19473</v>
      </c>
      <c r="CE16" s="80">
        <v>2978</v>
      </c>
      <c r="CF16" s="80">
        <v>12207</v>
      </c>
      <c r="CG16" s="80">
        <v>3978</v>
      </c>
      <c r="CH16" s="80">
        <v>278</v>
      </c>
      <c r="CI16" s="80">
        <v>5</v>
      </c>
      <c r="CJ16" s="80">
        <v>5</v>
      </c>
      <c r="CK16" s="80">
        <v>27</v>
      </c>
      <c r="CL16" s="80">
        <v>5444</v>
      </c>
      <c r="CM16" s="80">
        <v>5212</v>
      </c>
      <c r="CN16" s="80">
        <v>2763</v>
      </c>
      <c r="CO16" s="80">
        <v>2449</v>
      </c>
      <c r="CP16" s="80">
        <v>0</v>
      </c>
      <c r="CQ16" s="80">
        <v>0</v>
      </c>
      <c r="CR16" s="80">
        <v>0</v>
      </c>
      <c r="CS16" s="80">
        <v>0</v>
      </c>
      <c r="CT16" s="80">
        <v>0</v>
      </c>
      <c r="CU16" s="80">
        <v>232</v>
      </c>
      <c r="CV16" s="80">
        <v>4508</v>
      </c>
      <c r="CW16" s="80">
        <v>0</v>
      </c>
      <c r="CX16" s="80">
        <v>4508</v>
      </c>
      <c r="CY16" s="80">
        <v>0</v>
      </c>
      <c r="CZ16" s="80">
        <v>2587</v>
      </c>
      <c r="DA16" s="80">
        <v>65</v>
      </c>
      <c r="DB16" s="80">
        <v>65</v>
      </c>
      <c r="DC16" s="80">
        <v>0</v>
      </c>
      <c r="DD16" s="80">
        <v>0</v>
      </c>
      <c r="DE16" s="80">
        <v>0</v>
      </c>
      <c r="DF16" s="80">
        <v>0</v>
      </c>
      <c r="DG16" s="80">
        <v>1226</v>
      </c>
      <c r="DH16" s="80">
        <v>0</v>
      </c>
      <c r="DI16" s="80">
        <v>0</v>
      </c>
      <c r="DJ16" s="80">
        <v>0</v>
      </c>
      <c r="DK16" s="80">
        <v>0</v>
      </c>
      <c r="DL16" s="80">
        <v>0</v>
      </c>
      <c r="DM16" s="80">
        <v>1226</v>
      </c>
      <c r="DN16" s="80">
        <v>812</v>
      </c>
      <c r="DO16" s="80">
        <v>11</v>
      </c>
      <c r="DP16" s="80">
        <v>403</v>
      </c>
      <c r="DQ16" s="80">
        <v>0</v>
      </c>
      <c r="DR16" s="80">
        <v>1057</v>
      </c>
      <c r="DS16" s="80">
        <v>0</v>
      </c>
      <c r="DT16" s="80">
        <v>0</v>
      </c>
      <c r="DU16" s="80">
        <v>0</v>
      </c>
      <c r="DV16" s="80">
        <v>1057</v>
      </c>
      <c r="DW16" s="80">
        <v>239</v>
      </c>
      <c r="DX16" s="80">
        <v>32445</v>
      </c>
      <c r="DY16" s="80">
        <v>8672</v>
      </c>
      <c r="DZ16" s="80">
        <v>9241</v>
      </c>
      <c r="EA16" s="80">
        <v>0</v>
      </c>
      <c r="EB16" s="80">
        <v>0</v>
      </c>
      <c r="EC16" s="80">
        <v>244</v>
      </c>
      <c r="ED16" s="80">
        <v>-813</v>
      </c>
      <c r="EE16" s="80">
        <v>0</v>
      </c>
      <c r="EF16" s="80">
        <v>0</v>
      </c>
      <c r="EG16" s="80">
        <v>0</v>
      </c>
      <c r="EH16" s="80">
        <v>0</v>
      </c>
      <c r="EI16" s="80">
        <v>0</v>
      </c>
      <c r="EJ16" s="80">
        <v>0</v>
      </c>
      <c r="EK16" s="80">
        <v>4600</v>
      </c>
      <c r="EL16" s="80">
        <v>0</v>
      </c>
      <c r="EM16" s="80">
        <v>4593</v>
      </c>
      <c r="EN16" s="80">
        <v>7</v>
      </c>
      <c r="EO16" s="80">
        <v>19173</v>
      </c>
      <c r="EP16" s="80">
        <v>9650</v>
      </c>
      <c r="EQ16" s="80">
        <v>0</v>
      </c>
      <c r="ER16" s="80">
        <v>9050</v>
      </c>
      <c r="ES16" s="80">
        <v>3000</v>
      </c>
      <c r="ET16" s="80">
        <v>6050</v>
      </c>
      <c r="EU16" s="80">
        <v>0</v>
      </c>
      <c r="EV16" s="80">
        <v>0</v>
      </c>
      <c r="EW16" s="80">
        <v>600</v>
      </c>
      <c r="EX16" s="80">
        <v>0</v>
      </c>
      <c r="EY16" s="80">
        <v>0</v>
      </c>
      <c r="EZ16" s="80">
        <v>0</v>
      </c>
      <c r="FA16" s="80">
        <v>0</v>
      </c>
      <c r="FB16" s="80">
        <v>0</v>
      </c>
      <c r="FC16" s="80">
        <v>0</v>
      </c>
      <c r="FD16" s="80">
        <v>9523</v>
      </c>
      <c r="FE16" s="80">
        <v>0</v>
      </c>
      <c r="FF16" s="80">
        <v>6521</v>
      </c>
      <c r="FG16" s="80">
        <v>1821</v>
      </c>
      <c r="FH16" s="80">
        <v>4700</v>
      </c>
      <c r="FI16" s="80">
        <v>0</v>
      </c>
      <c r="FJ16" s="80">
        <v>0</v>
      </c>
      <c r="FK16" s="80">
        <v>50</v>
      </c>
      <c r="FL16" s="80">
        <v>0</v>
      </c>
      <c r="FM16" s="80">
        <v>0</v>
      </c>
      <c r="FN16" s="80">
        <v>1339</v>
      </c>
      <c r="FO16" s="80">
        <v>306</v>
      </c>
      <c r="FP16" s="80">
        <v>1307</v>
      </c>
      <c r="FQ16" s="80">
        <v>32445</v>
      </c>
      <c r="FR16" s="80">
        <v>74</v>
      </c>
      <c r="FS16" s="80">
        <v>177</v>
      </c>
      <c r="FT16" s="100">
        <v>16325.335547283492</v>
      </c>
      <c r="FU16" s="100"/>
      <c r="FV16" s="100">
        <v>5735</v>
      </c>
      <c r="FW16" s="67">
        <v>898</v>
      </c>
      <c r="FX16" s="100">
        <f t="shared" si="5"/>
        <v>-16836</v>
      </c>
      <c r="FY16" s="100">
        <f t="shared" si="6"/>
        <v>-24019</v>
      </c>
      <c r="FZ16" s="100">
        <v>15046.915523142385</v>
      </c>
      <c r="GA16" s="67">
        <v>7183</v>
      </c>
      <c r="GB16" s="58">
        <f t="shared" si="3"/>
        <v>1448</v>
      </c>
      <c r="GC16" s="67">
        <v>1104</v>
      </c>
      <c r="GD16" s="100">
        <v>1533</v>
      </c>
      <c r="GE16" s="100">
        <v>563</v>
      </c>
      <c r="GF16" s="58">
        <f t="shared" si="4"/>
        <v>970</v>
      </c>
      <c r="GG16" s="100">
        <v>-9612.7270000000008</v>
      </c>
      <c r="GH16" s="100">
        <v>-282.6040000000001</v>
      </c>
      <c r="GI16" s="100">
        <v>-5200.8974366698694</v>
      </c>
      <c r="GJ16" s="67">
        <f t="shared" si="7"/>
        <v>206</v>
      </c>
      <c r="GK16" s="67"/>
      <c r="GL16" s="67"/>
      <c r="GM16" s="96"/>
    </row>
    <row r="17" spans="1:195" ht="13.5" customHeight="1" x14ac:dyDescent="0.2">
      <c r="A17" s="74">
        <v>19</v>
      </c>
      <c r="B17" s="75" t="s">
        <v>11</v>
      </c>
      <c r="C17" s="75" t="s">
        <v>11</v>
      </c>
      <c r="D17" s="76"/>
      <c r="E17" s="77" t="s">
        <v>219</v>
      </c>
      <c r="F17" s="78">
        <v>2</v>
      </c>
      <c r="G17" s="79">
        <v>3986</v>
      </c>
      <c r="H17" s="80">
        <v>3226</v>
      </c>
      <c r="I17" s="80">
        <v>1208</v>
      </c>
      <c r="J17" s="80">
        <v>945</v>
      </c>
      <c r="K17" s="80">
        <v>377</v>
      </c>
      <c r="L17" s="80">
        <v>696</v>
      </c>
      <c r="M17" s="80">
        <v>0</v>
      </c>
      <c r="N17" s="80">
        <v>0</v>
      </c>
      <c r="O17" s="80">
        <v>21799</v>
      </c>
      <c r="P17" s="80">
        <v>7090</v>
      </c>
      <c r="Q17" s="80">
        <v>5536</v>
      </c>
      <c r="R17" s="80">
        <v>1554</v>
      </c>
      <c r="S17" s="80">
        <v>1308</v>
      </c>
      <c r="T17" s="80">
        <v>246</v>
      </c>
      <c r="U17" s="80">
        <v>12248</v>
      </c>
      <c r="V17" s="80">
        <v>889</v>
      </c>
      <c r="W17" s="80">
        <v>1273</v>
      </c>
      <c r="X17" s="80">
        <v>299</v>
      </c>
      <c r="Y17" s="80">
        <v>-18573</v>
      </c>
      <c r="Z17" s="80">
        <v>13875</v>
      </c>
      <c r="AA17" s="80">
        <v>12633</v>
      </c>
      <c r="AB17" s="80">
        <v>506</v>
      </c>
      <c r="AC17" s="80">
        <v>736</v>
      </c>
      <c r="AD17" s="80">
        <v>5377</v>
      </c>
      <c r="AE17" s="80">
        <v>-45</v>
      </c>
      <c r="AF17" s="80">
        <v>0</v>
      </c>
      <c r="AG17" s="80">
        <v>22</v>
      </c>
      <c r="AH17" s="80">
        <v>3</v>
      </c>
      <c r="AI17" s="80">
        <v>64</v>
      </c>
      <c r="AJ17" s="80">
        <v>3</v>
      </c>
      <c r="AK17" s="80">
        <v>634</v>
      </c>
      <c r="AL17" s="80">
        <v>784</v>
      </c>
      <c r="AM17" s="80">
        <v>784</v>
      </c>
      <c r="AN17" s="80">
        <v>0</v>
      </c>
      <c r="AO17" s="80">
        <v>0</v>
      </c>
      <c r="AP17" s="80">
        <v>0</v>
      </c>
      <c r="AQ17" s="80">
        <v>0</v>
      </c>
      <c r="AR17" s="80">
        <v>-150</v>
      </c>
      <c r="AS17" s="80">
        <v>28</v>
      </c>
      <c r="AT17" s="80">
        <v>0</v>
      </c>
      <c r="AU17" s="80">
        <v>0</v>
      </c>
      <c r="AV17" s="80">
        <v>-122</v>
      </c>
      <c r="AW17" s="81"/>
      <c r="AX17" s="80">
        <v>452</v>
      </c>
      <c r="AY17" s="80">
        <v>634</v>
      </c>
      <c r="AZ17" s="80">
        <v>0</v>
      </c>
      <c r="BA17" s="80">
        <v>-182</v>
      </c>
      <c r="BB17" s="80">
        <v>-1550</v>
      </c>
      <c r="BC17" s="80">
        <v>1867</v>
      </c>
      <c r="BD17" s="80">
        <v>75</v>
      </c>
      <c r="BE17" s="80">
        <v>242</v>
      </c>
      <c r="BF17" s="80">
        <v>-1098</v>
      </c>
      <c r="BG17" s="80">
        <v>1083</v>
      </c>
      <c r="BH17" s="80">
        <v>0</v>
      </c>
      <c r="BI17" s="80">
        <v>0</v>
      </c>
      <c r="BJ17" s="80">
        <v>0</v>
      </c>
      <c r="BK17" s="80">
        <v>1282</v>
      </c>
      <c r="BL17" s="80">
        <v>0</v>
      </c>
      <c r="BM17" s="80">
        <v>718</v>
      </c>
      <c r="BN17" s="80">
        <v>2000</v>
      </c>
      <c r="BO17" s="80">
        <v>0</v>
      </c>
      <c r="BP17" s="80">
        <v>-199</v>
      </c>
      <c r="BQ17" s="80">
        <v>-44</v>
      </c>
      <c r="BR17" s="80">
        <v>0</v>
      </c>
      <c r="BS17" s="80">
        <v>243</v>
      </c>
      <c r="BT17" s="80">
        <v>-398</v>
      </c>
      <c r="BU17" s="80">
        <v>-15</v>
      </c>
      <c r="BV17" s="80">
        <v>494</v>
      </c>
      <c r="BW17" s="80">
        <v>509</v>
      </c>
      <c r="BX17" s="81"/>
      <c r="BY17" s="80">
        <v>17527</v>
      </c>
      <c r="BZ17" s="80">
        <v>28</v>
      </c>
      <c r="CA17" s="80">
        <v>15</v>
      </c>
      <c r="CB17" s="80">
        <v>13</v>
      </c>
      <c r="CC17" s="80">
        <v>0</v>
      </c>
      <c r="CD17" s="80">
        <v>14922</v>
      </c>
      <c r="CE17" s="80">
        <v>2729</v>
      </c>
      <c r="CF17" s="80">
        <v>8647</v>
      </c>
      <c r="CG17" s="80">
        <v>3531</v>
      </c>
      <c r="CH17" s="80">
        <v>15</v>
      </c>
      <c r="CI17" s="80">
        <v>0</v>
      </c>
      <c r="CJ17" s="80">
        <v>0</v>
      </c>
      <c r="CK17" s="80">
        <v>0</v>
      </c>
      <c r="CL17" s="80">
        <v>2577</v>
      </c>
      <c r="CM17" s="80">
        <v>2577</v>
      </c>
      <c r="CN17" s="80">
        <v>2115</v>
      </c>
      <c r="CO17" s="80">
        <v>462</v>
      </c>
      <c r="CP17" s="80">
        <v>0</v>
      </c>
      <c r="CQ17" s="80">
        <v>0</v>
      </c>
      <c r="CR17" s="80">
        <v>0</v>
      </c>
      <c r="CS17" s="80">
        <v>0</v>
      </c>
      <c r="CT17" s="80">
        <v>0</v>
      </c>
      <c r="CU17" s="80">
        <v>0</v>
      </c>
      <c r="CV17" s="80">
        <v>120</v>
      </c>
      <c r="CW17" s="80">
        <v>0</v>
      </c>
      <c r="CX17" s="80">
        <v>120</v>
      </c>
      <c r="CY17" s="80">
        <v>0</v>
      </c>
      <c r="CZ17" s="80">
        <v>1380</v>
      </c>
      <c r="DA17" s="80">
        <v>1</v>
      </c>
      <c r="DB17" s="80">
        <v>1</v>
      </c>
      <c r="DC17" s="80">
        <v>0</v>
      </c>
      <c r="DD17" s="80">
        <v>0</v>
      </c>
      <c r="DE17" s="80">
        <v>0</v>
      </c>
      <c r="DF17" s="80">
        <v>0</v>
      </c>
      <c r="DG17" s="80">
        <v>885</v>
      </c>
      <c r="DH17" s="80">
        <v>0</v>
      </c>
      <c r="DI17" s="80">
        <v>0</v>
      </c>
      <c r="DJ17" s="80">
        <v>0</v>
      </c>
      <c r="DK17" s="80">
        <v>0</v>
      </c>
      <c r="DL17" s="80">
        <v>0</v>
      </c>
      <c r="DM17" s="80">
        <v>885</v>
      </c>
      <c r="DN17" s="80">
        <v>533</v>
      </c>
      <c r="DO17" s="80">
        <v>0</v>
      </c>
      <c r="DP17" s="80">
        <v>172</v>
      </c>
      <c r="DQ17" s="80">
        <v>180</v>
      </c>
      <c r="DR17" s="80">
        <v>0</v>
      </c>
      <c r="DS17" s="80">
        <v>0</v>
      </c>
      <c r="DT17" s="80">
        <v>0</v>
      </c>
      <c r="DU17" s="80">
        <v>0</v>
      </c>
      <c r="DV17" s="80">
        <v>0</v>
      </c>
      <c r="DW17" s="80">
        <v>494</v>
      </c>
      <c r="DX17" s="80">
        <v>19027</v>
      </c>
      <c r="DY17" s="80">
        <v>1992</v>
      </c>
      <c r="DZ17" s="80">
        <v>4948</v>
      </c>
      <c r="EA17" s="80">
        <v>0</v>
      </c>
      <c r="EB17" s="80">
        <v>0</v>
      </c>
      <c r="EC17" s="80">
        <v>-2834</v>
      </c>
      <c r="ED17" s="80">
        <v>-122</v>
      </c>
      <c r="EE17" s="80">
        <v>228</v>
      </c>
      <c r="EF17" s="80">
        <v>228</v>
      </c>
      <c r="EG17" s="80">
        <v>0</v>
      </c>
      <c r="EH17" s="80">
        <v>0</v>
      </c>
      <c r="EI17" s="80">
        <v>0</v>
      </c>
      <c r="EJ17" s="80">
        <v>0</v>
      </c>
      <c r="EK17" s="80">
        <v>226</v>
      </c>
      <c r="EL17" s="80">
        <v>25</v>
      </c>
      <c r="EM17" s="80">
        <v>120</v>
      </c>
      <c r="EN17" s="80">
        <v>81</v>
      </c>
      <c r="EO17" s="80">
        <v>16581</v>
      </c>
      <c r="EP17" s="80">
        <v>3691</v>
      </c>
      <c r="EQ17" s="80">
        <v>0</v>
      </c>
      <c r="ER17" s="80">
        <v>3691</v>
      </c>
      <c r="ES17" s="80">
        <v>0</v>
      </c>
      <c r="ET17" s="80">
        <v>3691</v>
      </c>
      <c r="EU17" s="80">
        <v>0</v>
      </c>
      <c r="EV17" s="80">
        <v>0</v>
      </c>
      <c r="EW17" s="80">
        <v>0</v>
      </c>
      <c r="EX17" s="80">
        <v>0</v>
      </c>
      <c r="EY17" s="80">
        <v>0</v>
      </c>
      <c r="EZ17" s="80">
        <v>0</v>
      </c>
      <c r="FA17" s="80">
        <v>0</v>
      </c>
      <c r="FB17" s="80">
        <v>0</v>
      </c>
      <c r="FC17" s="80">
        <v>0</v>
      </c>
      <c r="FD17" s="80">
        <v>12890</v>
      </c>
      <c r="FE17" s="80">
        <v>0</v>
      </c>
      <c r="FF17" s="80">
        <v>10894</v>
      </c>
      <c r="FG17" s="80">
        <v>1840</v>
      </c>
      <c r="FH17" s="80">
        <v>9054</v>
      </c>
      <c r="FI17" s="80">
        <v>0</v>
      </c>
      <c r="FJ17" s="80">
        <v>0</v>
      </c>
      <c r="FK17" s="80">
        <v>0</v>
      </c>
      <c r="FL17" s="80">
        <v>0</v>
      </c>
      <c r="FM17" s="80">
        <v>35</v>
      </c>
      <c r="FN17" s="80">
        <v>804</v>
      </c>
      <c r="FO17" s="80">
        <v>252</v>
      </c>
      <c r="FP17" s="80">
        <v>905</v>
      </c>
      <c r="FQ17" s="80">
        <v>19027</v>
      </c>
      <c r="FR17" s="80">
        <v>3139</v>
      </c>
      <c r="FS17" s="80">
        <v>122</v>
      </c>
      <c r="FT17" s="100">
        <v>12064.89418993883</v>
      </c>
      <c r="FU17" s="100"/>
      <c r="FV17" s="100">
        <v>4713</v>
      </c>
      <c r="FW17" s="67">
        <v>784</v>
      </c>
      <c r="FX17" s="100">
        <f t="shared" si="5"/>
        <v>-12116</v>
      </c>
      <c r="FY17" s="100">
        <f t="shared" si="6"/>
        <v>-17789</v>
      </c>
      <c r="FZ17" s="100">
        <v>11678.138025616861</v>
      </c>
      <c r="GA17" s="67">
        <v>5673</v>
      </c>
      <c r="GB17" s="58">
        <f t="shared" si="3"/>
        <v>960</v>
      </c>
      <c r="GC17" s="67">
        <v>784</v>
      </c>
      <c r="GD17" s="100">
        <v>968</v>
      </c>
      <c r="GE17" s="100">
        <v>452</v>
      </c>
      <c r="GF17" s="58">
        <f t="shared" si="4"/>
        <v>516</v>
      </c>
      <c r="GG17" s="100">
        <v>-7208.0610000000006</v>
      </c>
      <c r="GH17" s="100">
        <v>-130.02005000000003</v>
      </c>
      <c r="GI17" s="100">
        <v>-4299.029366227167</v>
      </c>
      <c r="GJ17" s="67">
        <f t="shared" si="7"/>
        <v>0</v>
      </c>
      <c r="GK17" s="67"/>
      <c r="GL17" s="67"/>
      <c r="GM17" s="96"/>
    </row>
    <row r="18" spans="1:195" ht="13.5" customHeight="1" x14ac:dyDescent="0.2">
      <c r="A18" s="74">
        <v>604</v>
      </c>
      <c r="B18" s="75" t="s">
        <v>292</v>
      </c>
      <c r="C18" s="82" t="s">
        <v>292</v>
      </c>
      <c r="D18" s="76"/>
      <c r="E18" s="77" t="s">
        <v>214</v>
      </c>
      <c r="F18" s="78">
        <v>4</v>
      </c>
      <c r="G18" s="79">
        <v>18913</v>
      </c>
      <c r="H18" s="80">
        <v>31871</v>
      </c>
      <c r="I18" s="80">
        <v>16049</v>
      </c>
      <c r="J18" s="80">
        <v>7116</v>
      </c>
      <c r="K18" s="80">
        <v>2493</v>
      </c>
      <c r="L18" s="80">
        <v>6213</v>
      </c>
      <c r="M18" s="80">
        <v>0</v>
      </c>
      <c r="N18" s="80">
        <v>0</v>
      </c>
      <c r="O18" s="80">
        <v>116132</v>
      </c>
      <c r="P18" s="80">
        <v>55957</v>
      </c>
      <c r="Q18" s="80">
        <v>43666</v>
      </c>
      <c r="R18" s="80">
        <v>12291</v>
      </c>
      <c r="S18" s="80">
        <v>9614</v>
      </c>
      <c r="T18" s="80">
        <v>2677</v>
      </c>
      <c r="U18" s="80">
        <v>43628</v>
      </c>
      <c r="V18" s="80">
        <v>6019</v>
      </c>
      <c r="W18" s="80">
        <v>7325</v>
      </c>
      <c r="X18" s="80">
        <v>3203</v>
      </c>
      <c r="Y18" s="80">
        <v>-84261</v>
      </c>
      <c r="Z18" s="80">
        <v>81316</v>
      </c>
      <c r="AA18" s="80">
        <v>74077</v>
      </c>
      <c r="AB18" s="80">
        <v>3275</v>
      </c>
      <c r="AC18" s="80">
        <v>3964</v>
      </c>
      <c r="AD18" s="80">
        <v>10963</v>
      </c>
      <c r="AE18" s="80">
        <v>-642</v>
      </c>
      <c r="AF18" s="80">
        <v>0</v>
      </c>
      <c r="AG18" s="80">
        <v>824</v>
      </c>
      <c r="AH18" s="80">
        <v>70</v>
      </c>
      <c r="AI18" s="80">
        <v>769</v>
      </c>
      <c r="AJ18" s="80">
        <v>697</v>
      </c>
      <c r="AK18" s="80">
        <v>7376</v>
      </c>
      <c r="AL18" s="80">
        <v>6950</v>
      </c>
      <c r="AM18" s="80">
        <v>6950</v>
      </c>
      <c r="AN18" s="80">
        <v>0</v>
      </c>
      <c r="AO18" s="80">
        <v>0</v>
      </c>
      <c r="AP18" s="80">
        <v>0</v>
      </c>
      <c r="AQ18" s="80">
        <v>0</v>
      </c>
      <c r="AR18" s="80">
        <v>426</v>
      </c>
      <c r="AS18" s="80">
        <v>0</v>
      </c>
      <c r="AT18" s="80">
        <v>-415</v>
      </c>
      <c r="AU18" s="80">
        <v>0</v>
      </c>
      <c r="AV18" s="80">
        <v>11</v>
      </c>
      <c r="AW18" s="81"/>
      <c r="AX18" s="80">
        <v>3800</v>
      </c>
      <c r="AY18" s="80">
        <v>7376</v>
      </c>
      <c r="AZ18" s="80">
        <v>0</v>
      </c>
      <c r="BA18" s="80">
        <v>-3576</v>
      </c>
      <c r="BB18" s="80">
        <v>-5545</v>
      </c>
      <c r="BC18" s="80">
        <v>9494</v>
      </c>
      <c r="BD18" s="80">
        <v>99</v>
      </c>
      <c r="BE18" s="80">
        <v>3850</v>
      </c>
      <c r="BF18" s="80">
        <v>-1745</v>
      </c>
      <c r="BG18" s="80">
        <v>-47</v>
      </c>
      <c r="BH18" s="80">
        <v>0</v>
      </c>
      <c r="BI18" s="80">
        <v>0</v>
      </c>
      <c r="BJ18" s="80">
        <v>0</v>
      </c>
      <c r="BK18" s="80">
        <v>-609</v>
      </c>
      <c r="BL18" s="80">
        <v>7750</v>
      </c>
      <c r="BM18" s="80">
        <v>8359</v>
      </c>
      <c r="BN18" s="80">
        <v>0</v>
      </c>
      <c r="BO18" s="80">
        <v>0</v>
      </c>
      <c r="BP18" s="80">
        <v>562</v>
      </c>
      <c r="BQ18" s="80">
        <v>2</v>
      </c>
      <c r="BR18" s="80">
        <v>861</v>
      </c>
      <c r="BS18" s="80">
        <v>123</v>
      </c>
      <c r="BT18" s="80">
        <v>-424</v>
      </c>
      <c r="BU18" s="80">
        <v>-1791</v>
      </c>
      <c r="BV18" s="80">
        <v>3986</v>
      </c>
      <c r="BW18" s="80">
        <v>5777</v>
      </c>
      <c r="BX18" s="81"/>
      <c r="BY18" s="80">
        <v>133674</v>
      </c>
      <c r="BZ18" s="80">
        <v>1117</v>
      </c>
      <c r="CA18" s="80">
        <v>231</v>
      </c>
      <c r="CB18" s="80">
        <v>886</v>
      </c>
      <c r="CC18" s="80">
        <v>0</v>
      </c>
      <c r="CD18" s="80">
        <v>117930</v>
      </c>
      <c r="CE18" s="80">
        <v>25900</v>
      </c>
      <c r="CF18" s="80">
        <v>50510</v>
      </c>
      <c r="CG18" s="80">
        <v>40199</v>
      </c>
      <c r="CH18" s="80">
        <v>740</v>
      </c>
      <c r="CI18" s="80">
        <v>255</v>
      </c>
      <c r="CJ18" s="80">
        <v>255</v>
      </c>
      <c r="CK18" s="80">
        <v>326</v>
      </c>
      <c r="CL18" s="80">
        <v>14627</v>
      </c>
      <c r="CM18" s="80">
        <v>14619</v>
      </c>
      <c r="CN18" s="80">
        <v>2519</v>
      </c>
      <c r="CO18" s="80">
        <v>12100</v>
      </c>
      <c r="CP18" s="80">
        <v>0</v>
      </c>
      <c r="CQ18" s="80">
        <v>8</v>
      </c>
      <c r="CR18" s="80">
        <v>0</v>
      </c>
      <c r="CS18" s="80">
        <v>0</v>
      </c>
      <c r="CT18" s="80">
        <v>8</v>
      </c>
      <c r="CU18" s="80">
        <v>0</v>
      </c>
      <c r="CV18" s="80">
        <v>158</v>
      </c>
      <c r="CW18" s="80">
        <v>6</v>
      </c>
      <c r="CX18" s="80">
        <v>37</v>
      </c>
      <c r="CY18" s="80">
        <v>115</v>
      </c>
      <c r="CZ18" s="80">
        <v>12046</v>
      </c>
      <c r="DA18" s="80">
        <v>159</v>
      </c>
      <c r="DB18" s="80">
        <v>159</v>
      </c>
      <c r="DC18" s="80">
        <v>0</v>
      </c>
      <c r="DD18" s="80">
        <v>0</v>
      </c>
      <c r="DE18" s="80">
        <v>0</v>
      </c>
      <c r="DF18" s="80">
        <v>0</v>
      </c>
      <c r="DG18" s="80">
        <v>7901</v>
      </c>
      <c r="DH18" s="80">
        <v>949</v>
      </c>
      <c r="DI18" s="80">
        <v>0</v>
      </c>
      <c r="DJ18" s="80">
        <v>26</v>
      </c>
      <c r="DK18" s="80">
        <v>923</v>
      </c>
      <c r="DL18" s="80">
        <v>0</v>
      </c>
      <c r="DM18" s="80">
        <v>6952</v>
      </c>
      <c r="DN18" s="80">
        <v>3203</v>
      </c>
      <c r="DO18" s="80">
        <v>10</v>
      </c>
      <c r="DP18" s="80">
        <v>2395</v>
      </c>
      <c r="DQ18" s="80">
        <v>1344</v>
      </c>
      <c r="DR18" s="80">
        <v>0</v>
      </c>
      <c r="DS18" s="80">
        <v>0</v>
      </c>
      <c r="DT18" s="80">
        <v>0</v>
      </c>
      <c r="DU18" s="80">
        <v>0</v>
      </c>
      <c r="DV18" s="80">
        <v>0</v>
      </c>
      <c r="DW18" s="80">
        <v>3986</v>
      </c>
      <c r="DX18" s="80">
        <v>145878</v>
      </c>
      <c r="DY18" s="80">
        <v>76588</v>
      </c>
      <c r="DZ18" s="80">
        <v>30759</v>
      </c>
      <c r="EA18" s="80">
        <v>0</v>
      </c>
      <c r="EB18" s="80">
        <v>208</v>
      </c>
      <c r="EC18" s="80">
        <v>45610</v>
      </c>
      <c r="ED18" s="80">
        <v>11</v>
      </c>
      <c r="EE18" s="80">
        <v>3280</v>
      </c>
      <c r="EF18" s="80">
        <v>0</v>
      </c>
      <c r="EG18" s="80">
        <v>3280</v>
      </c>
      <c r="EH18" s="80">
        <v>0</v>
      </c>
      <c r="EI18" s="80">
        <v>0</v>
      </c>
      <c r="EJ18" s="80">
        <v>0</v>
      </c>
      <c r="EK18" s="80">
        <v>251</v>
      </c>
      <c r="EL18" s="80">
        <v>39</v>
      </c>
      <c r="EM18" s="80">
        <v>37</v>
      </c>
      <c r="EN18" s="80">
        <v>175</v>
      </c>
      <c r="EO18" s="80">
        <v>65759</v>
      </c>
      <c r="EP18" s="80">
        <v>40253</v>
      </c>
      <c r="EQ18" s="80">
        <v>0</v>
      </c>
      <c r="ER18" s="80">
        <v>36500</v>
      </c>
      <c r="ES18" s="80">
        <v>14550</v>
      </c>
      <c r="ET18" s="80">
        <v>21950</v>
      </c>
      <c r="EU18" s="80">
        <v>0</v>
      </c>
      <c r="EV18" s="80">
        <v>0</v>
      </c>
      <c r="EW18" s="80">
        <v>0</v>
      </c>
      <c r="EX18" s="80">
        <v>0</v>
      </c>
      <c r="EY18" s="80">
        <v>0</v>
      </c>
      <c r="EZ18" s="80">
        <v>0</v>
      </c>
      <c r="FA18" s="80">
        <v>3753</v>
      </c>
      <c r="FB18" s="80">
        <v>0</v>
      </c>
      <c r="FC18" s="80">
        <v>0</v>
      </c>
      <c r="FD18" s="80">
        <v>25506</v>
      </c>
      <c r="FE18" s="80">
        <v>0</v>
      </c>
      <c r="FF18" s="80">
        <v>8350</v>
      </c>
      <c r="FG18" s="80">
        <v>2500</v>
      </c>
      <c r="FH18" s="80">
        <v>5500</v>
      </c>
      <c r="FI18" s="80">
        <v>0</v>
      </c>
      <c r="FJ18" s="80">
        <v>350</v>
      </c>
      <c r="FK18" s="80">
        <v>0</v>
      </c>
      <c r="FL18" s="80">
        <v>0</v>
      </c>
      <c r="FM18" s="80">
        <v>11</v>
      </c>
      <c r="FN18" s="80">
        <v>5542</v>
      </c>
      <c r="FO18" s="80">
        <v>1715</v>
      </c>
      <c r="FP18" s="80">
        <v>9888</v>
      </c>
      <c r="FQ18" s="80">
        <v>145878</v>
      </c>
      <c r="FR18" s="80">
        <v>57</v>
      </c>
      <c r="FS18" s="80">
        <v>2253</v>
      </c>
      <c r="FT18" s="100">
        <v>68279.154795075199</v>
      </c>
      <c r="FU18" s="100"/>
      <c r="FV18" s="100">
        <v>27717</v>
      </c>
      <c r="FW18" s="67">
        <v>6616</v>
      </c>
      <c r="FX18" s="100">
        <f t="shared" si="5"/>
        <v>-28799</v>
      </c>
      <c r="FY18" s="100">
        <f t="shared" si="6"/>
        <v>-77311</v>
      </c>
      <c r="FZ18" s="100">
        <v>46755.252107302535</v>
      </c>
      <c r="GA18" s="67">
        <v>48512</v>
      </c>
      <c r="GB18" s="58">
        <f t="shared" si="3"/>
        <v>20795</v>
      </c>
      <c r="GC18" s="67">
        <v>6950</v>
      </c>
      <c r="GD18" s="100">
        <v>7196</v>
      </c>
      <c r="GE18" s="100">
        <v>3202</v>
      </c>
      <c r="GF18" s="58">
        <f t="shared" si="4"/>
        <v>3994</v>
      </c>
      <c r="GG18" s="100">
        <v>-44885.04099999999</v>
      </c>
      <c r="GH18" s="100">
        <v>-963.25345000000016</v>
      </c>
      <c r="GI18" s="100">
        <v>-563.58574804593229</v>
      </c>
      <c r="GJ18" s="67">
        <f t="shared" si="7"/>
        <v>334</v>
      </c>
      <c r="GK18" s="67"/>
      <c r="GL18" s="67"/>
      <c r="GM18" s="96"/>
    </row>
    <row r="19" spans="1:195" ht="13.5" customHeight="1" x14ac:dyDescent="0.2">
      <c r="A19" s="74">
        <v>609</v>
      </c>
      <c r="B19" s="75" t="s">
        <v>294</v>
      </c>
      <c r="C19" s="82" t="s">
        <v>294</v>
      </c>
      <c r="D19" s="76"/>
      <c r="E19" s="77" t="s">
        <v>224</v>
      </c>
      <c r="F19" s="78">
        <v>6</v>
      </c>
      <c r="G19" s="79">
        <v>85363</v>
      </c>
      <c r="H19" s="80">
        <v>184584</v>
      </c>
      <c r="I19" s="80">
        <v>107795</v>
      </c>
      <c r="J19" s="80">
        <v>38236</v>
      </c>
      <c r="K19" s="80">
        <v>17833</v>
      </c>
      <c r="L19" s="80">
        <v>20720</v>
      </c>
      <c r="M19" s="80">
        <v>0</v>
      </c>
      <c r="N19" s="80">
        <v>15595</v>
      </c>
      <c r="O19" s="80">
        <v>637309</v>
      </c>
      <c r="P19" s="80">
        <v>283312</v>
      </c>
      <c r="Q19" s="80">
        <v>214627</v>
      </c>
      <c r="R19" s="80">
        <v>68685</v>
      </c>
      <c r="S19" s="80">
        <v>55736</v>
      </c>
      <c r="T19" s="80">
        <v>12949</v>
      </c>
      <c r="U19" s="80">
        <v>234376</v>
      </c>
      <c r="V19" s="80">
        <v>54453</v>
      </c>
      <c r="W19" s="80">
        <v>34368</v>
      </c>
      <c r="X19" s="80">
        <v>30800</v>
      </c>
      <c r="Y19" s="80">
        <v>-437130</v>
      </c>
      <c r="Z19" s="80">
        <v>308395</v>
      </c>
      <c r="AA19" s="80">
        <v>268349</v>
      </c>
      <c r="AB19" s="80">
        <v>17944</v>
      </c>
      <c r="AC19" s="80">
        <v>22102</v>
      </c>
      <c r="AD19" s="80">
        <v>139056</v>
      </c>
      <c r="AE19" s="80">
        <v>10407</v>
      </c>
      <c r="AF19" s="80">
        <v>7832</v>
      </c>
      <c r="AG19" s="80">
        <v>5477</v>
      </c>
      <c r="AH19" s="80">
        <v>1618</v>
      </c>
      <c r="AI19" s="80">
        <v>2884</v>
      </c>
      <c r="AJ19" s="80">
        <v>18</v>
      </c>
      <c r="AK19" s="80">
        <v>20728</v>
      </c>
      <c r="AL19" s="80">
        <v>27977</v>
      </c>
      <c r="AM19" s="80">
        <v>27977</v>
      </c>
      <c r="AN19" s="80">
        <v>0</v>
      </c>
      <c r="AO19" s="80">
        <v>-3327</v>
      </c>
      <c r="AP19" s="80">
        <v>0</v>
      </c>
      <c r="AQ19" s="80">
        <v>3327</v>
      </c>
      <c r="AR19" s="80">
        <v>-10576</v>
      </c>
      <c r="AS19" s="80">
        <v>33</v>
      </c>
      <c r="AT19" s="80">
        <v>0</v>
      </c>
      <c r="AU19" s="80">
        <v>582</v>
      </c>
      <c r="AV19" s="80">
        <v>-9961</v>
      </c>
      <c r="AW19" s="81"/>
      <c r="AX19" s="80">
        <v>16133</v>
      </c>
      <c r="AY19" s="80">
        <v>20728</v>
      </c>
      <c r="AZ19" s="80">
        <v>-3328</v>
      </c>
      <c r="BA19" s="80">
        <v>-1267</v>
      </c>
      <c r="BB19" s="80">
        <v>-28553</v>
      </c>
      <c r="BC19" s="80">
        <v>37051</v>
      </c>
      <c r="BD19" s="80">
        <v>747</v>
      </c>
      <c r="BE19" s="80">
        <v>7751</v>
      </c>
      <c r="BF19" s="80">
        <v>-12420</v>
      </c>
      <c r="BG19" s="80">
        <v>6680</v>
      </c>
      <c r="BH19" s="80">
        <v>-20</v>
      </c>
      <c r="BI19" s="80">
        <v>23</v>
      </c>
      <c r="BJ19" s="80">
        <v>3</v>
      </c>
      <c r="BK19" s="80">
        <v>894</v>
      </c>
      <c r="BL19" s="80">
        <v>42200</v>
      </c>
      <c r="BM19" s="80">
        <v>39506</v>
      </c>
      <c r="BN19" s="80">
        <v>-1800</v>
      </c>
      <c r="BO19" s="80">
        <v>0</v>
      </c>
      <c r="BP19" s="80">
        <v>5806</v>
      </c>
      <c r="BQ19" s="80">
        <v>8520</v>
      </c>
      <c r="BR19" s="80">
        <v>257</v>
      </c>
      <c r="BS19" s="80">
        <v>4756</v>
      </c>
      <c r="BT19" s="80">
        <v>-7727</v>
      </c>
      <c r="BU19" s="80">
        <v>-5739</v>
      </c>
      <c r="BV19" s="80">
        <v>21398</v>
      </c>
      <c r="BW19" s="80">
        <v>27137</v>
      </c>
      <c r="BX19" s="81"/>
      <c r="BY19" s="80">
        <v>845528</v>
      </c>
      <c r="BZ19" s="80">
        <v>2708</v>
      </c>
      <c r="CA19" s="80">
        <v>919</v>
      </c>
      <c r="CB19" s="80">
        <v>1789</v>
      </c>
      <c r="CC19" s="80">
        <v>0</v>
      </c>
      <c r="CD19" s="80">
        <v>393982</v>
      </c>
      <c r="CE19" s="80">
        <v>84157</v>
      </c>
      <c r="CF19" s="80">
        <v>158778</v>
      </c>
      <c r="CG19" s="80">
        <v>132681</v>
      </c>
      <c r="CH19" s="80">
        <v>11065</v>
      </c>
      <c r="CI19" s="80">
        <v>362</v>
      </c>
      <c r="CJ19" s="80">
        <v>0</v>
      </c>
      <c r="CK19" s="80">
        <v>6939</v>
      </c>
      <c r="CL19" s="80">
        <v>448838</v>
      </c>
      <c r="CM19" s="80">
        <v>300133</v>
      </c>
      <c r="CN19" s="80">
        <v>35448</v>
      </c>
      <c r="CO19" s="80">
        <v>264685</v>
      </c>
      <c r="CP19" s="80">
        <v>0</v>
      </c>
      <c r="CQ19" s="80">
        <v>148651</v>
      </c>
      <c r="CR19" s="80">
        <v>6</v>
      </c>
      <c r="CS19" s="80">
        <v>0</v>
      </c>
      <c r="CT19" s="80">
        <v>148645</v>
      </c>
      <c r="CU19" s="80">
        <v>54</v>
      </c>
      <c r="CV19" s="80">
        <v>3058</v>
      </c>
      <c r="CW19" s="80">
        <v>300</v>
      </c>
      <c r="CX19" s="80">
        <v>2751</v>
      </c>
      <c r="CY19" s="80">
        <v>7</v>
      </c>
      <c r="CZ19" s="80">
        <v>50789</v>
      </c>
      <c r="DA19" s="80">
        <v>1385</v>
      </c>
      <c r="DB19" s="80">
        <v>1385</v>
      </c>
      <c r="DC19" s="80">
        <v>0</v>
      </c>
      <c r="DD19" s="80">
        <v>0</v>
      </c>
      <c r="DE19" s="80">
        <v>0</v>
      </c>
      <c r="DF19" s="80">
        <v>0</v>
      </c>
      <c r="DG19" s="80">
        <v>28006</v>
      </c>
      <c r="DH19" s="80">
        <v>0</v>
      </c>
      <c r="DI19" s="80">
        <v>0</v>
      </c>
      <c r="DJ19" s="80">
        <v>0</v>
      </c>
      <c r="DK19" s="80">
        <v>0</v>
      </c>
      <c r="DL19" s="80">
        <v>0</v>
      </c>
      <c r="DM19" s="80">
        <v>28006</v>
      </c>
      <c r="DN19" s="80">
        <v>11694</v>
      </c>
      <c r="DO19" s="80">
        <v>1378</v>
      </c>
      <c r="DP19" s="80">
        <v>73</v>
      </c>
      <c r="DQ19" s="80">
        <v>14861</v>
      </c>
      <c r="DR19" s="80">
        <v>1000</v>
      </c>
      <c r="DS19" s="80">
        <v>0</v>
      </c>
      <c r="DT19" s="80">
        <v>1000</v>
      </c>
      <c r="DU19" s="80">
        <v>0</v>
      </c>
      <c r="DV19" s="80">
        <v>0</v>
      </c>
      <c r="DW19" s="80">
        <v>20398</v>
      </c>
      <c r="DX19" s="80">
        <v>899375</v>
      </c>
      <c r="DY19" s="80">
        <v>533096</v>
      </c>
      <c r="DZ19" s="80">
        <v>432080</v>
      </c>
      <c r="EA19" s="80">
        <v>16341</v>
      </c>
      <c r="EB19" s="80">
        <v>20769</v>
      </c>
      <c r="EC19" s="80">
        <v>73867</v>
      </c>
      <c r="ED19" s="80">
        <v>-9961</v>
      </c>
      <c r="EE19" s="80">
        <v>1695</v>
      </c>
      <c r="EF19" s="80">
        <v>900</v>
      </c>
      <c r="EG19" s="80">
        <v>795</v>
      </c>
      <c r="EH19" s="80">
        <v>1110</v>
      </c>
      <c r="EI19" s="80">
        <v>343</v>
      </c>
      <c r="EJ19" s="80">
        <v>767</v>
      </c>
      <c r="EK19" s="80">
        <v>41185</v>
      </c>
      <c r="EL19" s="80">
        <v>163</v>
      </c>
      <c r="EM19" s="80">
        <v>2778</v>
      </c>
      <c r="EN19" s="80">
        <v>38244</v>
      </c>
      <c r="EO19" s="80">
        <v>322289</v>
      </c>
      <c r="EP19" s="80">
        <v>201306</v>
      </c>
      <c r="EQ19" s="80">
        <v>0</v>
      </c>
      <c r="ER19" s="80">
        <v>170386</v>
      </c>
      <c r="ES19" s="80">
        <v>41399</v>
      </c>
      <c r="ET19" s="80">
        <v>128987</v>
      </c>
      <c r="EU19" s="80">
        <v>0</v>
      </c>
      <c r="EV19" s="80">
        <v>0</v>
      </c>
      <c r="EW19" s="80">
        <v>27384</v>
      </c>
      <c r="EX19" s="80">
        <v>0</v>
      </c>
      <c r="EY19" s="80">
        <v>0</v>
      </c>
      <c r="EZ19" s="80">
        <v>0</v>
      </c>
      <c r="FA19" s="80">
        <v>3536</v>
      </c>
      <c r="FB19" s="80">
        <v>44</v>
      </c>
      <c r="FC19" s="80">
        <v>0</v>
      </c>
      <c r="FD19" s="80">
        <v>120983</v>
      </c>
      <c r="FE19" s="80">
        <v>0</v>
      </c>
      <c r="FF19" s="80">
        <v>32395</v>
      </c>
      <c r="FG19" s="80">
        <v>5744</v>
      </c>
      <c r="FH19" s="80">
        <v>26651</v>
      </c>
      <c r="FI19" s="80">
        <v>0</v>
      </c>
      <c r="FJ19" s="80">
        <v>0</v>
      </c>
      <c r="FK19" s="80">
        <v>7422</v>
      </c>
      <c r="FL19" s="80">
        <v>0</v>
      </c>
      <c r="FM19" s="80">
        <v>33</v>
      </c>
      <c r="FN19" s="80">
        <v>33579</v>
      </c>
      <c r="FO19" s="80">
        <v>3814</v>
      </c>
      <c r="FP19" s="80">
        <v>43740</v>
      </c>
      <c r="FQ19" s="80">
        <v>899375</v>
      </c>
      <c r="FR19" s="80">
        <v>96512</v>
      </c>
      <c r="FS19" s="80">
        <v>17815</v>
      </c>
      <c r="FT19" s="100">
        <v>346004.10656463442</v>
      </c>
      <c r="FU19" s="100"/>
      <c r="FV19" s="100">
        <v>196027</v>
      </c>
      <c r="FW19" s="67">
        <v>26431</v>
      </c>
      <c r="FX19" s="100">
        <f t="shared" si="5"/>
        <v>-108151</v>
      </c>
      <c r="FY19" s="100">
        <f t="shared" si="6"/>
        <v>-409153</v>
      </c>
      <c r="FZ19" s="100">
        <v>289677.44729731069</v>
      </c>
      <c r="GA19" s="67">
        <v>301002</v>
      </c>
      <c r="GB19" s="58">
        <f t="shared" si="3"/>
        <v>104975</v>
      </c>
      <c r="GC19" s="67">
        <v>27977</v>
      </c>
      <c r="GD19" s="100">
        <v>38225</v>
      </c>
      <c r="GE19" s="100">
        <v>10214</v>
      </c>
      <c r="GF19" s="58">
        <f t="shared" si="4"/>
        <v>28011</v>
      </c>
      <c r="GG19" s="100">
        <v>-165820.696</v>
      </c>
      <c r="GH19" s="100">
        <v>-4544.9773000000023</v>
      </c>
      <c r="GI19" s="100">
        <v>-120459.56374959341</v>
      </c>
      <c r="GJ19" s="67">
        <f t="shared" si="7"/>
        <v>1546</v>
      </c>
      <c r="GK19" s="67"/>
      <c r="GL19" s="67"/>
      <c r="GM19" s="96"/>
    </row>
    <row r="20" spans="1:195" ht="13.5" customHeight="1" x14ac:dyDescent="0.2">
      <c r="A20" s="74">
        <v>611</v>
      </c>
      <c r="B20" s="75" t="s">
        <v>295</v>
      </c>
      <c r="C20" s="82" t="s">
        <v>295</v>
      </c>
      <c r="D20" s="76"/>
      <c r="E20" s="77" t="s">
        <v>218</v>
      </c>
      <c r="F20" s="78">
        <v>3</v>
      </c>
      <c r="G20" s="79">
        <v>5125</v>
      </c>
      <c r="H20" s="80">
        <v>2980</v>
      </c>
      <c r="I20" s="80">
        <v>1146</v>
      </c>
      <c r="J20" s="80">
        <v>86</v>
      </c>
      <c r="K20" s="80">
        <v>277</v>
      </c>
      <c r="L20" s="80">
        <v>1471</v>
      </c>
      <c r="M20" s="80">
        <v>0</v>
      </c>
      <c r="N20" s="80">
        <v>0</v>
      </c>
      <c r="O20" s="80">
        <v>25381</v>
      </c>
      <c r="P20" s="80">
        <v>6641</v>
      </c>
      <c r="Q20" s="80">
        <v>5057</v>
      </c>
      <c r="R20" s="80">
        <v>1584</v>
      </c>
      <c r="S20" s="80">
        <v>1345</v>
      </c>
      <c r="T20" s="80">
        <v>239</v>
      </c>
      <c r="U20" s="80">
        <v>17274</v>
      </c>
      <c r="V20" s="80">
        <v>1180</v>
      </c>
      <c r="W20" s="80">
        <v>95</v>
      </c>
      <c r="X20" s="80">
        <v>191</v>
      </c>
      <c r="Y20" s="80">
        <v>-22401</v>
      </c>
      <c r="Z20" s="80">
        <v>18499</v>
      </c>
      <c r="AA20" s="80">
        <v>17007</v>
      </c>
      <c r="AB20" s="80">
        <v>387</v>
      </c>
      <c r="AC20" s="80">
        <v>1105</v>
      </c>
      <c r="AD20" s="80">
        <v>5569</v>
      </c>
      <c r="AE20" s="80">
        <v>-149</v>
      </c>
      <c r="AF20" s="80">
        <v>33</v>
      </c>
      <c r="AG20" s="80">
        <v>8</v>
      </c>
      <c r="AH20" s="80">
        <v>0</v>
      </c>
      <c r="AI20" s="80">
        <v>189</v>
      </c>
      <c r="AJ20" s="80">
        <v>1</v>
      </c>
      <c r="AK20" s="80">
        <v>1518</v>
      </c>
      <c r="AL20" s="80">
        <v>1753</v>
      </c>
      <c r="AM20" s="80">
        <v>1753</v>
      </c>
      <c r="AN20" s="80">
        <v>0</v>
      </c>
      <c r="AO20" s="80">
        <v>481</v>
      </c>
      <c r="AP20" s="80">
        <v>481</v>
      </c>
      <c r="AQ20" s="80">
        <v>0</v>
      </c>
      <c r="AR20" s="80">
        <v>246</v>
      </c>
      <c r="AS20" s="80">
        <v>0</v>
      </c>
      <c r="AT20" s="80">
        <v>0</v>
      </c>
      <c r="AU20" s="80">
        <v>0</v>
      </c>
      <c r="AV20" s="80">
        <v>246</v>
      </c>
      <c r="AW20" s="81"/>
      <c r="AX20" s="80">
        <v>1623</v>
      </c>
      <c r="AY20" s="80">
        <v>1518</v>
      </c>
      <c r="AZ20" s="80">
        <v>481</v>
      </c>
      <c r="BA20" s="80">
        <v>-376</v>
      </c>
      <c r="BB20" s="80">
        <v>-165</v>
      </c>
      <c r="BC20" s="80">
        <v>764</v>
      </c>
      <c r="BD20" s="80">
        <v>10</v>
      </c>
      <c r="BE20" s="80">
        <v>589</v>
      </c>
      <c r="BF20" s="80">
        <v>1458</v>
      </c>
      <c r="BG20" s="80">
        <v>-1645</v>
      </c>
      <c r="BH20" s="80">
        <v>-98</v>
      </c>
      <c r="BI20" s="80">
        <v>98</v>
      </c>
      <c r="BJ20" s="80">
        <v>0</v>
      </c>
      <c r="BK20" s="80">
        <v>-1500</v>
      </c>
      <c r="BL20" s="80">
        <v>2000</v>
      </c>
      <c r="BM20" s="80">
        <v>2000</v>
      </c>
      <c r="BN20" s="80">
        <v>-1500</v>
      </c>
      <c r="BO20" s="80">
        <v>0</v>
      </c>
      <c r="BP20" s="80">
        <v>-47</v>
      </c>
      <c r="BQ20" s="80">
        <v>5</v>
      </c>
      <c r="BR20" s="80">
        <v>0</v>
      </c>
      <c r="BS20" s="80">
        <v>-39</v>
      </c>
      <c r="BT20" s="80">
        <v>-13</v>
      </c>
      <c r="BU20" s="80">
        <v>-187</v>
      </c>
      <c r="BV20" s="80">
        <v>1283</v>
      </c>
      <c r="BW20" s="80">
        <v>1470</v>
      </c>
      <c r="BX20" s="81"/>
      <c r="BY20" s="80">
        <v>27970</v>
      </c>
      <c r="BZ20" s="80">
        <v>2297</v>
      </c>
      <c r="CA20" s="80">
        <v>0</v>
      </c>
      <c r="CB20" s="80">
        <v>2297</v>
      </c>
      <c r="CC20" s="80">
        <v>0</v>
      </c>
      <c r="CD20" s="80">
        <v>23118</v>
      </c>
      <c r="CE20" s="80">
        <v>2992</v>
      </c>
      <c r="CF20" s="80">
        <v>14012</v>
      </c>
      <c r="CG20" s="80">
        <v>5739</v>
      </c>
      <c r="CH20" s="80">
        <v>264</v>
      </c>
      <c r="CI20" s="80">
        <v>0</v>
      </c>
      <c r="CJ20" s="80">
        <v>0</v>
      </c>
      <c r="CK20" s="80">
        <v>111</v>
      </c>
      <c r="CL20" s="80">
        <v>2555</v>
      </c>
      <c r="CM20" s="80">
        <v>2379</v>
      </c>
      <c r="CN20" s="80">
        <v>1829</v>
      </c>
      <c r="CO20" s="80">
        <v>550</v>
      </c>
      <c r="CP20" s="80">
        <v>0</v>
      </c>
      <c r="CQ20" s="80">
        <v>0</v>
      </c>
      <c r="CR20" s="80">
        <v>0</v>
      </c>
      <c r="CS20" s="80">
        <v>0</v>
      </c>
      <c r="CT20" s="80">
        <v>0</v>
      </c>
      <c r="CU20" s="80">
        <v>176</v>
      </c>
      <c r="CV20" s="80">
        <v>79</v>
      </c>
      <c r="CW20" s="80">
        <v>0</v>
      </c>
      <c r="CX20" s="80">
        <v>0</v>
      </c>
      <c r="CY20" s="80">
        <v>79</v>
      </c>
      <c r="CZ20" s="80">
        <v>2804</v>
      </c>
      <c r="DA20" s="80">
        <v>0</v>
      </c>
      <c r="DB20" s="80">
        <v>0</v>
      </c>
      <c r="DC20" s="80">
        <v>0</v>
      </c>
      <c r="DD20" s="80">
        <v>0</v>
      </c>
      <c r="DE20" s="80">
        <v>0</v>
      </c>
      <c r="DF20" s="80">
        <v>0</v>
      </c>
      <c r="DG20" s="80">
        <v>1521</v>
      </c>
      <c r="DH20" s="80">
        <v>0</v>
      </c>
      <c r="DI20" s="80">
        <v>0</v>
      </c>
      <c r="DJ20" s="80">
        <v>0</v>
      </c>
      <c r="DK20" s="80">
        <v>0</v>
      </c>
      <c r="DL20" s="80">
        <v>0</v>
      </c>
      <c r="DM20" s="80">
        <v>1521</v>
      </c>
      <c r="DN20" s="80">
        <v>293</v>
      </c>
      <c r="DO20" s="80">
        <v>0</v>
      </c>
      <c r="DP20" s="80">
        <v>1159</v>
      </c>
      <c r="DQ20" s="80">
        <v>69</v>
      </c>
      <c r="DR20" s="80">
        <v>0</v>
      </c>
      <c r="DS20" s="80">
        <v>0</v>
      </c>
      <c r="DT20" s="80">
        <v>0</v>
      </c>
      <c r="DU20" s="80">
        <v>0</v>
      </c>
      <c r="DV20" s="80">
        <v>0</v>
      </c>
      <c r="DW20" s="80">
        <v>1283</v>
      </c>
      <c r="DX20" s="80">
        <v>30853</v>
      </c>
      <c r="DY20" s="80">
        <v>13628</v>
      </c>
      <c r="DZ20" s="80">
        <v>8048</v>
      </c>
      <c r="EA20" s="80">
        <v>0</v>
      </c>
      <c r="EB20" s="80">
        <v>0</v>
      </c>
      <c r="EC20" s="80">
        <v>5334</v>
      </c>
      <c r="ED20" s="80">
        <v>246</v>
      </c>
      <c r="EE20" s="80">
        <v>0</v>
      </c>
      <c r="EF20" s="80">
        <v>0</v>
      </c>
      <c r="EG20" s="80">
        <v>0</v>
      </c>
      <c r="EH20" s="80">
        <v>0</v>
      </c>
      <c r="EI20" s="80">
        <v>0</v>
      </c>
      <c r="EJ20" s="80">
        <v>0</v>
      </c>
      <c r="EK20" s="80">
        <v>84</v>
      </c>
      <c r="EL20" s="80">
        <v>5</v>
      </c>
      <c r="EM20" s="80">
        <v>74</v>
      </c>
      <c r="EN20" s="80">
        <v>5</v>
      </c>
      <c r="EO20" s="80">
        <v>17141</v>
      </c>
      <c r="EP20" s="80">
        <v>14270</v>
      </c>
      <c r="EQ20" s="80">
        <v>0</v>
      </c>
      <c r="ER20" s="80">
        <v>13486</v>
      </c>
      <c r="ES20" s="80">
        <v>0</v>
      </c>
      <c r="ET20" s="80">
        <v>13486</v>
      </c>
      <c r="EU20" s="80">
        <v>0</v>
      </c>
      <c r="EV20" s="80">
        <v>0</v>
      </c>
      <c r="EW20" s="80">
        <v>0</v>
      </c>
      <c r="EX20" s="80">
        <v>0</v>
      </c>
      <c r="EY20" s="80">
        <v>53</v>
      </c>
      <c r="EZ20" s="80">
        <v>0</v>
      </c>
      <c r="FA20" s="80">
        <v>731</v>
      </c>
      <c r="FB20" s="80">
        <v>0</v>
      </c>
      <c r="FC20" s="80">
        <v>0</v>
      </c>
      <c r="FD20" s="80">
        <v>2871</v>
      </c>
      <c r="FE20" s="80">
        <v>0</v>
      </c>
      <c r="FF20" s="80">
        <v>1273</v>
      </c>
      <c r="FG20" s="80">
        <v>0</v>
      </c>
      <c r="FH20" s="80">
        <v>1273</v>
      </c>
      <c r="FI20" s="80">
        <v>0</v>
      </c>
      <c r="FJ20" s="80">
        <v>0</v>
      </c>
      <c r="FK20" s="80">
        <v>0</v>
      </c>
      <c r="FL20" s="80">
        <v>0</v>
      </c>
      <c r="FM20" s="80">
        <v>0</v>
      </c>
      <c r="FN20" s="80">
        <v>733</v>
      </c>
      <c r="FO20" s="80">
        <v>130</v>
      </c>
      <c r="FP20" s="80">
        <v>735</v>
      </c>
      <c r="FQ20" s="80">
        <v>30853</v>
      </c>
      <c r="FR20" s="80">
        <v>0</v>
      </c>
      <c r="FS20" s="80">
        <v>3324</v>
      </c>
      <c r="FT20" s="100">
        <v>16531.76479223054</v>
      </c>
      <c r="FU20" s="100"/>
      <c r="FV20" s="100">
        <v>5877</v>
      </c>
      <c r="FW20" s="67">
        <v>1751</v>
      </c>
      <c r="FX20" s="100">
        <f t="shared" si="5"/>
        <v>-14625</v>
      </c>
      <c r="FY20" s="100">
        <f t="shared" si="6"/>
        <v>-20648</v>
      </c>
      <c r="FZ20" s="100">
        <v>11673.554445807853</v>
      </c>
      <c r="GA20" s="67">
        <v>6023</v>
      </c>
      <c r="GB20" s="58">
        <f t="shared" si="3"/>
        <v>146</v>
      </c>
      <c r="GC20" s="67">
        <v>1753</v>
      </c>
      <c r="GD20" s="100">
        <v>56</v>
      </c>
      <c r="GE20" s="100">
        <v>56</v>
      </c>
      <c r="GF20" s="58">
        <f t="shared" si="4"/>
        <v>0</v>
      </c>
      <c r="GG20" s="100">
        <v>-10365.125</v>
      </c>
      <c r="GH20" s="100">
        <v>-112.56350000000005</v>
      </c>
      <c r="GI20" s="100">
        <v>-1212.3467375771838</v>
      </c>
      <c r="GJ20" s="67">
        <f t="shared" si="7"/>
        <v>2</v>
      </c>
      <c r="GK20" s="67"/>
      <c r="GL20" s="67"/>
      <c r="GM20" s="96"/>
    </row>
    <row r="21" spans="1:195" ht="13.5" customHeight="1" x14ac:dyDescent="0.2">
      <c r="A21" s="74">
        <v>638</v>
      </c>
      <c r="B21" s="75" t="s">
        <v>296</v>
      </c>
      <c r="C21" s="82" t="s">
        <v>296</v>
      </c>
      <c r="D21" s="76"/>
      <c r="E21" s="77" t="s">
        <v>218</v>
      </c>
      <c r="F21" s="78">
        <v>5</v>
      </c>
      <c r="G21" s="79">
        <v>49928</v>
      </c>
      <c r="H21" s="80">
        <v>67569</v>
      </c>
      <c r="I21" s="80">
        <v>26532</v>
      </c>
      <c r="J21" s="80">
        <v>15690</v>
      </c>
      <c r="K21" s="80">
        <v>8639</v>
      </c>
      <c r="L21" s="80">
        <v>16708</v>
      </c>
      <c r="M21" s="80">
        <v>0</v>
      </c>
      <c r="N21" s="80">
        <v>1340</v>
      </c>
      <c r="O21" s="80">
        <v>315279</v>
      </c>
      <c r="P21" s="80">
        <v>147953</v>
      </c>
      <c r="Q21" s="80">
        <v>113503</v>
      </c>
      <c r="R21" s="80">
        <v>34450</v>
      </c>
      <c r="S21" s="80">
        <v>27919</v>
      </c>
      <c r="T21" s="80">
        <v>6531</v>
      </c>
      <c r="U21" s="80">
        <v>113694</v>
      </c>
      <c r="V21" s="80">
        <v>18708</v>
      </c>
      <c r="W21" s="80">
        <v>21775</v>
      </c>
      <c r="X21" s="80">
        <v>13149</v>
      </c>
      <c r="Y21" s="80">
        <v>-246370</v>
      </c>
      <c r="Z21" s="80">
        <v>221842</v>
      </c>
      <c r="AA21" s="80">
        <v>187564</v>
      </c>
      <c r="AB21" s="80">
        <v>17859</v>
      </c>
      <c r="AC21" s="80">
        <v>16419</v>
      </c>
      <c r="AD21" s="80">
        <v>46652</v>
      </c>
      <c r="AE21" s="80">
        <v>1206</v>
      </c>
      <c r="AF21" s="80">
        <v>54</v>
      </c>
      <c r="AG21" s="80">
        <v>2373</v>
      </c>
      <c r="AH21" s="80">
        <v>1701</v>
      </c>
      <c r="AI21" s="80">
        <v>1211</v>
      </c>
      <c r="AJ21" s="80">
        <v>10</v>
      </c>
      <c r="AK21" s="80">
        <v>23330</v>
      </c>
      <c r="AL21" s="80">
        <v>24294</v>
      </c>
      <c r="AM21" s="80">
        <v>24294</v>
      </c>
      <c r="AN21" s="80">
        <v>0</v>
      </c>
      <c r="AO21" s="80">
        <v>0</v>
      </c>
      <c r="AP21" s="80">
        <v>0</v>
      </c>
      <c r="AQ21" s="80">
        <v>0</v>
      </c>
      <c r="AR21" s="80">
        <v>-964</v>
      </c>
      <c r="AS21" s="80">
        <v>115</v>
      </c>
      <c r="AT21" s="80">
        <v>200</v>
      </c>
      <c r="AU21" s="80">
        <v>467</v>
      </c>
      <c r="AV21" s="80">
        <v>-182</v>
      </c>
      <c r="AW21" s="81"/>
      <c r="AX21" s="80">
        <v>18796</v>
      </c>
      <c r="AY21" s="80">
        <v>23330</v>
      </c>
      <c r="AZ21" s="80">
        <v>0</v>
      </c>
      <c r="BA21" s="80">
        <v>-4534</v>
      </c>
      <c r="BB21" s="80">
        <v>-15170</v>
      </c>
      <c r="BC21" s="80">
        <v>20755</v>
      </c>
      <c r="BD21" s="80">
        <v>532</v>
      </c>
      <c r="BE21" s="80">
        <v>5053</v>
      </c>
      <c r="BF21" s="80">
        <v>3626</v>
      </c>
      <c r="BG21" s="80">
        <v>-285</v>
      </c>
      <c r="BH21" s="80">
        <v>-209</v>
      </c>
      <c r="BI21" s="80">
        <v>209</v>
      </c>
      <c r="BJ21" s="80">
        <v>0</v>
      </c>
      <c r="BK21" s="80">
        <v>-726</v>
      </c>
      <c r="BL21" s="80">
        <v>22000</v>
      </c>
      <c r="BM21" s="80">
        <v>22726</v>
      </c>
      <c r="BN21" s="80">
        <v>0</v>
      </c>
      <c r="BO21" s="80">
        <v>0</v>
      </c>
      <c r="BP21" s="80">
        <v>650</v>
      </c>
      <c r="BQ21" s="80">
        <v>-68</v>
      </c>
      <c r="BR21" s="80">
        <v>-111</v>
      </c>
      <c r="BS21" s="80">
        <v>531</v>
      </c>
      <c r="BT21" s="80">
        <v>298</v>
      </c>
      <c r="BU21" s="80">
        <v>3341</v>
      </c>
      <c r="BV21" s="80">
        <v>25537</v>
      </c>
      <c r="BW21" s="80">
        <v>22196</v>
      </c>
      <c r="BX21" s="81"/>
      <c r="BY21" s="80">
        <v>258198</v>
      </c>
      <c r="BZ21" s="80">
        <v>2530</v>
      </c>
      <c r="CA21" s="80">
        <v>325</v>
      </c>
      <c r="CB21" s="80">
        <v>2205</v>
      </c>
      <c r="CC21" s="80">
        <v>0</v>
      </c>
      <c r="CD21" s="80">
        <v>205626</v>
      </c>
      <c r="CE21" s="80">
        <v>23856</v>
      </c>
      <c r="CF21" s="80">
        <v>110637</v>
      </c>
      <c r="CG21" s="80">
        <v>61810</v>
      </c>
      <c r="CH21" s="80">
        <v>5808</v>
      </c>
      <c r="CI21" s="80">
        <v>40</v>
      </c>
      <c r="CJ21" s="80">
        <v>0</v>
      </c>
      <c r="CK21" s="80">
        <v>3475</v>
      </c>
      <c r="CL21" s="80">
        <v>50042</v>
      </c>
      <c r="CM21" s="80">
        <v>47721</v>
      </c>
      <c r="CN21" s="80">
        <v>29129</v>
      </c>
      <c r="CO21" s="80">
        <v>18592</v>
      </c>
      <c r="CP21" s="80">
        <v>0</v>
      </c>
      <c r="CQ21" s="80">
        <v>2051</v>
      </c>
      <c r="CR21" s="80">
        <v>0</v>
      </c>
      <c r="CS21" s="80">
        <v>0</v>
      </c>
      <c r="CT21" s="80">
        <v>2051</v>
      </c>
      <c r="CU21" s="80">
        <v>270</v>
      </c>
      <c r="CV21" s="80">
        <v>9422</v>
      </c>
      <c r="CW21" s="80">
        <v>0</v>
      </c>
      <c r="CX21" s="80">
        <v>9357</v>
      </c>
      <c r="CY21" s="80">
        <v>65</v>
      </c>
      <c r="CZ21" s="80">
        <v>39366</v>
      </c>
      <c r="DA21" s="80">
        <v>402</v>
      </c>
      <c r="DB21" s="80">
        <v>402</v>
      </c>
      <c r="DC21" s="80">
        <v>0</v>
      </c>
      <c r="DD21" s="80">
        <v>0</v>
      </c>
      <c r="DE21" s="80">
        <v>0</v>
      </c>
      <c r="DF21" s="80">
        <v>0</v>
      </c>
      <c r="DG21" s="80">
        <v>13426</v>
      </c>
      <c r="DH21" s="80">
        <v>1082</v>
      </c>
      <c r="DI21" s="80">
        <v>0</v>
      </c>
      <c r="DJ21" s="80">
        <v>0</v>
      </c>
      <c r="DK21" s="80">
        <v>1082</v>
      </c>
      <c r="DL21" s="80">
        <v>0</v>
      </c>
      <c r="DM21" s="80">
        <v>12344</v>
      </c>
      <c r="DN21" s="80">
        <v>4873</v>
      </c>
      <c r="DO21" s="80">
        <v>0</v>
      </c>
      <c r="DP21" s="80">
        <v>3620</v>
      </c>
      <c r="DQ21" s="80">
        <v>3851</v>
      </c>
      <c r="DR21" s="80">
        <v>4000</v>
      </c>
      <c r="DS21" s="80">
        <v>0</v>
      </c>
      <c r="DT21" s="80">
        <v>0</v>
      </c>
      <c r="DU21" s="80">
        <v>0</v>
      </c>
      <c r="DV21" s="80">
        <v>4000</v>
      </c>
      <c r="DW21" s="80">
        <v>21538</v>
      </c>
      <c r="DX21" s="80">
        <v>306986</v>
      </c>
      <c r="DY21" s="80">
        <v>131650</v>
      </c>
      <c r="DZ21" s="80">
        <v>83656</v>
      </c>
      <c r="EA21" s="80">
        <v>0</v>
      </c>
      <c r="EB21" s="80">
        <v>4219</v>
      </c>
      <c r="EC21" s="80">
        <v>43957</v>
      </c>
      <c r="ED21" s="80">
        <v>-182</v>
      </c>
      <c r="EE21" s="80">
        <v>4121</v>
      </c>
      <c r="EF21" s="80">
        <v>2320</v>
      </c>
      <c r="EG21" s="80">
        <v>1801</v>
      </c>
      <c r="EH21" s="80">
        <v>486</v>
      </c>
      <c r="EI21" s="80">
        <v>0</v>
      </c>
      <c r="EJ21" s="80">
        <v>486</v>
      </c>
      <c r="EK21" s="80">
        <v>9820</v>
      </c>
      <c r="EL21" s="80">
        <v>0</v>
      </c>
      <c r="EM21" s="80">
        <v>9382</v>
      </c>
      <c r="EN21" s="80">
        <v>438</v>
      </c>
      <c r="EO21" s="80">
        <v>160909</v>
      </c>
      <c r="EP21" s="80">
        <v>102591</v>
      </c>
      <c r="EQ21" s="80">
        <v>0</v>
      </c>
      <c r="ER21" s="80">
        <v>85100</v>
      </c>
      <c r="ES21" s="80">
        <v>0</v>
      </c>
      <c r="ET21" s="80">
        <v>83300</v>
      </c>
      <c r="EU21" s="80">
        <v>0</v>
      </c>
      <c r="EV21" s="80">
        <v>1800</v>
      </c>
      <c r="EW21" s="80">
        <v>7808</v>
      </c>
      <c r="EX21" s="80">
        <v>0</v>
      </c>
      <c r="EY21" s="80">
        <v>0</v>
      </c>
      <c r="EZ21" s="80">
        <v>2</v>
      </c>
      <c r="FA21" s="80">
        <v>9681</v>
      </c>
      <c r="FB21" s="80">
        <v>0</v>
      </c>
      <c r="FC21" s="80">
        <v>0</v>
      </c>
      <c r="FD21" s="80">
        <v>58318</v>
      </c>
      <c r="FE21" s="80">
        <v>0</v>
      </c>
      <c r="FF21" s="80">
        <v>18974</v>
      </c>
      <c r="FG21" s="80">
        <v>0</v>
      </c>
      <c r="FH21" s="80">
        <v>15874</v>
      </c>
      <c r="FI21" s="80">
        <v>0</v>
      </c>
      <c r="FJ21" s="80">
        <v>3100</v>
      </c>
      <c r="FK21" s="80">
        <v>3177</v>
      </c>
      <c r="FL21" s="80">
        <v>0</v>
      </c>
      <c r="FM21" s="80">
        <v>865</v>
      </c>
      <c r="FN21" s="80">
        <v>12811</v>
      </c>
      <c r="FO21" s="80">
        <v>2600</v>
      </c>
      <c r="FP21" s="80">
        <v>19891</v>
      </c>
      <c r="FQ21" s="80">
        <v>306986</v>
      </c>
      <c r="FR21" s="80">
        <v>64168</v>
      </c>
      <c r="FS21" s="80">
        <v>11014</v>
      </c>
      <c r="FT21" s="100">
        <v>191465.22087097526</v>
      </c>
      <c r="FU21" s="100"/>
      <c r="FV21" s="100">
        <v>85961</v>
      </c>
      <c r="FW21" s="67">
        <v>22913</v>
      </c>
      <c r="FX21" s="100">
        <f t="shared" si="5"/>
        <v>-106160</v>
      </c>
      <c r="FY21" s="100">
        <f t="shared" si="6"/>
        <v>-222076</v>
      </c>
      <c r="FZ21" s="100">
        <v>146511.54699100537</v>
      </c>
      <c r="GA21" s="67">
        <v>115916</v>
      </c>
      <c r="GB21" s="58">
        <f t="shared" si="3"/>
        <v>29955</v>
      </c>
      <c r="GC21" s="67">
        <v>24294</v>
      </c>
      <c r="GD21" s="100">
        <v>16023</v>
      </c>
      <c r="GE21" s="100">
        <v>8379</v>
      </c>
      <c r="GF21" s="58">
        <f t="shared" si="4"/>
        <v>7644</v>
      </c>
      <c r="GG21" s="100">
        <v>-115497.79400000001</v>
      </c>
      <c r="GH21" s="100">
        <v>-4799.4931000000015</v>
      </c>
      <c r="GI21" s="100">
        <v>-26686.154908030603</v>
      </c>
      <c r="GJ21" s="67">
        <f t="shared" si="7"/>
        <v>1381</v>
      </c>
      <c r="GK21" s="67"/>
      <c r="GL21" s="67"/>
      <c r="GM21" s="96"/>
    </row>
    <row r="22" spans="1:195" ht="12" customHeight="1" x14ac:dyDescent="0.2">
      <c r="A22" s="74">
        <v>678</v>
      </c>
      <c r="B22" s="75" t="s">
        <v>298</v>
      </c>
      <c r="C22" s="82" t="s">
        <v>298</v>
      </c>
      <c r="D22" s="76"/>
      <c r="E22" s="77" t="s">
        <v>216</v>
      </c>
      <c r="F22" s="78">
        <v>5</v>
      </c>
      <c r="G22" s="79">
        <v>25165</v>
      </c>
      <c r="H22" s="80">
        <v>21457</v>
      </c>
      <c r="I22" s="80">
        <v>8550</v>
      </c>
      <c r="J22" s="80">
        <v>2235</v>
      </c>
      <c r="K22" s="80">
        <v>4544</v>
      </c>
      <c r="L22" s="80">
        <v>6128</v>
      </c>
      <c r="M22" s="80">
        <v>0</v>
      </c>
      <c r="N22" s="80">
        <v>394</v>
      </c>
      <c r="O22" s="80">
        <v>154887</v>
      </c>
      <c r="P22" s="80">
        <v>47558</v>
      </c>
      <c r="Q22" s="80">
        <v>34807</v>
      </c>
      <c r="R22" s="80">
        <v>12751</v>
      </c>
      <c r="S22" s="80">
        <v>10304</v>
      </c>
      <c r="T22" s="80">
        <v>2447</v>
      </c>
      <c r="U22" s="80">
        <v>92301</v>
      </c>
      <c r="V22" s="80">
        <v>6830</v>
      </c>
      <c r="W22" s="80">
        <v>6101</v>
      </c>
      <c r="X22" s="80">
        <v>2097</v>
      </c>
      <c r="Y22" s="80">
        <v>-133036</v>
      </c>
      <c r="Z22" s="80">
        <v>93385</v>
      </c>
      <c r="AA22" s="80">
        <v>84087</v>
      </c>
      <c r="AB22" s="80">
        <v>3507</v>
      </c>
      <c r="AC22" s="80">
        <v>5791</v>
      </c>
      <c r="AD22" s="80">
        <v>48538</v>
      </c>
      <c r="AE22" s="80">
        <v>1088</v>
      </c>
      <c r="AF22" s="80">
        <v>588</v>
      </c>
      <c r="AG22" s="80">
        <v>2682</v>
      </c>
      <c r="AH22" s="80">
        <v>340</v>
      </c>
      <c r="AI22" s="80">
        <v>604</v>
      </c>
      <c r="AJ22" s="80">
        <v>1578</v>
      </c>
      <c r="AK22" s="80">
        <v>9975</v>
      </c>
      <c r="AL22" s="80">
        <v>6720</v>
      </c>
      <c r="AM22" s="80">
        <v>6570</v>
      </c>
      <c r="AN22" s="80">
        <v>150</v>
      </c>
      <c r="AO22" s="80">
        <v>0</v>
      </c>
      <c r="AP22" s="80">
        <v>0</v>
      </c>
      <c r="AQ22" s="80">
        <v>0</v>
      </c>
      <c r="AR22" s="80">
        <v>3255</v>
      </c>
      <c r="AS22" s="80">
        <v>82</v>
      </c>
      <c r="AT22" s="80">
        <v>0</v>
      </c>
      <c r="AU22" s="80">
        <v>0</v>
      </c>
      <c r="AV22" s="80">
        <v>3337</v>
      </c>
      <c r="AW22" s="81"/>
      <c r="AX22" s="80">
        <v>9111</v>
      </c>
      <c r="AY22" s="80">
        <v>9975</v>
      </c>
      <c r="AZ22" s="80">
        <v>0</v>
      </c>
      <c r="BA22" s="80">
        <v>-864</v>
      </c>
      <c r="BB22" s="80">
        <v>-5335</v>
      </c>
      <c r="BC22" s="80">
        <v>7054</v>
      </c>
      <c r="BD22" s="80">
        <v>191</v>
      </c>
      <c r="BE22" s="80">
        <v>1528</v>
      </c>
      <c r="BF22" s="80">
        <v>3776</v>
      </c>
      <c r="BG22" s="80">
        <v>68</v>
      </c>
      <c r="BH22" s="80">
        <v>342</v>
      </c>
      <c r="BI22" s="80">
        <v>0</v>
      </c>
      <c r="BJ22" s="80">
        <v>342</v>
      </c>
      <c r="BK22" s="80">
        <v>-808</v>
      </c>
      <c r="BL22" s="80">
        <v>0</v>
      </c>
      <c r="BM22" s="80">
        <v>13508</v>
      </c>
      <c r="BN22" s="80">
        <v>12700</v>
      </c>
      <c r="BO22" s="80">
        <v>0</v>
      </c>
      <c r="BP22" s="80">
        <v>534</v>
      </c>
      <c r="BQ22" s="80">
        <v>-157</v>
      </c>
      <c r="BR22" s="80">
        <v>-1</v>
      </c>
      <c r="BS22" s="80">
        <v>100</v>
      </c>
      <c r="BT22" s="80">
        <v>592</v>
      </c>
      <c r="BU22" s="80">
        <v>3843</v>
      </c>
      <c r="BV22" s="80">
        <v>40232</v>
      </c>
      <c r="BW22" s="80">
        <v>36389</v>
      </c>
      <c r="BX22" s="81"/>
      <c r="BY22" s="80">
        <v>174889</v>
      </c>
      <c r="BZ22" s="80">
        <v>823</v>
      </c>
      <c r="CA22" s="80">
        <v>555</v>
      </c>
      <c r="CB22" s="80">
        <v>268</v>
      </c>
      <c r="CC22" s="80">
        <v>0</v>
      </c>
      <c r="CD22" s="80">
        <v>112229</v>
      </c>
      <c r="CE22" s="80">
        <v>19536</v>
      </c>
      <c r="CF22" s="80">
        <v>52136</v>
      </c>
      <c r="CG22" s="80">
        <v>34924</v>
      </c>
      <c r="CH22" s="80">
        <v>1633</v>
      </c>
      <c r="CI22" s="80">
        <v>257</v>
      </c>
      <c r="CJ22" s="80">
        <v>257</v>
      </c>
      <c r="CK22" s="80">
        <v>3743</v>
      </c>
      <c r="CL22" s="80">
        <v>61837</v>
      </c>
      <c r="CM22" s="80">
        <v>44082</v>
      </c>
      <c r="CN22" s="80">
        <v>15002</v>
      </c>
      <c r="CO22" s="80">
        <v>29080</v>
      </c>
      <c r="CP22" s="80">
        <v>0</v>
      </c>
      <c r="CQ22" s="80">
        <v>17240</v>
      </c>
      <c r="CR22" s="80">
        <v>0</v>
      </c>
      <c r="CS22" s="80">
        <v>0</v>
      </c>
      <c r="CT22" s="80">
        <v>17240</v>
      </c>
      <c r="CU22" s="80">
        <v>515</v>
      </c>
      <c r="CV22" s="80">
        <v>500</v>
      </c>
      <c r="CW22" s="80">
        <v>52</v>
      </c>
      <c r="CX22" s="80">
        <v>297</v>
      </c>
      <c r="CY22" s="80">
        <v>151</v>
      </c>
      <c r="CZ22" s="80">
        <v>46813</v>
      </c>
      <c r="DA22" s="80">
        <v>225</v>
      </c>
      <c r="DB22" s="80">
        <v>193</v>
      </c>
      <c r="DC22" s="80">
        <v>0</v>
      </c>
      <c r="DD22" s="80">
        <v>0</v>
      </c>
      <c r="DE22" s="80">
        <v>32</v>
      </c>
      <c r="DF22" s="80">
        <v>0</v>
      </c>
      <c r="DG22" s="80">
        <v>6356</v>
      </c>
      <c r="DH22" s="80">
        <v>1160</v>
      </c>
      <c r="DI22" s="80">
        <v>0</v>
      </c>
      <c r="DJ22" s="80">
        <v>0</v>
      </c>
      <c r="DK22" s="80">
        <v>1160</v>
      </c>
      <c r="DL22" s="80">
        <v>0</v>
      </c>
      <c r="DM22" s="80">
        <v>5196</v>
      </c>
      <c r="DN22" s="80">
        <v>2001</v>
      </c>
      <c r="DO22" s="80">
        <v>0</v>
      </c>
      <c r="DP22" s="80">
        <v>1388</v>
      </c>
      <c r="DQ22" s="80">
        <v>1807</v>
      </c>
      <c r="DR22" s="80">
        <v>37355</v>
      </c>
      <c r="DS22" s="80">
        <v>1796</v>
      </c>
      <c r="DT22" s="80">
        <v>4010</v>
      </c>
      <c r="DU22" s="80">
        <v>19869</v>
      </c>
      <c r="DV22" s="80">
        <v>11680</v>
      </c>
      <c r="DW22" s="80">
        <v>2877</v>
      </c>
      <c r="DX22" s="80">
        <v>222202</v>
      </c>
      <c r="DY22" s="80">
        <v>63945</v>
      </c>
      <c r="DZ22" s="80">
        <v>62758</v>
      </c>
      <c r="EA22" s="80">
        <v>0</v>
      </c>
      <c r="EB22" s="80">
        <v>0</v>
      </c>
      <c r="EC22" s="80">
        <v>-2151</v>
      </c>
      <c r="ED22" s="80">
        <v>3338</v>
      </c>
      <c r="EE22" s="80">
        <v>2395</v>
      </c>
      <c r="EF22" s="80">
        <v>2395</v>
      </c>
      <c r="EG22" s="80">
        <v>0</v>
      </c>
      <c r="EH22" s="80">
        <v>208</v>
      </c>
      <c r="EI22" s="80">
        <v>208</v>
      </c>
      <c r="EJ22" s="80">
        <v>0</v>
      </c>
      <c r="EK22" s="80">
        <v>517</v>
      </c>
      <c r="EL22" s="80">
        <v>42</v>
      </c>
      <c r="EM22" s="80">
        <v>298</v>
      </c>
      <c r="EN22" s="80">
        <v>177</v>
      </c>
      <c r="EO22" s="80">
        <v>155137</v>
      </c>
      <c r="EP22" s="80">
        <v>59145</v>
      </c>
      <c r="EQ22" s="80">
        <v>0</v>
      </c>
      <c r="ER22" s="80">
        <v>58469</v>
      </c>
      <c r="ES22" s="80">
        <v>14370</v>
      </c>
      <c r="ET22" s="80">
        <v>26452</v>
      </c>
      <c r="EU22" s="80">
        <v>17647</v>
      </c>
      <c r="EV22" s="80">
        <v>0</v>
      </c>
      <c r="EW22" s="80">
        <v>0</v>
      </c>
      <c r="EX22" s="80">
        <v>0</v>
      </c>
      <c r="EY22" s="80">
        <v>675</v>
      </c>
      <c r="EZ22" s="80">
        <v>0</v>
      </c>
      <c r="FA22" s="80">
        <v>1</v>
      </c>
      <c r="FB22" s="80">
        <v>0</v>
      </c>
      <c r="FC22" s="80">
        <v>0</v>
      </c>
      <c r="FD22" s="80">
        <v>95992</v>
      </c>
      <c r="FE22" s="80">
        <v>0</v>
      </c>
      <c r="FF22" s="80">
        <v>82422</v>
      </c>
      <c r="FG22" s="80">
        <v>43319</v>
      </c>
      <c r="FH22" s="80">
        <v>36750</v>
      </c>
      <c r="FI22" s="80">
        <v>2353</v>
      </c>
      <c r="FJ22" s="80">
        <v>0</v>
      </c>
      <c r="FK22" s="80">
        <v>0</v>
      </c>
      <c r="FL22" s="80">
        <v>0</v>
      </c>
      <c r="FM22" s="80">
        <v>0</v>
      </c>
      <c r="FN22" s="80">
        <v>6508</v>
      </c>
      <c r="FO22" s="80">
        <v>1410</v>
      </c>
      <c r="FP22" s="80">
        <v>5652</v>
      </c>
      <c r="FQ22" s="80">
        <v>222202</v>
      </c>
      <c r="FR22" s="80">
        <v>72233</v>
      </c>
      <c r="FS22" s="80">
        <v>6585</v>
      </c>
      <c r="FT22" s="100">
        <v>84384.291576664546</v>
      </c>
      <c r="FU22" s="100"/>
      <c r="FV22" s="100">
        <v>33370</v>
      </c>
      <c r="FW22" s="67">
        <v>6719</v>
      </c>
      <c r="FX22" s="100">
        <f t="shared" si="5"/>
        <v>-92645</v>
      </c>
      <c r="FY22" s="100">
        <f t="shared" si="6"/>
        <v>-126316</v>
      </c>
      <c r="FZ22" s="100">
        <v>82891.404012618092</v>
      </c>
      <c r="GA22" s="67">
        <v>33671</v>
      </c>
      <c r="GB22" s="58">
        <f t="shared" si="3"/>
        <v>301</v>
      </c>
      <c r="GC22" s="67">
        <v>6719</v>
      </c>
      <c r="GD22" s="100">
        <v>2260</v>
      </c>
      <c r="GE22" s="100">
        <v>2252</v>
      </c>
      <c r="GF22" s="58">
        <f t="shared" si="4"/>
        <v>8</v>
      </c>
      <c r="GG22" s="100">
        <v>-48417.222999999998</v>
      </c>
      <c r="GH22" s="100">
        <v>-922.12010000000021</v>
      </c>
      <c r="GI22" s="100">
        <v>-34083.020118065164</v>
      </c>
      <c r="GJ22" s="67">
        <f t="shared" si="7"/>
        <v>0</v>
      </c>
      <c r="GK22" s="67"/>
      <c r="GL22" s="67"/>
      <c r="GM22" s="96"/>
    </row>
    <row r="23" spans="1:195" ht="13.5" customHeight="1" x14ac:dyDescent="0.2">
      <c r="A23" s="74">
        <v>218</v>
      </c>
      <c r="B23" s="75" t="s">
        <v>255</v>
      </c>
      <c r="C23" s="82" t="s">
        <v>255</v>
      </c>
      <c r="D23" s="76"/>
      <c r="E23" s="77" t="s">
        <v>215</v>
      </c>
      <c r="F23" s="78">
        <v>1</v>
      </c>
      <c r="G23" s="79">
        <v>1369</v>
      </c>
      <c r="H23" s="80">
        <v>1109</v>
      </c>
      <c r="I23" s="80">
        <v>431</v>
      </c>
      <c r="J23" s="80">
        <v>82</v>
      </c>
      <c r="K23" s="80">
        <v>58</v>
      </c>
      <c r="L23" s="80">
        <v>538</v>
      </c>
      <c r="M23" s="80">
        <v>0</v>
      </c>
      <c r="N23" s="80">
        <v>0</v>
      </c>
      <c r="O23" s="80">
        <v>9154</v>
      </c>
      <c r="P23" s="80">
        <v>1724</v>
      </c>
      <c r="Q23" s="80">
        <v>1216</v>
      </c>
      <c r="R23" s="80">
        <v>508</v>
      </c>
      <c r="S23" s="80">
        <v>465</v>
      </c>
      <c r="T23" s="80">
        <v>43</v>
      </c>
      <c r="U23" s="80">
        <v>6756</v>
      </c>
      <c r="V23" s="80">
        <v>482</v>
      </c>
      <c r="W23" s="80">
        <v>89</v>
      </c>
      <c r="X23" s="80">
        <v>103</v>
      </c>
      <c r="Y23" s="80">
        <v>-8045</v>
      </c>
      <c r="Z23" s="80">
        <v>4073</v>
      </c>
      <c r="AA23" s="80">
        <v>3538</v>
      </c>
      <c r="AB23" s="80">
        <v>301</v>
      </c>
      <c r="AC23" s="80">
        <v>234</v>
      </c>
      <c r="AD23" s="80">
        <v>4481</v>
      </c>
      <c r="AE23" s="80">
        <v>-15</v>
      </c>
      <c r="AF23" s="80">
        <v>15</v>
      </c>
      <c r="AG23" s="80">
        <v>6</v>
      </c>
      <c r="AH23" s="80">
        <v>4</v>
      </c>
      <c r="AI23" s="80">
        <v>35</v>
      </c>
      <c r="AJ23" s="80">
        <v>1</v>
      </c>
      <c r="AK23" s="80">
        <v>494</v>
      </c>
      <c r="AL23" s="80">
        <v>250</v>
      </c>
      <c r="AM23" s="80">
        <v>250</v>
      </c>
      <c r="AN23" s="80">
        <v>0</v>
      </c>
      <c r="AO23" s="80">
        <v>0</v>
      </c>
      <c r="AP23" s="80">
        <v>0</v>
      </c>
      <c r="AQ23" s="80">
        <v>0</v>
      </c>
      <c r="AR23" s="80">
        <v>244</v>
      </c>
      <c r="AS23" s="80">
        <v>0</v>
      </c>
      <c r="AT23" s="80">
        <v>0</v>
      </c>
      <c r="AU23" s="80">
        <v>0</v>
      </c>
      <c r="AV23" s="80">
        <v>244</v>
      </c>
      <c r="AW23" s="81"/>
      <c r="AX23" s="80">
        <v>493</v>
      </c>
      <c r="AY23" s="80">
        <v>494</v>
      </c>
      <c r="AZ23" s="80">
        <v>0</v>
      </c>
      <c r="BA23" s="80">
        <v>-1</v>
      </c>
      <c r="BB23" s="80">
        <v>-211</v>
      </c>
      <c r="BC23" s="80">
        <v>215</v>
      </c>
      <c r="BD23" s="80">
        <v>3</v>
      </c>
      <c r="BE23" s="80">
        <v>1</v>
      </c>
      <c r="BF23" s="80">
        <v>282</v>
      </c>
      <c r="BG23" s="80">
        <v>149</v>
      </c>
      <c r="BH23" s="80">
        <v>30</v>
      </c>
      <c r="BI23" s="80">
        <v>3</v>
      </c>
      <c r="BJ23" s="80">
        <v>33</v>
      </c>
      <c r="BK23" s="80">
        <v>315</v>
      </c>
      <c r="BL23" s="80">
        <v>665</v>
      </c>
      <c r="BM23" s="80">
        <v>350</v>
      </c>
      <c r="BN23" s="80">
        <v>0</v>
      </c>
      <c r="BO23" s="80">
        <v>0</v>
      </c>
      <c r="BP23" s="80">
        <v>-196</v>
      </c>
      <c r="BQ23" s="80">
        <v>0</v>
      </c>
      <c r="BR23" s="80">
        <v>0</v>
      </c>
      <c r="BS23" s="80">
        <v>-60</v>
      </c>
      <c r="BT23" s="80">
        <v>-136</v>
      </c>
      <c r="BU23" s="80">
        <v>431</v>
      </c>
      <c r="BV23" s="80">
        <v>1594</v>
      </c>
      <c r="BW23" s="80">
        <v>1163</v>
      </c>
      <c r="BX23" s="81"/>
      <c r="BY23" s="80">
        <v>6730</v>
      </c>
      <c r="BZ23" s="80">
        <v>71</v>
      </c>
      <c r="CA23" s="80">
        <v>0</v>
      </c>
      <c r="CB23" s="80">
        <v>71</v>
      </c>
      <c r="CC23" s="80">
        <v>0</v>
      </c>
      <c r="CD23" s="80">
        <v>4410</v>
      </c>
      <c r="CE23" s="80">
        <v>871</v>
      </c>
      <c r="CF23" s="80">
        <v>2839</v>
      </c>
      <c r="CG23" s="80">
        <v>602</v>
      </c>
      <c r="CH23" s="80">
        <v>15</v>
      </c>
      <c r="CI23" s="80">
        <v>0</v>
      </c>
      <c r="CJ23" s="80">
        <v>0</v>
      </c>
      <c r="CK23" s="80">
        <v>83</v>
      </c>
      <c r="CL23" s="80">
        <v>2249</v>
      </c>
      <c r="CM23" s="80">
        <v>2105</v>
      </c>
      <c r="CN23" s="80">
        <v>621</v>
      </c>
      <c r="CO23" s="80">
        <v>1484</v>
      </c>
      <c r="CP23" s="80">
        <v>0</v>
      </c>
      <c r="CQ23" s="80">
        <v>99</v>
      </c>
      <c r="CR23" s="80">
        <v>0</v>
      </c>
      <c r="CS23" s="80">
        <v>0</v>
      </c>
      <c r="CT23" s="80">
        <v>99</v>
      </c>
      <c r="CU23" s="80">
        <v>45</v>
      </c>
      <c r="CV23" s="80">
        <v>271</v>
      </c>
      <c r="CW23" s="80">
        <v>0</v>
      </c>
      <c r="CX23" s="80">
        <v>271</v>
      </c>
      <c r="CY23" s="80">
        <v>0</v>
      </c>
      <c r="CZ23" s="80">
        <v>1844</v>
      </c>
      <c r="DA23" s="80">
        <v>0</v>
      </c>
      <c r="DB23" s="80">
        <v>0</v>
      </c>
      <c r="DC23" s="80">
        <v>0</v>
      </c>
      <c r="DD23" s="80">
        <v>0</v>
      </c>
      <c r="DE23" s="80">
        <v>0</v>
      </c>
      <c r="DF23" s="80">
        <v>0</v>
      </c>
      <c r="DG23" s="80">
        <v>250</v>
      </c>
      <c r="DH23" s="80">
        <v>0</v>
      </c>
      <c r="DI23" s="80">
        <v>0</v>
      </c>
      <c r="DJ23" s="80">
        <v>0</v>
      </c>
      <c r="DK23" s="80">
        <v>0</v>
      </c>
      <c r="DL23" s="80">
        <v>0</v>
      </c>
      <c r="DM23" s="80">
        <v>250</v>
      </c>
      <c r="DN23" s="80">
        <v>100</v>
      </c>
      <c r="DO23" s="80">
        <v>0</v>
      </c>
      <c r="DP23" s="80">
        <v>11</v>
      </c>
      <c r="DQ23" s="80">
        <v>139</v>
      </c>
      <c r="DR23" s="80">
        <v>0</v>
      </c>
      <c r="DS23" s="80">
        <v>0</v>
      </c>
      <c r="DT23" s="80">
        <v>0</v>
      </c>
      <c r="DU23" s="80">
        <v>0</v>
      </c>
      <c r="DV23" s="80">
        <v>0</v>
      </c>
      <c r="DW23" s="80">
        <v>1594</v>
      </c>
      <c r="DX23" s="80">
        <v>8845</v>
      </c>
      <c r="DY23" s="80">
        <v>5041</v>
      </c>
      <c r="DZ23" s="80">
        <v>3866</v>
      </c>
      <c r="EA23" s="80">
        <v>0</v>
      </c>
      <c r="EB23" s="80">
        <v>0</v>
      </c>
      <c r="EC23" s="80">
        <v>931</v>
      </c>
      <c r="ED23" s="80">
        <v>244</v>
      </c>
      <c r="EE23" s="80">
        <v>0</v>
      </c>
      <c r="EF23" s="80">
        <v>0</v>
      </c>
      <c r="EG23" s="80">
        <v>0</v>
      </c>
      <c r="EH23" s="80">
        <v>131</v>
      </c>
      <c r="EI23" s="80">
        <v>0</v>
      </c>
      <c r="EJ23" s="80">
        <v>131</v>
      </c>
      <c r="EK23" s="80">
        <v>271</v>
      </c>
      <c r="EL23" s="80">
        <v>0</v>
      </c>
      <c r="EM23" s="80">
        <v>271</v>
      </c>
      <c r="EN23" s="80">
        <v>0</v>
      </c>
      <c r="EO23" s="80">
        <v>3402</v>
      </c>
      <c r="EP23" s="80">
        <v>2273</v>
      </c>
      <c r="EQ23" s="80">
        <v>0</v>
      </c>
      <c r="ER23" s="80">
        <v>2273</v>
      </c>
      <c r="ES23" s="80">
        <v>125</v>
      </c>
      <c r="ET23" s="80">
        <v>2148</v>
      </c>
      <c r="EU23" s="80">
        <v>0</v>
      </c>
      <c r="EV23" s="80">
        <v>0</v>
      </c>
      <c r="EW23" s="80">
        <v>0</v>
      </c>
      <c r="EX23" s="80">
        <v>0</v>
      </c>
      <c r="EY23" s="80">
        <v>0</v>
      </c>
      <c r="EZ23" s="80">
        <v>0</v>
      </c>
      <c r="FA23" s="80">
        <v>0</v>
      </c>
      <c r="FB23" s="80">
        <v>0</v>
      </c>
      <c r="FC23" s="80">
        <v>0</v>
      </c>
      <c r="FD23" s="80">
        <v>1129</v>
      </c>
      <c r="FE23" s="80">
        <v>0</v>
      </c>
      <c r="FF23" s="80">
        <v>306</v>
      </c>
      <c r="FG23" s="80">
        <v>50</v>
      </c>
      <c r="FH23" s="80">
        <v>256</v>
      </c>
      <c r="FI23" s="80">
        <v>0</v>
      </c>
      <c r="FJ23" s="80">
        <v>0</v>
      </c>
      <c r="FK23" s="80">
        <v>1</v>
      </c>
      <c r="FL23" s="80">
        <v>0</v>
      </c>
      <c r="FM23" s="80">
        <v>3</v>
      </c>
      <c r="FN23" s="80">
        <v>449</v>
      </c>
      <c r="FO23" s="80">
        <v>42</v>
      </c>
      <c r="FP23" s="80">
        <v>328</v>
      </c>
      <c r="FQ23" s="80">
        <v>8845</v>
      </c>
      <c r="FR23" s="80">
        <v>0</v>
      </c>
      <c r="FS23" s="80">
        <v>78</v>
      </c>
      <c r="FT23" s="100">
        <v>3684.1744723750267</v>
      </c>
      <c r="FU23" s="100"/>
      <c r="FV23" s="100">
        <v>1349</v>
      </c>
      <c r="FW23" s="67">
        <v>249</v>
      </c>
      <c r="FX23" s="100">
        <f t="shared" si="5"/>
        <v>-6406</v>
      </c>
      <c r="FY23" s="100">
        <f t="shared" si="6"/>
        <v>-7795</v>
      </c>
      <c r="FZ23" s="100">
        <v>5425.8462061262999</v>
      </c>
      <c r="GA23" s="67">
        <v>1389</v>
      </c>
      <c r="GB23" s="58">
        <f t="shared" si="3"/>
        <v>40</v>
      </c>
      <c r="GC23" s="67">
        <v>249</v>
      </c>
      <c r="GD23" s="100">
        <v>82</v>
      </c>
      <c r="GE23" s="100">
        <v>82</v>
      </c>
      <c r="GF23" s="58">
        <f t="shared" si="4"/>
        <v>0</v>
      </c>
      <c r="GG23" s="100">
        <v>-1966.9629999999997</v>
      </c>
      <c r="GH23" s="100">
        <v>-86.065750000000037</v>
      </c>
      <c r="GI23" s="100">
        <v>-3520.9122630056022</v>
      </c>
      <c r="GJ23" s="67">
        <f t="shared" si="7"/>
        <v>0</v>
      </c>
      <c r="GK23" s="67"/>
      <c r="GL23" s="67"/>
      <c r="GM23" s="96"/>
    </row>
    <row r="24" spans="1:195" ht="13.5" customHeight="1" x14ac:dyDescent="0.2">
      <c r="A24" s="74">
        <v>148</v>
      </c>
      <c r="B24" s="75" t="s">
        <v>244</v>
      </c>
      <c r="C24" s="82" t="s">
        <v>244</v>
      </c>
      <c r="D24" s="76"/>
      <c r="E24" s="77" t="s">
        <v>222</v>
      </c>
      <c r="F24" s="78">
        <v>3</v>
      </c>
      <c r="G24" s="79">
        <v>6804</v>
      </c>
      <c r="H24" s="80">
        <v>8426</v>
      </c>
      <c r="I24" s="80">
        <v>1291</v>
      </c>
      <c r="J24" s="80">
        <v>2592</v>
      </c>
      <c r="K24" s="80">
        <v>2270</v>
      </c>
      <c r="L24" s="80">
        <v>2273</v>
      </c>
      <c r="M24" s="80">
        <v>0</v>
      </c>
      <c r="N24" s="80">
        <v>0</v>
      </c>
      <c r="O24" s="80">
        <v>53885</v>
      </c>
      <c r="P24" s="80">
        <v>24732</v>
      </c>
      <c r="Q24" s="80">
        <v>18560</v>
      </c>
      <c r="R24" s="80">
        <v>6172</v>
      </c>
      <c r="S24" s="80">
        <v>5142</v>
      </c>
      <c r="T24" s="80">
        <v>1030</v>
      </c>
      <c r="U24" s="80">
        <v>21250</v>
      </c>
      <c r="V24" s="80">
        <v>3525</v>
      </c>
      <c r="W24" s="80">
        <v>3272</v>
      </c>
      <c r="X24" s="80">
        <v>1106</v>
      </c>
      <c r="Y24" s="80">
        <v>-45459</v>
      </c>
      <c r="Z24" s="80">
        <v>25281</v>
      </c>
      <c r="AA24" s="80">
        <v>18850</v>
      </c>
      <c r="AB24" s="80">
        <v>2363</v>
      </c>
      <c r="AC24" s="80">
        <v>4068</v>
      </c>
      <c r="AD24" s="80">
        <v>22731</v>
      </c>
      <c r="AE24" s="80">
        <v>681</v>
      </c>
      <c r="AF24" s="80">
        <v>98</v>
      </c>
      <c r="AG24" s="80">
        <v>973</v>
      </c>
      <c r="AH24" s="80">
        <v>717</v>
      </c>
      <c r="AI24" s="80">
        <v>370</v>
      </c>
      <c r="AJ24" s="80">
        <v>20</v>
      </c>
      <c r="AK24" s="80">
        <v>3234</v>
      </c>
      <c r="AL24" s="80">
        <v>1851</v>
      </c>
      <c r="AM24" s="80">
        <v>1765</v>
      </c>
      <c r="AN24" s="80">
        <v>86</v>
      </c>
      <c r="AO24" s="80">
        <v>0</v>
      </c>
      <c r="AP24" s="80">
        <v>0</v>
      </c>
      <c r="AQ24" s="80">
        <v>0</v>
      </c>
      <c r="AR24" s="80">
        <v>1383</v>
      </c>
      <c r="AS24" s="80">
        <v>0</v>
      </c>
      <c r="AT24" s="80">
        <v>0</v>
      </c>
      <c r="AU24" s="80">
        <v>-136</v>
      </c>
      <c r="AV24" s="80">
        <v>1247</v>
      </c>
      <c r="AW24" s="81"/>
      <c r="AX24" s="80">
        <v>3103</v>
      </c>
      <c r="AY24" s="80">
        <v>3234</v>
      </c>
      <c r="AZ24" s="80">
        <v>0</v>
      </c>
      <c r="BA24" s="80">
        <v>-131</v>
      </c>
      <c r="BB24" s="80">
        <v>-3855</v>
      </c>
      <c r="BC24" s="80">
        <v>5615</v>
      </c>
      <c r="BD24" s="80">
        <v>141</v>
      </c>
      <c r="BE24" s="80">
        <v>1619</v>
      </c>
      <c r="BF24" s="80">
        <v>-752</v>
      </c>
      <c r="BG24" s="80">
        <v>-478</v>
      </c>
      <c r="BH24" s="80">
        <v>-66</v>
      </c>
      <c r="BI24" s="80">
        <v>66</v>
      </c>
      <c r="BJ24" s="80">
        <v>0</v>
      </c>
      <c r="BK24" s="80">
        <v>-186</v>
      </c>
      <c r="BL24" s="80">
        <v>1680</v>
      </c>
      <c r="BM24" s="80">
        <v>1866</v>
      </c>
      <c r="BN24" s="80">
        <v>0</v>
      </c>
      <c r="BO24" s="80">
        <v>0</v>
      </c>
      <c r="BP24" s="80">
        <v>-226</v>
      </c>
      <c r="BQ24" s="80">
        <v>0</v>
      </c>
      <c r="BR24" s="80">
        <v>0</v>
      </c>
      <c r="BS24" s="80">
        <v>-1785</v>
      </c>
      <c r="BT24" s="80">
        <v>1559</v>
      </c>
      <c r="BU24" s="80">
        <v>-1230</v>
      </c>
      <c r="BV24" s="80">
        <v>6210</v>
      </c>
      <c r="BW24" s="80">
        <v>7440</v>
      </c>
      <c r="BX24" s="81"/>
      <c r="BY24" s="80">
        <v>57201</v>
      </c>
      <c r="BZ24" s="80">
        <v>0</v>
      </c>
      <c r="CA24" s="80">
        <v>0</v>
      </c>
      <c r="CB24" s="80">
        <v>0</v>
      </c>
      <c r="CC24" s="80">
        <v>0</v>
      </c>
      <c r="CD24" s="80">
        <v>28294</v>
      </c>
      <c r="CE24" s="80">
        <v>6222</v>
      </c>
      <c r="CF24" s="80">
        <v>14807</v>
      </c>
      <c r="CG24" s="80">
        <v>4020</v>
      </c>
      <c r="CH24" s="80">
        <v>783</v>
      </c>
      <c r="CI24" s="80">
        <v>0</v>
      </c>
      <c r="CJ24" s="80">
        <v>0</v>
      </c>
      <c r="CK24" s="80">
        <v>2462</v>
      </c>
      <c r="CL24" s="80">
        <v>28907</v>
      </c>
      <c r="CM24" s="80">
        <v>25338</v>
      </c>
      <c r="CN24" s="80">
        <v>1136</v>
      </c>
      <c r="CO24" s="80">
        <v>24202</v>
      </c>
      <c r="CP24" s="80">
        <v>0</v>
      </c>
      <c r="CQ24" s="80">
        <v>3345</v>
      </c>
      <c r="CR24" s="80">
        <v>0</v>
      </c>
      <c r="CS24" s="80">
        <v>0</v>
      </c>
      <c r="CT24" s="80">
        <v>3345</v>
      </c>
      <c r="CU24" s="80">
        <v>224</v>
      </c>
      <c r="CV24" s="80">
        <v>61</v>
      </c>
      <c r="CW24" s="80">
        <v>33</v>
      </c>
      <c r="CX24" s="80">
        <v>28</v>
      </c>
      <c r="CY24" s="80">
        <v>0</v>
      </c>
      <c r="CZ24" s="80">
        <v>9083</v>
      </c>
      <c r="DA24" s="80">
        <v>0</v>
      </c>
      <c r="DB24" s="80">
        <v>0</v>
      </c>
      <c r="DC24" s="80">
        <v>0</v>
      </c>
      <c r="DD24" s="80">
        <v>0</v>
      </c>
      <c r="DE24" s="80">
        <v>0</v>
      </c>
      <c r="DF24" s="80">
        <v>0</v>
      </c>
      <c r="DG24" s="80">
        <v>2873</v>
      </c>
      <c r="DH24" s="80">
        <v>442</v>
      </c>
      <c r="DI24" s="80">
        <v>0</v>
      </c>
      <c r="DJ24" s="80">
        <v>39</v>
      </c>
      <c r="DK24" s="80">
        <v>0</v>
      </c>
      <c r="DL24" s="80">
        <v>403</v>
      </c>
      <c r="DM24" s="80">
        <v>2431</v>
      </c>
      <c r="DN24" s="80">
        <v>842</v>
      </c>
      <c r="DO24" s="80">
        <v>0</v>
      </c>
      <c r="DP24" s="80">
        <v>940</v>
      </c>
      <c r="DQ24" s="80">
        <v>649</v>
      </c>
      <c r="DR24" s="80">
        <v>1245</v>
      </c>
      <c r="DS24" s="80">
        <v>0</v>
      </c>
      <c r="DT24" s="80">
        <v>0</v>
      </c>
      <c r="DU24" s="80">
        <v>0</v>
      </c>
      <c r="DV24" s="80">
        <v>1245</v>
      </c>
      <c r="DW24" s="80">
        <v>4965</v>
      </c>
      <c r="DX24" s="80">
        <v>66345</v>
      </c>
      <c r="DY24" s="80">
        <v>46166</v>
      </c>
      <c r="DZ24" s="80">
        <v>37122</v>
      </c>
      <c r="EA24" s="80">
        <v>0</v>
      </c>
      <c r="EB24" s="80">
        <v>4355</v>
      </c>
      <c r="EC24" s="80">
        <v>3442</v>
      </c>
      <c r="ED24" s="80">
        <v>1247</v>
      </c>
      <c r="EE24" s="80">
        <v>0</v>
      </c>
      <c r="EF24" s="80">
        <v>0</v>
      </c>
      <c r="EG24" s="80">
        <v>0</v>
      </c>
      <c r="EH24" s="80">
        <v>0</v>
      </c>
      <c r="EI24" s="80">
        <v>0</v>
      </c>
      <c r="EJ24" s="80">
        <v>0</v>
      </c>
      <c r="EK24" s="80">
        <v>58</v>
      </c>
      <c r="EL24" s="80">
        <v>30</v>
      </c>
      <c r="EM24" s="80">
        <v>28</v>
      </c>
      <c r="EN24" s="80">
        <v>0</v>
      </c>
      <c r="EO24" s="80">
        <v>20121</v>
      </c>
      <c r="EP24" s="80">
        <v>12674</v>
      </c>
      <c r="EQ24" s="80">
        <v>0</v>
      </c>
      <c r="ER24" s="80">
        <v>10305</v>
      </c>
      <c r="ES24" s="80">
        <v>1482</v>
      </c>
      <c r="ET24" s="80">
        <v>8823</v>
      </c>
      <c r="EU24" s="80">
        <v>0</v>
      </c>
      <c r="EV24" s="80">
        <v>0</v>
      </c>
      <c r="EW24" s="80">
        <v>2369</v>
      </c>
      <c r="EX24" s="80">
        <v>0</v>
      </c>
      <c r="EY24" s="80">
        <v>0</v>
      </c>
      <c r="EZ24" s="80">
        <v>0</v>
      </c>
      <c r="FA24" s="80">
        <v>0</v>
      </c>
      <c r="FB24" s="80">
        <v>0</v>
      </c>
      <c r="FC24" s="80">
        <v>0</v>
      </c>
      <c r="FD24" s="80">
        <v>7447</v>
      </c>
      <c r="FE24" s="80">
        <v>0</v>
      </c>
      <c r="FF24" s="80">
        <v>1077</v>
      </c>
      <c r="FG24" s="80">
        <v>155</v>
      </c>
      <c r="FH24" s="80">
        <v>922</v>
      </c>
      <c r="FI24" s="80">
        <v>0</v>
      </c>
      <c r="FJ24" s="80">
        <v>0</v>
      </c>
      <c r="FK24" s="80">
        <v>493</v>
      </c>
      <c r="FL24" s="80">
        <v>0</v>
      </c>
      <c r="FM24" s="80">
        <v>0</v>
      </c>
      <c r="FN24" s="80">
        <v>2338</v>
      </c>
      <c r="FO24" s="80">
        <v>793</v>
      </c>
      <c r="FP24" s="80">
        <v>2746</v>
      </c>
      <c r="FQ24" s="80">
        <v>66345</v>
      </c>
      <c r="FR24" s="80">
        <v>24412</v>
      </c>
      <c r="FS24" s="80">
        <v>368</v>
      </c>
      <c r="FT24" s="100">
        <v>29012.813093005585</v>
      </c>
      <c r="FU24" s="100"/>
      <c r="FV24" s="100">
        <v>10021</v>
      </c>
      <c r="FW24" s="67">
        <v>1648</v>
      </c>
      <c r="FX24" s="100">
        <f t="shared" si="5"/>
        <v>-28699</v>
      </c>
      <c r="FY24" s="100">
        <f t="shared" si="6"/>
        <v>-43608</v>
      </c>
      <c r="FZ24" s="100">
        <v>26907.818386736475</v>
      </c>
      <c r="GA24" s="67">
        <v>14909</v>
      </c>
      <c r="GB24" s="58">
        <f t="shared" si="3"/>
        <v>4888</v>
      </c>
      <c r="GC24" s="67">
        <v>1851</v>
      </c>
      <c r="GD24" s="100">
        <v>2594</v>
      </c>
      <c r="GE24" s="100">
        <v>680</v>
      </c>
      <c r="GF24" s="58">
        <f t="shared" si="4"/>
        <v>1914</v>
      </c>
      <c r="GG24" s="100">
        <v>-12125.421</v>
      </c>
      <c r="GH24" s="100">
        <v>-704.1302000000004</v>
      </c>
      <c r="GI24" s="100">
        <v>-14280.341035907919</v>
      </c>
      <c r="GJ24" s="67">
        <f t="shared" si="7"/>
        <v>203</v>
      </c>
      <c r="GK24" s="67"/>
      <c r="GL24" s="67"/>
      <c r="GM24" s="96"/>
    </row>
    <row r="25" spans="1:195" ht="13.5" customHeight="1" x14ac:dyDescent="0.2">
      <c r="A25" s="74">
        <v>46</v>
      </c>
      <c r="B25" s="75" t="s">
        <v>13</v>
      </c>
      <c r="C25" s="75" t="s">
        <v>13</v>
      </c>
      <c r="D25" s="76"/>
      <c r="E25" s="77" t="s">
        <v>220</v>
      </c>
      <c r="F25" s="78">
        <v>1</v>
      </c>
      <c r="G25" s="79">
        <v>1473</v>
      </c>
      <c r="H25" s="80">
        <v>2147</v>
      </c>
      <c r="I25" s="80">
        <v>920</v>
      </c>
      <c r="J25" s="80">
        <v>368</v>
      </c>
      <c r="K25" s="80">
        <v>184</v>
      </c>
      <c r="L25" s="80">
        <v>675</v>
      </c>
      <c r="M25" s="80">
        <v>0</v>
      </c>
      <c r="N25" s="80">
        <v>0</v>
      </c>
      <c r="O25" s="80">
        <v>11278</v>
      </c>
      <c r="P25" s="80">
        <v>4521</v>
      </c>
      <c r="Q25" s="80">
        <v>3503</v>
      </c>
      <c r="R25" s="80">
        <v>1018</v>
      </c>
      <c r="S25" s="80">
        <v>875</v>
      </c>
      <c r="T25" s="80">
        <v>143</v>
      </c>
      <c r="U25" s="80">
        <v>5199</v>
      </c>
      <c r="V25" s="80">
        <v>700</v>
      </c>
      <c r="W25" s="80">
        <v>445</v>
      </c>
      <c r="X25" s="80">
        <v>413</v>
      </c>
      <c r="Y25" s="80">
        <v>-9131</v>
      </c>
      <c r="Z25" s="80">
        <v>4825</v>
      </c>
      <c r="AA25" s="80">
        <v>3801</v>
      </c>
      <c r="AB25" s="80">
        <v>606</v>
      </c>
      <c r="AC25" s="80">
        <v>418</v>
      </c>
      <c r="AD25" s="80">
        <v>5096</v>
      </c>
      <c r="AE25" s="80">
        <v>81</v>
      </c>
      <c r="AF25" s="80">
        <v>25</v>
      </c>
      <c r="AG25" s="80">
        <v>60</v>
      </c>
      <c r="AH25" s="80">
        <v>59</v>
      </c>
      <c r="AI25" s="80">
        <v>4</v>
      </c>
      <c r="AJ25" s="80">
        <v>0</v>
      </c>
      <c r="AK25" s="80">
        <v>871</v>
      </c>
      <c r="AL25" s="80">
        <v>511</v>
      </c>
      <c r="AM25" s="80">
        <v>511</v>
      </c>
      <c r="AN25" s="80">
        <v>0</v>
      </c>
      <c r="AO25" s="80">
        <v>48</v>
      </c>
      <c r="AP25" s="80">
        <v>48</v>
      </c>
      <c r="AQ25" s="80">
        <v>0</v>
      </c>
      <c r="AR25" s="80">
        <v>408</v>
      </c>
      <c r="AS25" s="80">
        <v>0</v>
      </c>
      <c r="AT25" s="80">
        <v>0</v>
      </c>
      <c r="AU25" s="80">
        <v>0</v>
      </c>
      <c r="AV25" s="80">
        <v>408</v>
      </c>
      <c r="AW25" s="81"/>
      <c r="AX25" s="80">
        <v>861</v>
      </c>
      <c r="AY25" s="80">
        <v>871</v>
      </c>
      <c r="AZ25" s="80">
        <v>48</v>
      </c>
      <c r="BA25" s="80">
        <v>-58</v>
      </c>
      <c r="BB25" s="80">
        <v>-436</v>
      </c>
      <c r="BC25" s="80">
        <v>497</v>
      </c>
      <c r="BD25" s="80">
        <v>0</v>
      </c>
      <c r="BE25" s="80">
        <v>61</v>
      </c>
      <c r="BF25" s="80">
        <v>425</v>
      </c>
      <c r="BG25" s="80">
        <v>-712</v>
      </c>
      <c r="BH25" s="80">
        <v>35</v>
      </c>
      <c r="BI25" s="80">
        <v>0</v>
      </c>
      <c r="BJ25" s="80">
        <v>35</v>
      </c>
      <c r="BK25" s="80">
        <v>-680</v>
      </c>
      <c r="BL25" s="80">
        <v>0</v>
      </c>
      <c r="BM25" s="80">
        <v>600</v>
      </c>
      <c r="BN25" s="80">
        <v>-80</v>
      </c>
      <c r="BO25" s="80">
        <v>0</v>
      </c>
      <c r="BP25" s="80">
        <v>-67</v>
      </c>
      <c r="BQ25" s="80">
        <v>-4</v>
      </c>
      <c r="BR25" s="80">
        <v>0</v>
      </c>
      <c r="BS25" s="80">
        <v>28</v>
      </c>
      <c r="BT25" s="80">
        <v>-91</v>
      </c>
      <c r="BU25" s="80">
        <v>-287</v>
      </c>
      <c r="BV25" s="80">
        <v>2880</v>
      </c>
      <c r="BW25" s="80">
        <v>3167</v>
      </c>
      <c r="BX25" s="81"/>
      <c r="BY25" s="80">
        <v>8534</v>
      </c>
      <c r="BZ25" s="80">
        <v>0</v>
      </c>
      <c r="CA25" s="80">
        <v>0</v>
      </c>
      <c r="CB25" s="80">
        <v>0</v>
      </c>
      <c r="CC25" s="80">
        <v>0</v>
      </c>
      <c r="CD25" s="80">
        <v>6838</v>
      </c>
      <c r="CE25" s="80">
        <v>635</v>
      </c>
      <c r="CF25" s="80">
        <v>5179</v>
      </c>
      <c r="CG25" s="80">
        <v>907</v>
      </c>
      <c r="CH25" s="80">
        <v>104</v>
      </c>
      <c r="CI25" s="80">
        <v>13</v>
      </c>
      <c r="CJ25" s="80">
        <v>13</v>
      </c>
      <c r="CK25" s="80">
        <v>0</v>
      </c>
      <c r="CL25" s="80">
        <v>1696</v>
      </c>
      <c r="CM25" s="80">
        <v>1207</v>
      </c>
      <c r="CN25" s="80">
        <v>828</v>
      </c>
      <c r="CO25" s="80">
        <v>379</v>
      </c>
      <c r="CP25" s="80">
        <v>0</v>
      </c>
      <c r="CQ25" s="80">
        <v>489</v>
      </c>
      <c r="CR25" s="80">
        <v>0</v>
      </c>
      <c r="CS25" s="80">
        <v>0</v>
      </c>
      <c r="CT25" s="80">
        <v>489</v>
      </c>
      <c r="CU25" s="80">
        <v>0</v>
      </c>
      <c r="CV25" s="80">
        <v>4</v>
      </c>
      <c r="CW25" s="80">
        <v>0</v>
      </c>
      <c r="CX25" s="80">
        <v>4</v>
      </c>
      <c r="CY25" s="80">
        <v>0</v>
      </c>
      <c r="CZ25" s="80">
        <v>3052</v>
      </c>
      <c r="DA25" s="80">
        <v>0</v>
      </c>
      <c r="DB25" s="80">
        <v>0</v>
      </c>
      <c r="DC25" s="80">
        <v>0</v>
      </c>
      <c r="DD25" s="80">
        <v>0</v>
      </c>
      <c r="DE25" s="80">
        <v>0</v>
      </c>
      <c r="DF25" s="80">
        <v>0</v>
      </c>
      <c r="DG25" s="80">
        <v>172</v>
      </c>
      <c r="DH25" s="80">
        <v>0</v>
      </c>
      <c r="DI25" s="80">
        <v>0</v>
      </c>
      <c r="DJ25" s="80">
        <v>0</v>
      </c>
      <c r="DK25" s="80">
        <v>0</v>
      </c>
      <c r="DL25" s="80">
        <v>0</v>
      </c>
      <c r="DM25" s="80">
        <v>172</v>
      </c>
      <c r="DN25" s="80">
        <v>104</v>
      </c>
      <c r="DO25" s="80">
        <v>0</v>
      </c>
      <c r="DP25" s="80">
        <v>51</v>
      </c>
      <c r="DQ25" s="80">
        <v>17</v>
      </c>
      <c r="DR25" s="80">
        <v>748</v>
      </c>
      <c r="DS25" s="80">
        <v>200</v>
      </c>
      <c r="DT25" s="80">
        <v>300</v>
      </c>
      <c r="DU25" s="80">
        <v>248</v>
      </c>
      <c r="DV25" s="80">
        <v>0</v>
      </c>
      <c r="DW25" s="80">
        <v>2132</v>
      </c>
      <c r="DX25" s="80">
        <v>11590</v>
      </c>
      <c r="DY25" s="80">
        <v>10226</v>
      </c>
      <c r="DZ25" s="80">
        <v>5000</v>
      </c>
      <c r="EA25" s="80">
        <v>0</v>
      </c>
      <c r="EB25" s="80">
        <v>10</v>
      </c>
      <c r="EC25" s="80">
        <v>4808</v>
      </c>
      <c r="ED25" s="80">
        <v>408</v>
      </c>
      <c r="EE25" s="80">
        <v>0</v>
      </c>
      <c r="EF25" s="80">
        <v>0</v>
      </c>
      <c r="EG25" s="80">
        <v>0</v>
      </c>
      <c r="EH25" s="80">
        <v>0</v>
      </c>
      <c r="EI25" s="80">
        <v>0</v>
      </c>
      <c r="EJ25" s="80">
        <v>0</v>
      </c>
      <c r="EK25" s="80">
        <v>19</v>
      </c>
      <c r="EL25" s="80">
        <v>0</v>
      </c>
      <c r="EM25" s="80">
        <v>13</v>
      </c>
      <c r="EN25" s="80">
        <v>6</v>
      </c>
      <c r="EO25" s="80">
        <v>1346</v>
      </c>
      <c r="EP25" s="80">
        <v>0</v>
      </c>
      <c r="EQ25" s="80">
        <v>0</v>
      </c>
      <c r="ER25" s="80">
        <v>0</v>
      </c>
      <c r="ES25" s="80">
        <v>0</v>
      </c>
      <c r="ET25" s="80">
        <v>0</v>
      </c>
      <c r="EU25" s="80">
        <v>0</v>
      </c>
      <c r="EV25" s="80">
        <v>0</v>
      </c>
      <c r="EW25" s="80">
        <v>0</v>
      </c>
      <c r="EX25" s="80">
        <v>0</v>
      </c>
      <c r="EY25" s="80">
        <v>0</v>
      </c>
      <c r="EZ25" s="80">
        <v>0</v>
      </c>
      <c r="FA25" s="80">
        <v>0</v>
      </c>
      <c r="FB25" s="80">
        <v>0</v>
      </c>
      <c r="FC25" s="80">
        <v>0</v>
      </c>
      <c r="FD25" s="80">
        <v>1346</v>
      </c>
      <c r="FE25" s="80">
        <v>0</v>
      </c>
      <c r="FF25" s="80">
        <v>0</v>
      </c>
      <c r="FG25" s="80">
        <v>0</v>
      </c>
      <c r="FH25" s="80">
        <v>0</v>
      </c>
      <c r="FI25" s="80">
        <v>0</v>
      </c>
      <c r="FJ25" s="80">
        <v>0</v>
      </c>
      <c r="FK25" s="80">
        <v>0</v>
      </c>
      <c r="FL25" s="80">
        <v>0</v>
      </c>
      <c r="FM25" s="80">
        <v>54</v>
      </c>
      <c r="FN25" s="80">
        <v>766</v>
      </c>
      <c r="FO25" s="80">
        <v>69</v>
      </c>
      <c r="FP25" s="80">
        <v>457</v>
      </c>
      <c r="FQ25" s="80">
        <v>11591</v>
      </c>
      <c r="FR25" s="80">
        <v>222</v>
      </c>
      <c r="FS25" s="80">
        <v>5</v>
      </c>
      <c r="FT25" s="100">
        <v>5487.218127197777</v>
      </c>
      <c r="FU25" s="100"/>
      <c r="FV25" s="100">
        <v>2800</v>
      </c>
      <c r="FW25" s="67">
        <v>503</v>
      </c>
      <c r="FX25" s="100">
        <f t="shared" si="5"/>
        <v>-5235</v>
      </c>
      <c r="FY25" s="100">
        <f t="shared" si="6"/>
        <v>-8620</v>
      </c>
      <c r="FZ25" s="100">
        <v>6258.1618775623083</v>
      </c>
      <c r="GA25" s="67">
        <v>3385</v>
      </c>
      <c r="GB25" s="58">
        <f t="shared" si="3"/>
        <v>585</v>
      </c>
      <c r="GC25" s="67">
        <v>511</v>
      </c>
      <c r="GD25" s="100">
        <v>413</v>
      </c>
      <c r="GE25" s="100">
        <v>183</v>
      </c>
      <c r="GF25" s="58">
        <f t="shared" si="4"/>
        <v>230</v>
      </c>
      <c r="GG25" s="100">
        <v>-2119.038</v>
      </c>
      <c r="GH25" s="100">
        <v>-177.28690000000009</v>
      </c>
      <c r="GI25" s="100">
        <v>-4086.3643653285767</v>
      </c>
      <c r="GJ25" s="67">
        <f t="shared" si="7"/>
        <v>8</v>
      </c>
      <c r="GK25" s="67"/>
      <c r="GL25" s="67"/>
      <c r="GM25" s="96"/>
    </row>
    <row r="26" spans="1:195" ht="13.5" customHeight="1" x14ac:dyDescent="0.2">
      <c r="A26" s="74">
        <v>47</v>
      </c>
      <c r="B26" s="75" t="s">
        <v>221</v>
      </c>
      <c r="C26" s="82" t="s">
        <v>221</v>
      </c>
      <c r="D26" s="76"/>
      <c r="E26" s="77" t="s">
        <v>222</v>
      </c>
      <c r="F26" s="78">
        <v>1</v>
      </c>
      <c r="G26" s="79">
        <v>1861</v>
      </c>
      <c r="H26" s="80">
        <v>2594</v>
      </c>
      <c r="I26" s="80">
        <v>593</v>
      </c>
      <c r="J26" s="80">
        <v>553</v>
      </c>
      <c r="K26" s="80">
        <v>909</v>
      </c>
      <c r="L26" s="80">
        <v>539</v>
      </c>
      <c r="M26" s="80">
        <v>0</v>
      </c>
      <c r="N26" s="80">
        <v>0</v>
      </c>
      <c r="O26" s="80">
        <v>17332</v>
      </c>
      <c r="P26" s="80">
        <v>6877</v>
      </c>
      <c r="Q26" s="80">
        <v>5267</v>
      </c>
      <c r="R26" s="80">
        <v>1610</v>
      </c>
      <c r="S26" s="80">
        <v>1350</v>
      </c>
      <c r="T26" s="80">
        <v>260</v>
      </c>
      <c r="U26" s="80">
        <v>8321</v>
      </c>
      <c r="V26" s="80">
        <v>1068</v>
      </c>
      <c r="W26" s="80">
        <v>665</v>
      </c>
      <c r="X26" s="80">
        <v>401</v>
      </c>
      <c r="Y26" s="80">
        <v>-14738</v>
      </c>
      <c r="Z26" s="80">
        <v>6023</v>
      </c>
      <c r="AA26" s="80">
        <v>4863</v>
      </c>
      <c r="AB26" s="80">
        <v>338</v>
      </c>
      <c r="AC26" s="80">
        <v>822</v>
      </c>
      <c r="AD26" s="80">
        <v>8833</v>
      </c>
      <c r="AE26" s="80">
        <v>243</v>
      </c>
      <c r="AF26" s="80">
        <v>0</v>
      </c>
      <c r="AG26" s="80">
        <v>503</v>
      </c>
      <c r="AH26" s="80">
        <v>0</v>
      </c>
      <c r="AI26" s="80">
        <v>93</v>
      </c>
      <c r="AJ26" s="80">
        <v>167</v>
      </c>
      <c r="AK26" s="80">
        <v>361</v>
      </c>
      <c r="AL26" s="80">
        <v>484</v>
      </c>
      <c r="AM26" s="80">
        <v>366</v>
      </c>
      <c r="AN26" s="80">
        <v>118</v>
      </c>
      <c r="AO26" s="80">
        <v>0</v>
      </c>
      <c r="AP26" s="80">
        <v>0</v>
      </c>
      <c r="AQ26" s="80">
        <v>0</v>
      </c>
      <c r="AR26" s="80">
        <v>-123</v>
      </c>
      <c r="AS26" s="80">
        <v>0</v>
      </c>
      <c r="AT26" s="80">
        <v>0</v>
      </c>
      <c r="AU26" s="80">
        <v>0</v>
      </c>
      <c r="AV26" s="80">
        <v>-123</v>
      </c>
      <c r="AW26" s="81"/>
      <c r="AX26" s="80">
        <v>361</v>
      </c>
      <c r="AY26" s="80">
        <v>361</v>
      </c>
      <c r="AZ26" s="80">
        <v>0</v>
      </c>
      <c r="BA26" s="80">
        <v>0</v>
      </c>
      <c r="BB26" s="80">
        <v>-833</v>
      </c>
      <c r="BC26" s="80">
        <v>934</v>
      </c>
      <c r="BD26" s="80">
        <v>101</v>
      </c>
      <c r="BE26" s="80">
        <v>0</v>
      </c>
      <c r="BF26" s="80">
        <v>-472</v>
      </c>
      <c r="BG26" s="80">
        <v>563</v>
      </c>
      <c r="BH26" s="80">
        <v>0</v>
      </c>
      <c r="BI26" s="80">
        <v>0</v>
      </c>
      <c r="BJ26" s="80">
        <v>0</v>
      </c>
      <c r="BK26" s="80">
        <v>386</v>
      </c>
      <c r="BL26" s="80">
        <v>1970</v>
      </c>
      <c r="BM26" s="80">
        <v>931</v>
      </c>
      <c r="BN26" s="80">
        <v>-653</v>
      </c>
      <c r="BO26" s="80">
        <v>0</v>
      </c>
      <c r="BP26" s="80">
        <v>177</v>
      </c>
      <c r="BQ26" s="80">
        <v>-27</v>
      </c>
      <c r="BR26" s="80">
        <v>1</v>
      </c>
      <c r="BS26" s="80">
        <v>46</v>
      </c>
      <c r="BT26" s="80">
        <v>157</v>
      </c>
      <c r="BU26" s="80">
        <v>91</v>
      </c>
      <c r="BV26" s="80">
        <v>320</v>
      </c>
      <c r="BW26" s="80">
        <v>229</v>
      </c>
      <c r="BX26" s="81"/>
      <c r="BY26" s="80">
        <v>13781</v>
      </c>
      <c r="BZ26" s="80">
        <v>0</v>
      </c>
      <c r="CA26" s="80">
        <v>0</v>
      </c>
      <c r="CB26" s="80">
        <v>0</v>
      </c>
      <c r="CC26" s="80">
        <v>0</v>
      </c>
      <c r="CD26" s="80">
        <v>6263</v>
      </c>
      <c r="CE26" s="80">
        <v>505</v>
      </c>
      <c r="CF26" s="80">
        <v>4078</v>
      </c>
      <c r="CG26" s="80">
        <v>1499</v>
      </c>
      <c r="CH26" s="80">
        <v>162</v>
      </c>
      <c r="CI26" s="80">
        <v>0</v>
      </c>
      <c r="CJ26" s="80">
        <v>0</v>
      </c>
      <c r="CK26" s="80">
        <v>19</v>
      </c>
      <c r="CL26" s="80">
        <v>7518</v>
      </c>
      <c r="CM26" s="80">
        <v>5836</v>
      </c>
      <c r="CN26" s="80">
        <v>416</v>
      </c>
      <c r="CO26" s="80">
        <v>5420</v>
      </c>
      <c r="CP26" s="80">
        <v>0</v>
      </c>
      <c r="CQ26" s="80">
        <v>1682</v>
      </c>
      <c r="CR26" s="80">
        <v>0</v>
      </c>
      <c r="CS26" s="80">
        <v>0</v>
      </c>
      <c r="CT26" s="80">
        <v>1682</v>
      </c>
      <c r="CU26" s="80">
        <v>0</v>
      </c>
      <c r="CV26" s="80">
        <v>28</v>
      </c>
      <c r="CW26" s="80">
        <v>16</v>
      </c>
      <c r="CX26" s="80">
        <v>0</v>
      </c>
      <c r="CY26" s="80">
        <v>12</v>
      </c>
      <c r="CZ26" s="80">
        <v>1080</v>
      </c>
      <c r="DA26" s="80">
        <v>13</v>
      </c>
      <c r="DB26" s="80">
        <v>13</v>
      </c>
      <c r="DC26" s="80">
        <v>0</v>
      </c>
      <c r="DD26" s="80">
        <v>0</v>
      </c>
      <c r="DE26" s="80">
        <v>0</v>
      </c>
      <c r="DF26" s="80">
        <v>0</v>
      </c>
      <c r="DG26" s="80">
        <v>747</v>
      </c>
      <c r="DH26" s="80">
        <v>0</v>
      </c>
      <c r="DI26" s="80">
        <v>0</v>
      </c>
      <c r="DJ26" s="80">
        <v>0</v>
      </c>
      <c r="DK26" s="80">
        <v>0</v>
      </c>
      <c r="DL26" s="80">
        <v>0</v>
      </c>
      <c r="DM26" s="80">
        <v>747</v>
      </c>
      <c r="DN26" s="80">
        <v>387</v>
      </c>
      <c r="DO26" s="80">
        <v>207</v>
      </c>
      <c r="DP26" s="80">
        <v>0</v>
      </c>
      <c r="DQ26" s="80">
        <v>153</v>
      </c>
      <c r="DR26" s="80">
        <v>0</v>
      </c>
      <c r="DS26" s="80">
        <v>0</v>
      </c>
      <c r="DT26" s="80">
        <v>0</v>
      </c>
      <c r="DU26" s="80">
        <v>0</v>
      </c>
      <c r="DV26" s="80">
        <v>0</v>
      </c>
      <c r="DW26" s="80">
        <v>320</v>
      </c>
      <c r="DX26" s="80">
        <v>14889</v>
      </c>
      <c r="DY26" s="80">
        <v>6923</v>
      </c>
      <c r="DZ26" s="80">
        <v>6093</v>
      </c>
      <c r="EA26" s="80">
        <v>585</v>
      </c>
      <c r="EB26" s="80">
        <v>0</v>
      </c>
      <c r="EC26" s="80">
        <v>368</v>
      </c>
      <c r="ED26" s="80">
        <v>-123</v>
      </c>
      <c r="EE26" s="80">
        <v>0</v>
      </c>
      <c r="EF26" s="80">
        <v>0</v>
      </c>
      <c r="EG26" s="80">
        <v>0</v>
      </c>
      <c r="EH26" s="80">
        <v>410</v>
      </c>
      <c r="EI26" s="80">
        <v>0</v>
      </c>
      <c r="EJ26" s="80">
        <v>410</v>
      </c>
      <c r="EK26" s="80">
        <v>57</v>
      </c>
      <c r="EL26" s="80">
        <v>16</v>
      </c>
      <c r="EM26" s="80">
        <v>41</v>
      </c>
      <c r="EN26" s="80">
        <v>0</v>
      </c>
      <c r="EO26" s="80">
        <v>7499</v>
      </c>
      <c r="EP26" s="80">
        <v>4581</v>
      </c>
      <c r="EQ26" s="80">
        <v>0</v>
      </c>
      <c r="ER26" s="80">
        <v>4581</v>
      </c>
      <c r="ES26" s="80">
        <v>0</v>
      </c>
      <c r="ET26" s="80">
        <v>3543</v>
      </c>
      <c r="EU26" s="80">
        <v>1038</v>
      </c>
      <c r="EV26" s="80">
        <v>0</v>
      </c>
      <c r="EW26" s="80">
        <v>0</v>
      </c>
      <c r="EX26" s="80">
        <v>0</v>
      </c>
      <c r="EY26" s="80">
        <v>0</v>
      </c>
      <c r="EZ26" s="80">
        <v>0</v>
      </c>
      <c r="FA26" s="80">
        <v>0</v>
      </c>
      <c r="FB26" s="80">
        <v>0</v>
      </c>
      <c r="FC26" s="80">
        <v>0</v>
      </c>
      <c r="FD26" s="80">
        <v>2918</v>
      </c>
      <c r="FE26" s="80">
        <v>0</v>
      </c>
      <c r="FF26" s="80">
        <v>1228</v>
      </c>
      <c r="FG26" s="80">
        <v>316</v>
      </c>
      <c r="FH26" s="80">
        <v>912</v>
      </c>
      <c r="FI26" s="80">
        <v>0</v>
      </c>
      <c r="FJ26" s="80">
        <v>0</v>
      </c>
      <c r="FK26" s="80">
        <v>3</v>
      </c>
      <c r="FL26" s="80">
        <v>0</v>
      </c>
      <c r="FM26" s="80">
        <v>156</v>
      </c>
      <c r="FN26" s="80">
        <v>693</v>
      </c>
      <c r="FO26" s="80">
        <v>139</v>
      </c>
      <c r="FP26" s="80">
        <v>699</v>
      </c>
      <c r="FQ26" s="80">
        <v>14889</v>
      </c>
      <c r="FR26" s="80">
        <v>3750</v>
      </c>
      <c r="FS26" s="80">
        <v>1741</v>
      </c>
      <c r="FT26" s="100">
        <v>8786.9866835063258</v>
      </c>
      <c r="FU26" s="100"/>
      <c r="FV26" s="100">
        <v>2857</v>
      </c>
      <c r="FW26" s="67">
        <v>448</v>
      </c>
      <c r="FX26" s="100">
        <f t="shared" si="5"/>
        <v>-10778</v>
      </c>
      <c r="FY26" s="100">
        <f t="shared" si="6"/>
        <v>-14254</v>
      </c>
      <c r="FZ26" s="100">
        <v>8445.2334114228615</v>
      </c>
      <c r="GA26" s="67">
        <v>3476</v>
      </c>
      <c r="GB26" s="58">
        <f t="shared" si="3"/>
        <v>619</v>
      </c>
      <c r="GC26" s="67">
        <v>484</v>
      </c>
      <c r="GD26" s="100">
        <v>560</v>
      </c>
      <c r="GE26" s="100">
        <v>254</v>
      </c>
      <c r="GF26" s="58">
        <f t="shared" si="4"/>
        <v>306</v>
      </c>
      <c r="GG26" s="100">
        <v>-2763.2280000000001</v>
      </c>
      <c r="GH26" s="100">
        <v>-107.61465000000003</v>
      </c>
      <c r="GI26" s="100">
        <v>-5728.6310592224536</v>
      </c>
      <c r="GJ26" s="67">
        <f t="shared" si="7"/>
        <v>36</v>
      </c>
      <c r="GK26" s="67"/>
      <c r="GL26" s="67"/>
      <c r="GM26" s="96"/>
    </row>
    <row r="27" spans="1:195" ht="13.5" customHeight="1" x14ac:dyDescent="0.2">
      <c r="A27" s="74">
        <v>49</v>
      </c>
      <c r="B27" s="75" t="s">
        <v>223</v>
      </c>
      <c r="C27" s="82" t="s">
        <v>223</v>
      </c>
      <c r="D27" s="76"/>
      <c r="E27" s="77" t="s">
        <v>218</v>
      </c>
      <c r="F27" s="78">
        <v>7</v>
      </c>
      <c r="G27" s="79">
        <v>269800</v>
      </c>
      <c r="H27" s="80">
        <v>299538</v>
      </c>
      <c r="I27" s="80">
        <v>74966</v>
      </c>
      <c r="J27" s="80">
        <v>111622</v>
      </c>
      <c r="K27" s="80">
        <v>37983</v>
      </c>
      <c r="L27" s="80">
        <v>74967</v>
      </c>
      <c r="M27" s="80">
        <v>0</v>
      </c>
      <c r="N27" s="80">
        <v>105609</v>
      </c>
      <c r="O27" s="80">
        <v>1718159</v>
      </c>
      <c r="P27" s="80">
        <v>631945</v>
      </c>
      <c r="Q27" s="80">
        <v>489363</v>
      </c>
      <c r="R27" s="80">
        <v>142582</v>
      </c>
      <c r="S27" s="80">
        <v>114468</v>
      </c>
      <c r="T27" s="80">
        <v>28114</v>
      </c>
      <c r="U27" s="80">
        <v>781379</v>
      </c>
      <c r="V27" s="80">
        <v>72679</v>
      </c>
      <c r="W27" s="80">
        <v>161754</v>
      </c>
      <c r="X27" s="80">
        <v>70402</v>
      </c>
      <c r="Y27" s="80">
        <v>-1313012</v>
      </c>
      <c r="Z27" s="80">
        <v>1393802</v>
      </c>
      <c r="AA27" s="80">
        <v>1161281</v>
      </c>
      <c r="AB27" s="80">
        <v>136157</v>
      </c>
      <c r="AC27" s="80">
        <v>96364</v>
      </c>
      <c r="AD27" s="80">
        <v>30083</v>
      </c>
      <c r="AE27" s="80">
        <v>43961</v>
      </c>
      <c r="AF27" s="80">
        <v>15367</v>
      </c>
      <c r="AG27" s="80">
        <v>46773</v>
      </c>
      <c r="AH27" s="80">
        <v>2206</v>
      </c>
      <c r="AI27" s="80">
        <v>4509</v>
      </c>
      <c r="AJ27" s="80">
        <v>13670</v>
      </c>
      <c r="AK27" s="80">
        <v>154834</v>
      </c>
      <c r="AL27" s="80">
        <v>126686</v>
      </c>
      <c r="AM27" s="80">
        <v>126686</v>
      </c>
      <c r="AN27" s="80">
        <v>0</v>
      </c>
      <c r="AO27" s="80">
        <v>0</v>
      </c>
      <c r="AP27" s="80">
        <v>0</v>
      </c>
      <c r="AQ27" s="80">
        <v>0</v>
      </c>
      <c r="AR27" s="80">
        <v>28148</v>
      </c>
      <c r="AS27" s="80">
        <v>-30876</v>
      </c>
      <c r="AT27" s="80">
        <v>0</v>
      </c>
      <c r="AU27" s="80">
        <v>40102</v>
      </c>
      <c r="AV27" s="80">
        <v>37374</v>
      </c>
      <c r="AW27" s="81"/>
      <c r="AX27" s="80">
        <v>120723</v>
      </c>
      <c r="AY27" s="80">
        <v>154834</v>
      </c>
      <c r="AZ27" s="80">
        <v>0</v>
      </c>
      <c r="BA27" s="80">
        <v>-34111</v>
      </c>
      <c r="BB27" s="80">
        <v>-268394</v>
      </c>
      <c r="BC27" s="80">
        <v>358407</v>
      </c>
      <c r="BD27" s="80">
        <v>42985</v>
      </c>
      <c r="BE27" s="80">
        <v>47028</v>
      </c>
      <c r="BF27" s="80">
        <v>-147671</v>
      </c>
      <c r="BG27" s="80">
        <v>187639</v>
      </c>
      <c r="BH27" s="80">
        <v>-78417</v>
      </c>
      <c r="BI27" s="80">
        <v>80188</v>
      </c>
      <c r="BJ27" s="80">
        <v>1771</v>
      </c>
      <c r="BK27" s="80">
        <v>259929</v>
      </c>
      <c r="BL27" s="80">
        <v>269272</v>
      </c>
      <c r="BM27" s="80">
        <v>51703</v>
      </c>
      <c r="BN27" s="80">
        <v>42360</v>
      </c>
      <c r="BO27" s="80">
        <v>0</v>
      </c>
      <c r="BP27" s="80">
        <v>6127</v>
      </c>
      <c r="BQ27" s="80">
        <v>220</v>
      </c>
      <c r="BR27" s="80">
        <v>-351</v>
      </c>
      <c r="BS27" s="80">
        <v>2947</v>
      </c>
      <c r="BT27" s="80">
        <v>3311</v>
      </c>
      <c r="BU27" s="80">
        <v>39968</v>
      </c>
      <c r="BV27" s="80">
        <v>731394</v>
      </c>
      <c r="BW27" s="80">
        <v>691426</v>
      </c>
      <c r="BX27" s="81"/>
      <c r="BY27" s="80">
        <v>2646202</v>
      </c>
      <c r="BZ27" s="80">
        <v>84314</v>
      </c>
      <c r="CA27" s="80">
        <v>12280</v>
      </c>
      <c r="CB27" s="80">
        <v>72034</v>
      </c>
      <c r="CC27" s="80">
        <v>0</v>
      </c>
      <c r="CD27" s="80">
        <v>1697116</v>
      </c>
      <c r="CE27" s="80">
        <v>324394</v>
      </c>
      <c r="CF27" s="80">
        <v>557531</v>
      </c>
      <c r="CG27" s="80">
        <v>744520</v>
      </c>
      <c r="CH27" s="80">
        <v>19433</v>
      </c>
      <c r="CI27" s="80">
        <v>430</v>
      </c>
      <c r="CJ27" s="80">
        <v>430</v>
      </c>
      <c r="CK27" s="80">
        <v>50808</v>
      </c>
      <c r="CL27" s="80">
        <v>864772</v>
      </c>
      <c r="CM27" s="80">
        <v>498842</v>
      </c>
      <c r="CN27" s="80">
        <v>214552</v>
      </c>
      <c r="CO27" s="80">
        <v>284290</v>
      </c>
      <c r="CP27" s="80">
        <v>0</v>
      </c>
      <c r="CQ27" s="80">
        <v>364890</v>
      </c>
      <c r="CR27" s="80">
        <v>0</v>
      </c>
      <c r="CS27" s="80">
        <v>262089</v>
      </c>
      <c r="CT27" s="80">
        <v>102801</v>
      </c>
      <c r="CU27" s="80">
        <v>1040</v>
      </c>
      <c r="CV27" s="80">
        <v>11178</v>
      </c>
      <c r="CW27" s="80">
        <v>11139</v>
      </c>
      <c r="CX27" s="80">
        <v>39</v>
      </c>
      <c r="CY27" s="80">
        <v>0</v>
      </c>
      <c r="CZ27" s="80">
        <v>864449</v>
      </c>
      <c r="DA27" s="80">
        <v>800</v>
      </c>
      <c r="DB27" s="80">
        <v>800</v>
      </c>
      <c r="DC27" s="80">
        <v>0</v>
      </c>
      <c r="DD27" s="80">
        <v>0</v>
      </c>
      <c r="DE27" s="80">
        <v>0</v>
      </c>
      <c r="DF27" s="80">
        <v>0</v>
      </c>
      <c r="DG27" s="80">
        <v>132254</v>
      </c>
      <c r="DH27" s="80">
        <v>26215</v>
      </c>
      <c r="DI27" s="80">
        <v>0</v>
      </c>
      <c r="DJ27" s="80">
        <v>331</v>
      </c>
      <c r="DK27" s="80">
        <v>0</v>
      </c>
      <c r="DL27" s="80">
        <v>25884</v>
      </c>
      <c r="DM27" s="80">
        <v>106039</v>
      </c>
      <c r="DN27" s="80">
        <v>31684</v>
      </c>
      <c r="DO27" s="80">
        <v>6222</v>
      </c>
      <c r="DP27" s="80">
        <v>20524</v>
      </c>
      <c r="DQ27" s="80">
        <v>47609</v>
      </c>
      <c r="DR27" s="80">
        <v>531823</v>
      </c>
      <c r="DS27" s="80">
        <v>212</v>
      </c>
      <c r="DT27" s="80">
        <v>1</v>
      </c>
      <c r="DU27" s="80">
        <v>25571</v>
      </c>
      <c r="DV27" s="80">
        <v>506039</v>
      </c>
      <c r="DW27" s="80">
        <v>199572</v>
      </c>
      <c r="DX27" s="80">
        <v>3521829</v>
      </c>
      <c r="DY27" s="80">
        <v>2353501</v>
      </c>
      <c r="DZ27" s="80">
        <v>1444133</v>
      </c>
      <c r="EA27" s="80">
        <v>0</v>
      </c>
      <c r="EB27" s="80">
        <v>511900</v>
      </c>
      <c r="EC27" s="80">
        <v>360094</v>
      </c>
      <c r="ED27" s="80">
        <v>37374</v>
      </c>
      <c r="EE27" s="80">
        <v>208507</v>
      </c>
      <c r="EF27" s="80">
        <v>208507</v>
      </c>
      <c r="EG27" s="80">
        <v>0</v>
      </c>
      <c r="EH27" s="80">
        <v>1962</v>
      </c>
      <c r="EI27" s="80">
        <v>41</v>
      </c>
      <c r="EJ27" s="80">
        <v>1921</v>
      </c>
      <c r="EK27" s="80">
        <v>12334</v>
      </c>
      <c r="EL27" s="80">
        <v>11139</v>
      </c>
      <c r="EM27" s="80">
        <v>42</v>
      </c>
      <c r="EN27" s="80">
        <v>1153</v>
      </c>
      <c r="EO27" s="80">
        <v>945524</v>
      </c>
      <c r="EP27" s="80">
        <v>465546</v>
      </c>
      <c r="EQ27" s="80">
        <v>30000</v>
      </c>
      <c r="ER27" s="80">
        <v>414825</v>
      </c>
      <c r="ES27" s="80">
        <v>1429</v>
      </c>
      <c r="ET27" s="80">
        <v>367817</v>
      </c>
      <c r="EU27" s="80">
        <v>0</v>
      </c>
      <c r="EV27" s="80">
        <v>45579</v>
      </c>
      <c r="EW27" s="80">
        <v>1784</v>
      </c>
      <c r="EX27" s="80">
        <v>0</v>
      </c>
      <c r="EY27" s="80">
        <v>6532</v>
      </c>
      <c r="EZ27" s="80">
        <v>0</v>
      </c>
      <c r="FA27" s="80">
        <v>0</v>
      </c>
      <c r="FB27" s="80">
        <v>0</v>
      </c>
      <c r="FC27" s="80">
        <v>12405</v>
      </c>
      <c r="FD27" s="80">
        <v>479978</v>
      </c>
      <c r="FE27" s="80">
        <v>0</v>
      </c>
      <c r="FF27" s="80">
        <v>57040</v>
      </c>
      <c r="FG27" s="80">
        <v>5357</v>
      </c>
      <c r="FH27" s="80">
        <v>43560</v>
      </c>
      <c r="FI27" s="80">
        <v>0</v>
      </c>
      <c r="FJ27" s="80">
        <v>8123</v>
      </c>
      <c r="FK27" s="80">
        <v>62</v>
      </c>
      <c r="FL27" s="80">
        <v>111862</v>
      </c>
      <c r="FM27" s="80">
        <v>93639</v>
      </c>
      <c r="FN27" s="80">
        <v>71097</v>
      </c>
      <c r="FO27" s="80">
        <v>12951</v>
      </c>
      <c r="FP27" s="80">
        <v>133327</v>
      </c>
      <c r="FQ27" s="80">
        <v>3521828</v>
      </c>
      <c r="FR27" s="80">
        <v>1120432</v>
      </c>
      <c r="FS27" s="80">
        <v>71536</v>
      </c>
      <c r="FT27" s="100">
        <v>1245879.5314637097</v>
      </c>
      <c r="FU27" s="100"/>
      <c r="FV27" s="100">
        <v>585988</v>
      </c>
      <c r="FW27" s="67">
        <v>123148</v>
      </c>
      <c r="FX27" s="100">
        <f t="shared" si="5"/>
        <v>-487957</v>
      </c>
      <c r="FY27" s="100">
        <f t="shared" si="6"/>
        <v>-1186326</v>
      </c>
      <c r="FZ27" s="100">
        <v>718300.32057057531</v>
      </c>
      <c r="GA27" s="67">
        <v>698369</v>
      </c>
      <c r="GB27" s="58">
        <f t="shared" si="3"/>
        <v>112381</v>
      </c>
      <c r="GC27" s="67">
        <v>126708</v>
      </c>
      <c r="GD27" s="100">
        <v>112675</v>
      </c>
      <c r="GE27" s="100">
        <v>72029</v>
      </c>
      <c r="GF27" s="58">
        <f t="shared" si="4"/>
        <v>40646</v>
      </c>
      <c r="GG27" s="100">
        <v>-791860.15500000003</v>
      </c>
      <c r="GH27" s="100">
        <v>-39295.972850000027</v>
      </c>
      <c r="GI27" s="100">
        <v>122385.73244751431</v>
      </c>
      <c r="GJ27" s="67">
        <f t="shared" si="7"/>
        <v>3560</v>
      </c>
      <c r="GK27" s="67"/>
      <c r="GL27" s="67"/>
      <c r="GM27" s="96"/>
    </row>
    <row r="28" spans="1:195" ht="13.5" customHeight="1" x14ac:dyDescent="0.2">
      <c r="A28" s="74">
        <v>989</v>
      </c>
      <c r="B28" s="75" t="s">
        <v>322</v>
      </c>
      <c r="C28" s="82" t="s">
        <v>322</v>
      </c>
      <c r="D28" s="76"/>
      <c r="E28" s="77" t="s">
        <v>215</v>
      </c>
      <c r="F28" s="78">
        <v>3</v>
      </c>
      <c r="G28" s="79">
        <v>6062</v>
      </c>
      <c r="H28" s="80">
        <v>5774</v>
      </c>
      <c r="I28" s="80">
        <v>1212</v>
      </c>
      <c r="J28" s="80">
        <v>2427</v>
      </c>
      <c r="K28" s="80">
        <v>564</v>
      </c>
      <c r="L28" s="80">
        <v>1571</v>
      </c>
      <c r="M28" s="80">
        <v>0</v>
      </c>
      <c r="N28" s="80">
        <v>0</v>
      </c>
      <c r="O28" s="80">
        <v>43414</v>
      </c>
      <c r="P28" s="80">
        <v>16782</v>
      </c>
      <c r="Q28" s="80">
        <v>12701</v>
      </c>
      <c r="R28" s="80">
        <v>4081</v>
      </c>
      <c r="S28" s="80">
        <v>3391</v>
      </c>
      <c r="T28" s="80">
        <v>690</v>
      </c>
      <c r="U28" s="80">
        <v>21450</v>
      </c>
      <c r="V28" s="80">
        <v>1993</v>
      </c>
      <c r="W28" s="80">
        <v>2155</v>
      </c>
      <c r="X28" s="80">
        <v>1034</v>
      </c>
      <c r="Y28" s="80">
        <v>-37640</v>
      </c>
      <c r="Z28" s="80">
        <v>20717</v>
      </c>
      <c r="AA28" s="80">
        <v>17635</v>
      </c>
      <c r="AB28" s="80">
        <v>1282</v>
      </c>
      <c r="AC28" s="80">
        <v>1800</v>
      </c>
      <c r="AD28" s="80">
        <v>17009</v>
      </c>
      <c r="AE28" s="80">
        <v>15</v>
      </c>
      <c r="AF28" s="80">
        <v>50</v>
      </c>
      <c r="AG28" s="80">
        <v>256</v>
      </c>
      <c r="AH28" s="80">
        <v>0</v>
      </c>
      <c r="AI28" s="80">
        <v>105</v>
      </c>
      <c r="AJ28" s="80">
        <v>186</v>
      </c>
      <c r="AK28" s="80">
        <v>101</v>
      </c>
      <c r="AL28" s="80">
        <v>972</v>
      </c>
      <c r="AM28" s="80">
        <v>972</v>
      </c>
      <c r="AN28" s="80">
        <v>0</v>
      </c>
      <c r="AO28" s="80">
        <v>0</v>
      </c>
      <c r="AP28" s="80">
        <v>0</v>
      </c>
      <c r="AQ28" s="80">
        <v>0</v>
      </c>
      <c r="AR28" s="80">
        <v>-871</v>
      </c>
      <c r="AS28" s="80">
        <v>0</v>
      </c>
      <c r="AT28" s="80">
        <v>0</v>
      </c>
      <c r="AU28" s="80">
        <v>0</v>
      </c>
      <c r="AV28" s="80">
        <v>-871</v>
      </c>
      <c r="AW28" s="81"/>
      <c r="AX28" s="80">
        <v>-120</v>
      </c>
      <c r="AY28" s="80">
        <v>101</v>
      </c>
      <c r="AZ28" s="80">
        <v>0</v>
      </c>
      <c r="BA28" s="80">
        <v>-221</v>
      </c>
      <c r="BB28" s="80">
        <v>-2381</v>
      </c>
      <c r="BC28" s="80">
        <v>2774</v>
      </c>
      <c r="BD28" s="80">
        <v>133</v>
      </c>
      <c r="BE28" s="80">
        <v>260</v>
      </c>
      <c r="BF28" s="80">
        <v>-2501</v>
      </c>
      <c r="BG28" s="80">
        <v>2032</v>
      </c>
      <c r="BH28" s="80">
        <v>398</v>
      </c>
      <c r="BI28" s="80">
        <v>5</v>
      </c>
      <c r="BJ28" s="80">
        <v>403</v>
      </c>
      <c r="BK28" s="80">
        <v>1100</v>
      </c>
      <c r="BL28" s="80">
        <v>0</v>
      </c>
      <c r="BM28" s="80">
        <v>0</v>
      </c>
      <c r="BN28" s="80">
        <v>1100</v>
      </c>
      <c r="BO28" s="80">
        <v>0</v>
      </c>
      <c r="BP28" s="80">
        <v>534</v>
      </c>
      <c r="BQ28" s="80">
        <v>14</v>
      </c>
      <c r="BR28" s="80">
        <v>0</v>
      </c>
      <c r="BS28" s="80">
        <v>141</v>
      </c>
      <c r="BT28" s="80">
        <v>379</v>
      </c>
      <c r="BU28" s="80">
        <v>-469</v>
      </c>
      <c r="BV28" s="80">
        <v>318</v>
      </c>
      <c r="BW28" s="80">
        <v>787</v>
      </c>
      <c r="BX28" s="81"/>
      <c r="BY28" s="80">
        <v>36367</v>
      </c>
      <c r="BZ28" s="80">
        <v>220</v>
      </c>
      <c r="CA28" s="80">
        <v>220</v>
      </c>
      <c r="CB28" s="80">
        <v>0</v>
      </c>
      <c r="CC28" s="80">
        <v>0</v>
      </c>
      <c r="CD28" s="80">
        <v>21406</v>
      </c>
      <c r="CE28" s="80">
        <v>3510</v>
      </c>
      <c r="CF28" s="80">
        <v>10806</v>
      </c>
      <c r="CG28" s="80">
        <v>1132</v>
      </c>
      <c r="CH28" s="80">
        <v>277</v>
      </c>
      <c r="CI28" s="80">
        <v>34</v>
      </c>
      <c r="CJ28" s="80">
        <v>34</v>
      </c>
      <c r="CK28" s="80">
        <v>5647</v>
      </c>
      <c r="CL28" s="80">
        <v>14741</v>
      </c>
      <c r="CM28" s="80">
        <v>12413</v>
      </c>
      <c r="CN28" s="80">
        <v>5341</v>
      </c>
      <c r="CO28" s="80">
        <v>7072</v>
      </c>
      <c r="CP28" s="80">
        <v>0</v>
      </c>
      <c r="CQ28" s="80">
        <v>2321</v>
      </c>
      <c r="CR28" s="80">
        <v>0</v>
      </c>
      <c r="CS28" s="80">
        <v>0</v>
      </c>
      <c r="CT28" s="80">
        <v>2321</v>
      </c>
      <c r="CU28" s="80">
        <v>7</v>
      </c>
      <c r="CV28" s="80">
        <v>32</v>
      </c>
      <c r="CW28" s="80">
        <v>1</v>
      </c>
      <c r="CX28" s="80">
        <v>31</v>
      </c>
      <c r="CY28" s="80">
        <v>0</v>
      </c>
      <c r="CZ28" s="80">
        <v>2389</v>
      </c>
      <c r="DA28" s="80">
        <v>0</v>
      </c>
      <c r="DB28" s="80">
        <v>0</v>
      </c>
      <c r="DC28" s="80">
        <v>0</v>
      </c>
      <c r="DD28" s="80">
        <v>0</v>
      </c>
      <c r="DE28" s="80">
        <v>0</v>
      </c>
      <c r="DF28" s="80">
        <v>0</v>
      </c>
      <c r="DG28" s="80">
        <v>2072</v>
      </c>
      <c r="DH28" s="80">
        <v>0</v>
      </c>
      <c r="DI28" s="80">
        <v>0</v>
      </c>
      <c r="DJ28" s="80">
        <v>0</v>
      </c>
      <c r="DK28" s="80">
        <v>0</v>
      </c>
      <c r="DL28" s="80">
        <v>0</v>
      </c>
      <c r="DM28" s="80">
        <v>2072</v>
      </c>
      <c r="DN28" s="80">
        <v>1601</v>
      </c>
      <c r="DO28" s="80">
        <v>249</v>
      </c>
      <c r="DP28" s="80">
        <v>188</v>
      </c>
      <c r="DQ28" s="80">
        <v>34</v>
      </c>
      <c r="DR28" s="80">
        <v>1</v>
      </c>
      <c r="DS28" s="80">
        <v>1</v>
      </c>
      <c r="DT28" s="80">
        <v>0</v>
      </c>
      <c r="DU28" s="80">
        <v>0</v>
      </c>
      <c r="DV28" s="80">
        <v>0</v>
      </c>
      <c r="DW28" s="80">
        <v>316</v>
      </c>
      <c r="DX28" s="80">
        <v>38788</v>
      </c>
      <c r="DY28" s="80">
        <v>18268</v>
      </c>
      <c r="DZ28" s="80">
        <v>24280</v>
      </c>
      <c r="EA28" s="80">
        <v>0</v>
      </c>
      <c r="EB28" s="80">
        <v>0</v>
      </c>
      <c r="EC28" s="80">
        <v>-5141</v>
      </c>
      <c r="ED28" s="80">
        <v>-871</v>
      </c>
      <c r="EE28" s="80">
        <v>0</v>
      </c>
      <c r="EF28" s="80">
        <v>0</v>
      </c>
      <c r="EG28" s="80">
        <v>0</v>
      </c>
      <c r="EH28" s="80">
        <v>0</v>
      </c>
      <c r="EI28" s="80">
        <v>0</v>
      </c>
      <c r="EJ28" s="80">
        <v>0</v>
      </c>
      <c r="EK28" s="80">
        <v>218</v>
      </c>
      <c r="EL28" s="80">
        <v>1</v>
      </c>
      <c r="EM28" s="80">
        <v>31</v>
      </c>
      <c r="EN28" s="80">
        <v>186</v>
      </c>
      <c r="EO28" s="80">
        <v>20302</v>
      </c>
      <c r="EP28" s="80">
        <v>300</v>
      </c>
      <c r="EQ28" s="80">
        <v>0</v>
      </c>
      <c r="ER28" s="80">
        <v>0</v>
      </c>
      <c r="ES28" s="80">
        <v>0</v>
      </c>
      <c r="ET28" s="80">
        <v>0</v>
      </c>
      <c r="EU28" s="80">
        <v>0</v>
      </c>
      <c r="EV28" s="80">
        <v>0</v>
      </c>
      <c r="EW28" s="80">
        <v>0</v>
      </c>
      <c r="EX28" s="80">
        <v>0</v>
      </c>
      <c r="EY28" s="80">
        <v>0</v>
      </c>
      <c r="EZ28" s="80">
        <v>0</v>
      </c>
      <c r="FA28" s="80">
        <v>300</v>
      </c>
      <c r="FB28" s="80">
        <v>0</v>
      </c>
      <c r="FC28" s="80">
        <v>0</v>
      </c>
      <c r="FD28" s="80">
        <v>20002</v>
      </c>
      <c r="FE28" s="80">
        <v>0</v>
      </c>
      <c r="FF28" s="80">
        <v>15300</v>
      </c>
      <c r="FG28" s="80">
        <v>5300</v>
      </c>
      <c r="FH28" s="80">
        <v>10000</v>
      </c>
      <c r="FI28" s="80">
        <v>0</v>
      </c>
      <c r="FJ28" s="80">
        <v>0</v>
      </c>
      <c r="FK28" s="80">
        <v>0</v>
      </c>
      <c r="FL28" s="80">
        <v>0</v>
      </c>
      <c r="FM28" s="80">
        <v>93</v>
      </c>
      <c r="FN28" s="80">
        <v>2118</v>
      </c>
      <c r="FO28" s="80">
        <v>303</v>
      </c>
      <c r="FP28" s="80">
        <v>2188</v>
      </c>
      <c r="FQ28" s="80">
        <v>38788</v>
      </c>
      <c r="FR28" s="80">
        <v>18979</v>
      </c>
      <c r="FS28" s="80">
        <v>4570</v>
      </c>
      <c r="FT28" s="100">
        <v>16932.645395923606</v>
      </c>
      <c r="FU28" s="100"/>
      <c r="FV28" s="100">
        <v>4436</v>
      </c>
      <c r="FW28" s="67">
        <v>943</v>
      </c>
      <c r="FX28" s="100">
        <f t="shared" si="5"/>
        <v>-29418</v>
      </c>
      <c r="FY28" s="100">
        <f t="shared" si="6"/>
        <v>-36668</v>
      </c>
      <c r="FZ28" s="100">
        <v>24806.288702782746</v>
      </c>
      <c r="GA28" s="67">
        <v>7250</v>
      </c>
      <c r="GB28" s="58">
        <f t="shared" si="3"/>
        <v>2814</v>
      </c>
      <c r="GC28" s="67">
        <v>973</v>
      </c>
      <c r="GD28" s="100">
        <v>2429</v>
      </c>
      <c r="GE28" s="100">
        <v>411</v>
      </c>
      <c r="GF28" s="58">
        <f t="shared" si="4"/>
        <v>2018</v>
      </c>
      <c r="GG28" s="100">
        <v>-9944.32</v>
      </c>
      <c r="GH28" s="100">
        <v>-371.71975000000015</v>
      </c>
      <c r="GI28" s="100">
        <v>-14950.276461729685</v>
      </c>
      <c r="GJ28" s="67">
        <f t="shared" si="7"/>
        <v>30</v>
      </c>
      <c r="GK28" s="67"/>
      <c r="GL28" s="67"/>
      <c r="GM28" s="96"/>
    </row>
    <row r="29" spans="1:195" ht="13.5" customHeight="1" x14ac:dyDescent="0.2">
      <c r="A29" s="74">
        <v>50</v>
      </c>
      <c r="B29" s="75" t="s">
        <v>14</v>
      </c>
      <c r="C29" s="75" t="s">
        <v>14</v>
      </c>
      <c r="D29" s="76"/>
      <c r="E29" s="77" t="s">
        <v>224</v>
      </c>
      <c r="F29" s="78">
        <v>4</v>
      </c>
      <c r="G29" s="79">
        <v>12128</v>
      </c>
      <c r="H29" s="80">
        <v>11873</v>
      </c>
      <c r="I29" s="80">
        <v>4511</v>
      </c>
      <c r="J29" s="80">
        <v>3563</v>
      </c>
      <c r="K29" s="80">
        <v>953</v>
      </c>
      <c r="L29" s="80">
        <v>2846</v>
      </c>
      <c r="M29" s="80">
        <v>0</v>
      </c>
      <c r="N29" s="80">
        <v>0</v>
      </c>
      <c r="O29" s="80">
        <v>77842</v>
      </c>
      <c r="P29" s="80">
        <v>35543</v>
      </c>
      <c r="Q29" s="80">
        <v>27285</v>
      </c>
      <c r="R29" s="80">
        <v>8258</v>
      </c>
      <c r="S29" s="80">
        <v>6761</v>
      </c>
      <c r="T29" s="80">
        <v>1497</v>
      </c>
      <c r="U29" s="80">
        <v>30966</v>
      </c>
      <c r="V29" s="80">
        <v>5397</v>
      </c>
      <c r="W29" s="80">
        <v>4782</v>
      </c>
      <c r="X29" s="80">
        <v>1154</v>
      </c>
      <c r="Y29" s="80">
        <v>-65969</v>
      </c>
      <c r="Z29" s="80">
        <v>45291</v>
      </c>
      <c r="AA29" s="80">
        <v>40489</v>
      </c>
      <c r="AB29" s="80">
        <v>2540</v>
      </c>
      <c r="AC29" s="80">
        <v>2262</v>
      </c>
      <c r="AD29" s="80">
        <v>24045</v>
      </c>
      <c r="AE29" s="80">
        <v>-172</v>
      </c>
      <c r="AF29" s="80">
        <v>22</v>
      </c>
      <c r="AG29" s="80">
        <v>92</v>
      </c>
      <c r="AH29" s="80">
        <v>26</v>
      </c>
      <c r="AI29" s="80">
        <v>282</v>
      </c>
      <c r="AJ29" s="80">
        <v>4</v>
      </c>
      <c r="AK29" s="80">
        <v>3195</v>
      </c>
      <c r="AL29" s="80">
        <v>3302</v>
      </c>
      <c r="AM29" s="80">
        <v>3302</v>
      </c>
      <c r="AN29" s="80">
        <v>0</v>
      </c>
      <c r="AO29" s="80">
        <v>0</v>
      </c>
      <c r="AP29" s="80">
        <v>0</v>
      </c>
      <c r="AQ29" s="80">
        <v>0</v>
      </c>
      <c r="AR29" s="80">
        <v>-107</v>
      </c>
      <c r="AS29" s="80">
        <v>28</v>
      </c>
      <c r="AT29" s="80">
        <v>0</v>
      </c>
      <c r="AU29" s="80">
        <v>0</v>
      </c>
      <c r="AV29" s="80">
        <v>-79</v>
      </c>
      <c r="AW29" s="81"/>
      <c r="AX29" s="80">
        <v>2951</v>
      </c>
      <c r="AY29" s="80">
        <v>3195</v>
      </c>
      <c r="AZ29" s="80">
        <v>0</v>
      </c>
      <c r="BA29" s="80">
        <v>-244</v>
      </c>
      <c r="BB29" s="80">
        <v>-6161</v>
      </c>
      <c r="BC29" s="80">
        <v>7095</v>
      </c>
      <c r="BD29" s="80">
        <v>640</v>
      </c>
      <c r="BE29" s="80">
        <v>294</v>
      </c>
      <c r="BF29" s="80">
        <v>-3210</v>
      </c>
      <c r="BG29" s="80">
        <v>2419</v>
      </c>
      <c r="BH29" s="80">
        <v>408</v>
      </c>
      <c r="BI29" s="80">
        <v>22</v>
      </c>
      <c r="BJ29" s="80">
        <v>430</v>
      </c>
      <c r="BK29" s="80">
        <v>1879</v>
      </c>
      <c r="BL29" s="80">
        <v>6329</v>
      </c>
      <c r="BM29" s="80">
        <v>1850</v>
      </c>
      <c r="BN29" s="80">
        <v>-2600</v>
      </c>
      <c r="BO29" s="80">
        <v>0</v>
      </c>
      <c r="BP29" s="80">
        <v>132</v>
      </c>
      <c r="BQ29" s="80">
        <v>-3</v>
      </c>
      <c r="BR29" s="80">
        <v>9</v>
      </c>
      <c r="BS29" s="80">
        <v>-283</v>
      </c>
      <c r="BT29" s="80">
        <v>409</v>
      </c>
      <c r="BU29" s="80">
        <v>-791</v>
      </c>
      <c r="BV29" s="80">
        <v>1438</v>
      </c>
      <c r="BW29" s="80">
        <v>2229</v>
      </c>
      <c r="BX29" s="81"/>
      <c r="BY29" s="80">
        <v>69961</v>
      </c>
      <c r="BZ29" s="80">
        <v>1739</v>
      </c>
      <c r="CA29" s="80">
        <v>438</v>
      </c>
      <c r="CB29" s="80">
        <v>1301</v>
      </c>
      <c r="CC29" s="80">
        <v>0</v>
      </c>
      <c r="CD29" s="80">
        <v>53190</v>
      </c>
      <c r="CE29" s="80">
        <v>5987</v>
      </c>
      <c r="CF29" s="80">
        <v>22163</v>
      </c>
      <c r="CG29" s="80">
        <v>10837</v>
      </c>
      <c r="CH29" s="80">
        <v>502</v>
      </c>
      <c r="CI29" s="80">
        <v>0</v>
      </c>
      <c r="CJ29" s="80">
        <v>0</v>
      </c>
      <c r="CK29" s="80">
        <v>13701</v>
      </c>
      <c r="CL29" s="80">
        <v>15032</v>
      </c>
      <c r="CM29" s="80">
        <v>10736</v>
      </c>
      <c r="CN29" s="80">
        <v>7587</v>
      </c>
      <c r="CO29" s="80">
        <v>3149</v>
      </c>
      <c r="CP29" s="80">
        <v>0</v>
      </c>
      <c r="CQ29" s="80">
        <v>3883</v>
      </c>
      <c r="CR29" s="80">
        <v>0</v>
      </c>
      <c r="CS29" s="80">
        <v>0</v>
      </c>
      <c r="CT29" s="80">
        <v>3883</v>
      </c>
      <c r="CU29" s="80">
        <v>413</v>
      </c>
      <c r="CV29" s="80">
        <v>26</v>
      </c>
      <c r="CW29" s="80">
        <v>5</v>
      </c>
      <c r="CX29" s="80">
        <v>0</v>
      </c>
      <c r="CY29" s="80">
        <v>21</v>
      </c>
      <c r="CZ29" s="80">
        <v>5346</v>
      </c>
      <c r="DA29" s="80">
        <v>85</v>
      </c>
      <c r="DB29" s="80">
        <v>85</v>
      </c>
      <c r="DC29" s="80">
        <v>0</v>
      </c>
      <c r="DD29" s="80">
        <v>0</v>
      </c>
      <c r="DE29" s="80">
        <v>0</v>
      </c>
      <c r="DF29" s="80">
        <v>0</v>
      </c>
      <c r="DG29" s="80">
        <v>3822</v>
      </c>
      <c r="DH29" s="80">
        <v>68</v>
      </c>
      <c r="DI29" s="80">
        <v>0</v>
      </c>
      <c r="DJ29" s="80">
        <v>14</v>
      </c>
      <c r="DK29" s="80">
        <v>54</v>
      </c>
      <c r="DL29" s="80">
        <v>0</v>
      </c>
      <c r="DM29" s="80">
        <v>3754</v>
      </c>
      <c r="DN29" s="80">
        <v>1873</v>
      </c>
      <c r="DO29" s="80">
        <v>1</v>
      </c>
      <c r="DP29" s="80">
        <v>862</v>
      </c>
      <c r="DQ29" s="80">
        <v>1018</v>
      </c>
      <c r="DR29" s="80">
        <v>0</v>
      </c>
      <c r="DS29" s="80">
        <v>0</v>
      </c>
      <c r="DT29" s="80">
        <v>0</v>
      </c>
      <c r="DU29" s="80">
        <v>0</v>
      </c>
      <c r="DV29" s="80">
        <v>0</v>
      </c>
      <c r="DW29" s="80">
        <v>1439</v>
      </c>
      <c r="DX29" s="80">
        <v>75333</v>
      </c>
      <c r="DY29" s="80">
        <v>35464</v>
      </c>
      <c r="DZ29" s="80">
        <v>29747</v>
      </c>
      <c r="EA29" s="80">
        <v>0</v>
      </c>
      <c r="EB29" s="80">
        <v>0</v>
      </c>
      <c r="EC29" s="80">
        <v>5796</v>
      </c>
      <c r="ED29" s="80">
        <v>-79</v>
      </c>
      <c r="EE29" s="80">
        <v>250</v>
      </c>
      <c r="EF29" s="80">
        <v>250</v>
      </c>
      <c r="EG29" s="80">
        <v>0</v>
      </c>
      <c r="EH29" s="80">
        <v>0</v>
      </c>
      <c r="EI29" s="80">
        <v>0</v>
      </c>
      <c r="EJ29" s="80">
        <v>0</v>
      </c>
      <c r="EK29" s="80">
        <v>26</v>
      </c>
      <c r="EL29" s="80">
        <v>5</v>
      </c>
      <c r="EM29" s="80">
        <v>21</v>
      </c>
      <c r="EN29" s="80">
        <v>0</v>
      </c>
      <c r="EO29" s="80">
        <v>39593</v>
      </c>
      <c r="EP29" s="80">
        <v>18511</v>
      </c>
      <c r="EQ29" s="80">
        <v>0</v>
      </c>
      <c r="ER29" s="80">
        <v>16105</v>
      </c>
      <c r="ES29" s="80">
        <v>14421</v>
      </c>
      <c r="ET29" s="80">
        <v>1684</v>
      </c>
      <c r="EU29" s="80">
        <v>0</v>
      </c>
      <c r="EV29" s="80">
        <v>0</v>
      </c>
      <c r="EW29" s="80">
        <v>190</v>
      </c>
      <c r="EX29" s="80">
        <v>0</v>
      </c>
      <c r="EY29" s="80">
        <v>21</v>
      </c>
      <c r="EZ29" s="80">
        <v>0</v>
      </c>
      <c r="FA29" s="80">
        <v>2195</v>
      </c>
      <c r="FB29" s="80">
        <v>0</v>
      </c>
      <c r="FC29" s="80">
        <v>0</v>
      </c>
      <c r="FD29" s="80">
        <v>21082</v>
      </c>
      <c r="FE29" s="80">
        <v>0</v>
      </c>
      <c r="FF29" s="80">
        <v>10313</v>
      </c>
      <c r="FG29" s="80">
        <v>9997</v>
      </c>
      <c r="FH29" s="80">
        <v>316</v>
      </c>
      <c r="FI29" s="80">
        <v>0</v>
      </c>
      <c r="FJ29" s="80">
        <v>0</v>
      </c>
      <c r="FK29" s="80">
        <v>23</v>
      </c>
      <c r="FL29" s="80">
        <v>0</v>
      </c>
      <c r="FM29" s="80">
        <v>134</v>
      </c>
      <c r="FN29" s="80">
        <v>4401</v>
      </c>
      <c r="FO29" s="80">
        <v>1268</v>
      </c>
      <c r="FP29" s="80">
        <v>4943</v>
      </c>
      <c r="FQ29" s="80">
        <v>75333</v>
      </c>
      <c r="FR29" s="80">
        <v>12839</v>
      </c>
      <c r="FS29" s="80">
        <v>712</v>
      </c>
      <c r="FT29" s="100">
        <v>40144.951233336265</v>
      </c>
      <c r="FU29" s="100"/>
      <c r="FV29" s="100">
        <v>16933</v>
      </c>
      <c r="FW29" s="67">
        <v>3173</v>
      </c>
      <c r="FX29" s="100">
        <f t="shared" si="5"/>
        <v>-41753</v>
      </c>
      <c r="FY29" s="100">
        <f t="shared" si="6"/>
        <v>-62667</v>
      </c>
      <c r="FZ29" s="100">
        <v>42647.795392110682</v>
      </c>
      <c r="GA29" s="67">
        <v>20914</v>
      </c>
      <c r="GB29" s="58">
        <f t="shared" si="3"/>
        <v>3981</v>
      </c>
      <c r="GC29" s="67">
        <v>3300</v>
      </c>
      <c r="GD29" s="100">
        <v>3627</v>
      </c>
      <c r="GE29" s="100">
        <v>833</v>
      </c>
      <c r="GF29" s="58">
        <f t="shared" si="4"/>
        <v>2794</v>
      </c>
      <c r="GG29" s="100">
        <v>-23510.235000000001</v>
      </c>
      <c r="GH29" s="100">
        <v>-692.46340000000043</v>
      </c>
      <c r="GI29" s="100">
        <v>-19140.282628254638</v>
      </c>
      <c r="GJ29" s="67">
        <f t="shared" si="7"/>
        <v>127</v>
      </c>
      <c r="GK29" s="67"/>
      <c r="GL29" s="67"/>
      <c r="GM29" s="96"/>
    </row>
    <row r="30" spans="1:195" ht="13.5" customHeight="1" x14ac:dyDescent="0.2">
      <c r="A30" s="74">
        <v>51</v>
      </c>
      <c r="B30" s="75" t="s">
        <v>225</v>
      </c>
      <c r="C30" s="82" t="s">
        <v>225</v>
      </c>
      <c r="D30" s="76"/>
      <c r="E30" s="77" t="s">
        <v>224</v>
      </c>
      <c r="F30" s="78">
        <v>3</v>
      </c>
      <c r="G30" s="79">
        <v>5938</v>
      </c>
      <c r="H30" s="80">
        <v>5310</v>
      </c>
      <c r="I30" s="80">
        <v>1825</v>
      </c>
      <c r="J30" s="80">
        <v>1382</v>
      </c>
      <c r="K30" s="80">
        <v>435</v>
      </c>
      <c r="L30" s="80">
        <v>1668</v>
      </c>
      <c r="M30" s="80">
        <v>0</v>
      </c>
      <c r="N30" s="80">
        <v>0</v>
      </c>
      <c r="O30" s="80">
        <v>42891</v>
      </c>
      <c r="P30" s="80">
        <v>18564</v>
      </c>
      <c r="Q30" s="80">
        <v>14056</v>
      </c>
      <c r="R30" s="80">
        <v>4508</v>
      </c>
      <c r="S30" s="80">
        <v>3726</v>
      </c>
      <c r="T30" s="80">
        <v>782</v>
      </c>
      <c r="U30" s="80">
        <v>20205</v>
      </c>
      <c r="V30" s="80">
        <v>2358</v>
      </c>
      <c r="W30" s="80">
        <v>1647</v>
      </c>
      <c r="X30" s="80">
        <v>117</v>
      </c>
      <c r="Y30" s="80">
        <v>-37581</v>
      </c>
      <c r="Z30" s="80">
        <v>34546</v>
      </c>
      <c r="AA30" s="80">
        <v>16365</v>
      </c>
      <c r="AB30" s="80">
        <v>2179</v>
      </c>
      <c r="AC30" s="80">
        <v>16002</v>
      </c>
      <c r="AD30" s="80">
        <v>8207</v>
      </c>
      <c r="AE30" s="80">
        <v>1282</v>
      </c>
      <c r="AF30" s="80">
        <v>219</v>
      </c>
      <c r="AG30" s="80">
        <v>2787</v>
      </c>
      <c r="AH30" s="80">
        <v>6</v>
      </c>
      <c r="AI30" s="80">
        <v>27</v>
      </c>
      <c r="AJ30" s="80">
        <v>1697</v>
      </c>
      <c r="AK30" s="80">
        <v>6454</v>
      </c>
      <c r="AL30" s="80">
        <v>3314</v>
      </c>
      <c r="AM30" s="80">
        <v>3314</v>
      </c>
      <c r="AN30" s="80">
        <v>0</v>
      </c>
      <c r="AO30" s="80">
        <v>0</v>
      </c>
      <c r="AP30" s="80">
        <v>0</v>
      </c>
      <c r="AQ30" s="80">
        <v>0</v>
      </c>
      <c r="AR30" s="80">
        <v>3140</v>
      </c>
      <c r="AS30" s="80">
        <v>2</v>
      </c>
      <c r="AT30" s="80">
        <v>0</v>
      </c>
      <c r="AU30" s="80">
        <v>0</v>
      </c>
      <c r="AV30" s="80">
        <v>3142</v>
      </c>
      <c r="AW30" s="81"/>
      <c r="AX30" s="80">
        <v>6264</v>
      </c>
      <c r="AY30" s="80">
        <v>6454</v>
      </c>
      <c r="AZ30" s="80">
        <v>0</v>
      </c>
      <c r="BA30" s="80">
        <v>-190</v>
      </c>
      <c r="BB30" s="80">
        <v>-8130</v>
      </c>
      <c r="BC30" s="80">
        <v>8648</v>
      </c>
      <c r="BD30" s="80">
        <v>0</v>
      </c>
      <c r="BE30" s="80">
        <v>518</v>
      </c>
      <c r="BF30" s="80">
        <v>-1866</v>
      </c>
      <c r="BG30" s="80">
        <v>-973</v>
      </c>
      <c r="BH30" s="80">
        <v>-769</v>
      </c>
      <c r="BI30" s="80">
        <v>1028</v>
      </c>
      <c r="BJ30" s="80">
        <v>259</v>
      </c>
      <c r="BK30" s="80">
        <v>427</v>
      </c>
      <c r="BL30" s="80">
        <v>0</v>
      </c>
      <c r="BM30" s="80">
        <v>419</v>
      </c>
      <c r="BN30" s="80">
        <v>846</v>
      </c>
      <c r="BO30" s="80">
        <v>0</v>
      </c>
      <c r="BP30" s="80">
        <v>-631</v>
      </c>
      <c r="BQ30" s="80">
        <v>-11</v>
      </c>
      <c r="BR30" s="80">
        <v>0</v>
      </c>
      <c r="BS30" s="80">
        <v>-1563</v>
      </c>
      <c r="BT30" s="80">
        <v>943</v>
      </c>
      <c r="BU30" s="80">
        <v>-2839</v>
      </c>
      <c r="BV30" s="80">
        <v>21612</v>
      </c>
      <c r="BW30" s="80">
        <v>24451</v>
      </c>
      <c r="BX30" s="81"/>
      <c r="BY30" s="80">
        <v>70370</v>
      </c>
      <c r="BZ30" s="80">
        <v>23</v>
      </c>
      <c r="CA30" s="80">
        <v>23</v>
      </c>
      <c r="CB30" s="80">
        <v>0</v>
      </c>
      <c r="CC30" s="80">
        <v>0</v>
      </c>
      <c r="CD30" s="80">
        <v>62799</v>
      </c>
      <c r="CE30" s="80">
        <v>4796</v>
      </c>
      <c r="CF30" s="80">
        <v>37815</v>
      </c>
      <c r="CG30" s="80">
        <v>15602</v>
      </c>
      <c r="CH30" s="80">
        <v>770</v>
      </c>
      <c r="CI30" s="80">
        <v>17</v>
      </c>
      <c r="CJ30" s="80">
        <v>0</v>
      </c>
      <c r="CK30" s="80">
        <v>3799</v>
      </c>
      <c r="CL30" s="80">
        <v>7548</v>
      </c>
      <c r="CM30" s="80">
        <v>5499</v>
      </c>
      <c r="CN30" s="80">
        <v>3261</v>
      </c>
      <c r="CO30" s="80">
        <v>2238</v>
      </c>
      <c r="CP30" s="80">
        <v>0</v>
      </c>
      <c r="CQ30" s="80">
        <v>2049</v>
      </c>
      <c r="CR30" s="80">
        <v>0</v>
      </c>
      <c r="CS30" s="80">
        <v>0</v>
      </c>
      <c r="CT30" s="80">
        <v>2049</v>
      </c>
      <c r="CU30" s="80">
        <v>0</v>
      </c>
      <c r="CV30" s="80">
        <v>102</v>
      </c>
      <c r="CW30" s="80">
        <v>0</v>
      </c>
      <c r="CX30" s="80">
        <v>102</v>
      </c>
      <c r="CY30" s="80">
        <v>0</v>
      </c>
      <c r="CZ30" s="80">
        <v>24945</v>
      </c>
      <c r="DA30" s="80">
        <v>0</v>
      </c>
      <c r="DB30" s="80">
        <v>0</v>
      </c>
      <c r="DC30" s="80">
        <v>0</v>
      </c>
      <c r="DD30" s="80">
        <v>0</v>
      </c>
      <c r="DE30" s="80">
        <v>0</v>
      </c>
      <c r="DF30" s="80">
        <v>0</v>
      </c>
      <c r="DG30" s="80">
        <v>3334</v>
      </c>
      <c r="DH30" s="80">
        <v>448</v>
      </c>
      <c r="DI30" s="80">
        <v>0</v>
      </c>
      <c r="DJ30" s="80">
        <v>140</v>
      </c>
      <c r="DK30" s="80">
        <v>308</v>
      </c>
      <c r="DL30" s="80">
        <v>0</v>
      </c>
      <c r="DM30" s="80">
        <v>2886</v>
      </c>
      <c r="DN30" s="80">
        <v>725</v>
      </c>
      <c r="DO30" s="80">
        <v>0</v>
      </c>
      <c r="DP30" s="80">
        <v>480</v>
      </c>
      <c r="DQ30" s="80">
        <v>1681</v>
      </c>
      <c r="DR30" s="80">
        <v>21550</v>
      </c>
      <c r="DS30" s="80">
        <v>0</v>
      </c>
      <c r="DT30" s="80">
        <v>11143</v>
      </c>
      <c r="DU30" s="80">
        <v>10407</v>
      </c>
      <c r="DV30" s="80">
        <v>0</v>
      </c>
      <c r="DW30" s="80">
        <v>61</v>
      </c>
      <c r="DX30" s="80">
        <v>95417</v>
      </c>
      <c r="DY30" s="80">
        <v>83802</v>
      </c>
      <c r="DZ30" s="80">
        <v>13864</v>
      </c>
      <c r="EA30" s="80">
        <v>0</v>
      </c>
      <c r="EB30" s="80">
        <v>0</v>
      </c>
      <c r="EC30" s="80">
        <v>66796</v>
      </c>
      <c r="ED30" s="80">
        <v>3142</v>
      </c>
      <c r="EE30" s="80">
        <v>30</v>
      </c>
      <c r="EF30" s="80">
        <v>30</v>
      </c>
      <c r="EG30" s="80">
        <v>0</v>
      </c>
      <c r="EH30" s="80">
        <v>0</v>
      </c>
      <c r="EI30" s="80">
        <v>0</v>
      </c>
      <c r="EJ30" s="80">
        <v>0</v>
      </c>
      <c r="EK30" s="80">
        <v>195</v>
      </c>
      <c r="EL30" s="80">
        <v>0</v>
      </c>
      <c r="EM30" s="80">
        <v>195</v>
      </c>
      <c r="EN30" s="80">
        <v>0</v>
      </c>
      <c r="EO30" s="80">
        <v>11390</v>
      </c>
      <c r="EP30" s="80">
        <v>3868</v>
      </c>
      <c r="EQ30" s="80">
        <v>0</v>
      </c>
      <c r="ER30" s="80">
        <v>0</v>
      </c>
      <c r="ES30" s="80">
        <v>0</v>
      </c>
      <c r="ET30" s="80">
        <v>0</v>
      </c>
      <c r="EU30" s="80">
        <v>0</v>
      </c>
      <c r="EV30" s="80">
        <v>0</v>
      </c>
      <c r="EW30" s="80">
        <v>0</v>
      </c>
      <c r="EX30" s="80">
        <v>2565</v>
      </c>
      <c r="EY30" s="80">
        <v>0</v>
      </c>
      <c r="EZ30" s="80">
        <v>0</v>
      </c>
      <c r="FA30" s="80">
        <v>1303</v>
      </c>
      <c r="FB30" s="80">
        <v>0</v>
      </c>
      <c r="FC30" s="80">
        <v>0</v>
      </c>
      <c r="FD30" s="80">
        <v>7522</v>
      </c>
      <c r="FE30" s="80">
        <v>0</v>
      </c>
      <c r="FF30" s="80">
        <v>843</v>
      </c>
      <c r="FG30" s="80">
        <v>843</v>
      </c>
      <c r="FH30" s="80">
        <v>0</v>
      </c>
      <c r="FI30" s="80">
        <v>0</v>
      </c>
      <c r="FJ30" s="80">
        <v>0</v>
      </c>
      <c r="FK30" s="80">
        <v>0</v>
      </c>
      <c r="FL30" s="80">
        <v>418</v>
      </c>
      <c r="FM30" s="80">
        <v>11</v>
      </c>
      <c r="FN30" s="80">
        <v>2928</v>
      </c>
      <c r="FO30" s="80">
        <v>378</v>
      </c>
      <c r="FP30" s="80">
        <v>2944</v>
      </c>
      <c r="FQ30" s="80">
        <v>95417</v>
      </c>
      <c r="FR30" s="80">
        <v>217</v>
      </c>
      <c r="FS30" s="80">
        <v>102</v>
      </c>
      <c r="FT30" s="100">
        <v>23403.100973076733</v>
      </c>
      <c r="FU30" s="100"/>
      <c r="FV30" s="100">
        <v>5427</v>
      </c>
      <c r="FW30" s="67">
        <v>3305</v>
      </c>
      <c r="FX30" s="100">
        <f t="shared" si="5"/>
        <v>-27500</v>
      </c>
      <c r="FY30" s="100">
        <f t="shared" si="6"/>
        <v>-34267</v>
      </c>
      <c r="FZ30" s="100">
        <v>19752.521778227325</v>
      </c>
      <c r="GA30" s="67">
        <v>6767</v>
      </c>
      <c r="GB30" s="58">
        <f t="shared" si="3"/>
        <v>1340</v>
      </c>
      <c r="GC30" s="67">
        <v>3314</v>
      </c>
      <c r="GD30" s="100">
        <v>1382</v>
      </c>
      <c r="GE30" s="100">
        <v>594</v>
      </c>
      <c r="GF30" s="58">
        <f t="shared" si="4"/>
        <v>788</v>
      </c>
      <c r="GG30" s="100">
        <v>-11967.992</v>
      </c>
      <c r="GH30" s="100">
        <v>-487.41200000000026</v>
      </c>
      <c r="GI30" s="100">
        <v>-7321.2511060111601</v>
      </c>
      <c r="GJ30" s="67">
        <f t="shared" si="7"/>
        <v>9</v>
      </c>
      <c r="GK30" s="67"/>
      <c r="GL30" s="67"/>
      <c r="GM30" s="96"/>
    </row>
    <row r="31" spans="1:195" ht="13.5" customHeight="1" x14ac:dyDescent="0.2">
      <c r="A31" s="74">
        <v>52</v>
      </c>
      <c r="B31" s="75" t="s">
        <v>15</v>
      </c>
      <c r="C31" s="75" t="s">
        <v>15</v>
      </c>
      <c r="D31" s="76"/>
      <c r="E31" s="77" t="s">
        <v>215</v>
      </c>
      <c r="F31" s="78">
        <v>2</v>
      </c>
      <c r="G31" s="79">
        <v>2576</v>
      </c>
      <c r="H31" s="80">
        <v>1851</v>
      </c>
      <c r="I31" s="80">
        <v>937</v>
      </c>
      <c r="J31" s="80">
        <v>54</v>
      </c>
      <c r="K31" s="80">
        <v>41</v>
      </c>
      <c r="L31" s="80">
        <v>819</v>
      </c>
      <c r="M31" s="80">
        <v>0</v>
      </c>
      <c r="N31" s="80">
        <v>0</v>
      </c>
      <c r="O31" s="80">
        <v>18133</v>
      </c>
      <c r="P31" s="80">
        <v>3951</v>
      </c>
      <c r="Q31" s="80">
        <v>2803</v>
      </c>
      <c r="R31" s="80">
        <v>1148</v>
      </c>
      <c r="S31" s="80">
        <v>1089</v>
      </c>
      <c r="T31" s="80">
        <v>59</v>
      </c>
      <c r="U31" s="80">
        <v>12858</v>
      </c>
      <c r="V31" s="80">
        <v>939</v>
      </c>
      <c r="W31" s="80">
        <v>198</v>
      </c>
      <c r="X31" s="80">
        <v>187</v>
      </c>
      <c r="Y31" s="80">
        <v>-16282</v>
      </c>
      <c r="Z31" s="80">
        <v>8877</v>
      </c>
      <c r="AA31" s="80">
        <v>7048</v>
      </c>
      <c r="AB31" s="80">
        <v>1099</v>
      </c>
      <c r="AC31" s="80">
        <v>730</v>
      </c>
      <c r="AD31" s="80">
        <v>7848</v>
      </c>
      <c r="AE31" s="80">
        <v>49</v>
      </c>
      <c r="AF31" s="80">
        <v>59</v>
      </c>
      <c r="AG31" s="80">
        <v>14</v>
      </c>
      <c r="AH31" s="80">
        <v>0</v>
      </c>
      <c r="AI31" s="80">
        <v>22</v>
      </c>
      <c r="AJ31" s="80">
        <v>2</v>
      </c>
      <c r="AK31" s="80">
        <v>492</v>
      </c>
      <c r="AL31" s="80">
        <v>409</v>
      </c>
      <c r="AM31" s="80">
        <v>409</v>
      </c>
      <c r="AN31" s="80">
        <v>0</v>
      </c>
      <c r="AO31" s="80">
        <v>0</v>
      </c>
      <c r="AP31" s="80">
        <v>0</v>
      </c>
      <c r="AQ31" s="80">
        <v>0</v>
      </c>
      <c r="AR31" s="80">
        <v>83</v>
      </c>
      <c r="AS31" s="80">
        <v>0</v>
      </c>
      <c r="AT31" s="80">
        <v>0</v>
      </c>
      <c r="AU31" s="80">
        <v>0</v>
      </c>
      <c r="AV31" s="80">
        <v>83</v>
      </c>
      <c r="AW31" s="81"/>
      <c r="AX31" s="80">
        <v>485</v>
      </c>
      <c r="AY31" s="80">
        <v>492</v>
      </c>
      <c r="AZ31" s="80">
        <v>0</v>
      </c>
      <c r="BA31" s="80">
        <v>-7</v>
      </c>
      <c r="BB31" s="80">
        <v>-555</v>
      </c>
      <c r="BC31" s="80">
        <v>574</v>
      </c>
      <c r="BD31" s="80">
        <v>0</v>
      </c>
      <c r="BE31" s="80">
        <v>19</v>
      </c>
      <c r="BF31" s="80">
        <v>-70</v>
      </c>
      <c r="BG31" s="80">
        <v>-154</v>
      </c>
      <c r="BH31" s="80">
        <v>7</v>
      </c>
      <c r="BI31" s="80">
        <v>0</v>
      </c>
      <c r="BJ31" s="80">
        <v>7</v>
      </c>
      <c r="BK31" s="80">
        <v>-734</v>
      </c>
      <c r="BL31" s="80">
        <v>0</v>
      </c>
      <c r="BM31" s="80">
        <v>234</v>
      </c>
      <c r="BN31" s="80">
        <v>-500</v>
      </c>
      <c r="BO31" s="80">
        <v>0</v>
      </c>
      <c r="BP31" s="80">
        <v>573</v>
      </c>
      <c r="BQ31" s="80">
        <v>59</v>
      </c>
      <c r="BR31" s="80">
        <v>0</v>
      </c>
      <c r="BS31" s="80">
        <v>19</v>
      </c>
      <c r="BT31" s="80">
        <v>495</v>
      </c>
      <c r="BU31" s="80">
        <v>-224</v>
      </c>
      <c r="BV31" s="80">
        <v>5958</v>
      </c>
      <c r="BW31" s="80">
        <v>6182</v>
      </c>
      <c r="BX31" s="81"/>
      <c r="BY31" s="80">
        <v>12623</v>
      </c>
      <c r="BZ31" s="80">
        <v>171</v>
      </c>
      <c r="CA31" s="80">
        <v>0</v>
      </c>
      <c r="CB31" s="80">
        <v>171</v>
      </c>
      <c r="CC31" s="80">
        <v>0</v>
      </c>
      <c r="CD31" s="80">
        <v>8000</v>
      </c>
      <c r="CE31" s="80">
        <v>1062</v>
      </c>
      <c r="CF31" s="80">
        <v>5573</v>
      </c>
      <c r="CG31" s="80">
        <v>1353</v>
      </c>
      <c r="CH31" s="80">
        <v>4</v>
      </c>
      <c r="CI31" s="80">
        <v>0</v>
      </c>
      <c r="CJ31" s="80">
        <v>0</v>
      </c>
      <c r="CK31" s="80">
        <v>8</v>
      </c>
      <c r="CL31" s="80">
        <v>4452</v>
      </c>
      <c r="CM31" s="80">
        <v>4226</v>
      </c>
      <c r="CN31" s="80">
        <v>1374</v>
      </c>
      <c r="CO31" s="80">
        <v>2852</v>
      </c>
      <c r="CP31" s="80">
        <v>0</v>
      </c>
      <c r="CQ31" s="80">
        <v>214</v>
      </c>
      <c r="CR31" s="80">
        <v>0</v>
      </c>
      <c r="CS31" s="80">
        <v>0</v>
      </c>
      <c r="CT31" s="80">
        <v>214</v>
      </c>
      <c r="CU31" s="80">
        <v>12</v>
      </c>
      <c r="CV31" s="80">
        <v>26</v>
      </c>
      <c r="CW31" s="80">
        <v>0</v>
      </c>
      <c r="CX31" s="80">
        <v>26</v>
      </c>
      <c r="CY31" s="80">
        <v>0</v>
      </c>
      <c r="CZ31" s="80">
        <v>6374</v>
      </c>
      <c r="DA31" s="80">
        <v>0</v>
      </c>
      <c r="DB31" s="80">
        <v>0</v>
      </c>
      <c r="DC31" s="80">
        <v>0</v>
      </c>
      <c r="DD31" s="80">
        <v>0</v>
      </c>
      <c r="DE31" s="80">
        <v>0</v>
      </c>
      <c r="DF31" s="80">
        <v>0</v>
      </c>
      <c r="DG31" s="80">
        <v>415</v>
      </c>
      <c r="DH31" s="80">
        <v>0</v>
      </c>
      <c r="DI31" s="80">
        <v>0</v>
      </c>
      <c r="DJ31" s="80">
        <v>0</v>
      </c>
      <c r="DK31" s="80">
        <v>0</v>
      </c>
      <c r="DL31" s="80">
        <v>0</v>
      </c>
      <c r="DM31" s="80">
        <v>415</v>
      </c>
      <c r="DN31" s="80">
        <v>165</v>
      </c>
      <c r="DO31" s="80">
        <v>0</v>
      </c>
      <c r="DP31" s="80">
        <v>237</v>
      </c>
      <c r="DQ31" s="80">
        <v>13</v>
      </c>
      <c r="DR31" s="80">
        <v>0</v>
      </c>
      <c r="DS31" s="80">
        <v>0</v>
      </c>
      <c r="DT31" s="80">
        <v>0</v>
      </c>
      <c r="DU31" s="80">
        <v>0</v>
      </c>
      <c r="DV31" s="80">
        <v>0</v>
      </c>
      <c r="DW31" s="80">
        <v>5959</v>
      </c>
      <c r="DX31" s="80">
        <v>19023</v>
      </c>
      <c r="DY31" s="80">
        <v>13615</v>
      </c>
      <c r="DZ31" s="80">
        <v>8749</v>
      </c>
      <c r="EA31" s="80">
        <v>0</v>
      </c>
      <c r="EB31" s="80">
        <v>0</v>
      </c>
      <c r="EC31" s="80">
        <v>4783</v>
      </c>
      <c r="ED31" s="80">
        <v>83</v>
      </c>
      <c r="EE31" s="80">
        <v>0</v>
      </c>
      <c r="EF31" s="80">
        <v>0</v>
      </c>
      <c r="EG31" s="80">
        <v>0</v>
      </c>
      <c r="EH31" s="80">
        <v>0</v>
      </c>
      <c r="EI31" s="80">
        <v>0</v>
      </c>
      <c r="EJ31" s="80">
        <v>0</v>
      </c>
      <c r="EK31" s="80">
        <v>135</v>
      </c>
      <c r="EL31" s="80">
        <v>0</v>
      </c>
      <c r="EM31" s="80">
        <v>133</v>
      </c>
      <c r="EN31" s="80">
        <v>2</v>
      </c>
      <c r="EO31" s="80">
        <v>5273</v>
      </c>
      <c r="EP31" s="80">
        <v>0</v>
      </c>
      <c r="EQ31" s="80">
        <v>0</v>
      </c>
      <c r="ER31" s="80">
        <v>0</v>
      </c>
      <c r="ES31" s="80">
        <v>0</v>
      </c>
      <c r="ET31" s="80">
        <v>0</v>
      </c>
      <c r="EU31" s="80">
        <v>0</v>
      </c>
      <c r="EV31" s="80">
        <v>0</v>
      </c>
      <c r="EW31" s="80">
        <v>0</v>
      </c>
      <c r="EX31" s="80">
        <v>0</v>
      </c>
      <c r="EY31" s="80">
        <v>0</v>
      </c>
      <c r="EZ31" s="80">
        <v>0</v>
      </c>
      <c r="FA31" s="80">
        <v>0</v>
      </c>
      <c r="FB31" s="80">
        <v>0</v>
      </c>
      <c r="FC31" s="80">
        <v>0</v>
      </c>
      <c r="FD31" s="80">
        <v>5273</v>
      </c>
      <c r="FE31" s="80">
        <v>0</v>
      </c>
      <c r="FF31" s="80">
        <v>3675</v>
      </c>
      <c r="FG31" s="80">
        <v>0</v>
      </c>
      <c r="FH31" s="80">
        <v>3675</v>
      </c>
      <c r="FI31" s="80">
        <v>0</v>
      </c>
      <c r="FJ31" s="80">
        <v>0</v>
      </c>
      <c r="FK31" s="80">
        <v>0</v>
      </c>
      <c r="FL31" s="80">
        <v>0</v>
      </c>
      <c r="FM31" s="80">
        <v>55</v>
      </c>
      <c r="FN31" s="80">
        <v>1137</v>
      </c>
      <c r="FO31" s="80">
        <v>105</v>
      </c>
      <c r="FP31" s="80">
        <v>301</v>
      </c>
      <c r="FQ31" s="80">
        <v>19023</v>
      </c>
      <c r="FR31" s="80">
        <v>0</v>
      </c>
      <c r="FS31" s="80">
        <v>70</v>
      </c>
      <c r="FT31" s="100">
        <v>7405.353721458684</v>
      </c>
      <c r="FU31" s="100"/>
      <c r="FV31" s="100">
        <v>2062</v>
      </c>
      <c r="FW31" s="67">
        <v>389</v>
      </c>
      <c r="FX31" s="100">
        <f t="shared" si="5"/>
        <v>-13709</v>
      </c>
      <c r="FY31" s="100">
        <f t="shared" si="6"/>
        <v>-15873</v>
      </c>
      <c r="FZ31" s="100">
        <v>10349.333889445179</v>
      </c>
      <c r="GA31" s="67">
        <v>2164</v>
      </c>
      <c r="GB31" s="58">
        <f t="shared" si="3"/>
        <v>102</v>
      </c>
      <c r="GC31" s="67">
        <v>409</v>
      </c>
      <c r="GD31" s="100">
        <v>53</v>
      </c>
      <c r="GE31" s="100">
        <v>53</v>
      </c>
      <c r="GF31" s="58">
        <f t="shared" si="4"/>
        <v>0</v>
      </c>
      <c r="GG31" s="100">
        <v>-3955.0250000000001</v>
      </c>
      <c r="GH31" s="100">
        <v>-300.74070000000006</v>
      </c>
      <c r="GI31" s="100">
        <v>-6407.1954829366678</v>
      </c>
      <c r="GJ31" s="67">
        <f t="shared" si="7"/>
        <v>20</v>
      </c>
      <c r="GK31" s="67"/>
      <c r="GL31" s="67"/>
      <c r="GM31" s="96"/>
    </row>
    <row r="32" spans="1:195" ht="13.5" customHeight="1" x14ac:dyDescent="0.2">
      <c r="A32" s="74">
        <v>61</v>
      </c>
      <c r="B32" s="75" t="s">
        <v>16</v>
      </c>
      <c r="C32" s="75" t="s">
        <v>16</v>
      </c>
      <c r="D32" s="76"/>
      <c r="E32" s="77" t="s">
        <v>226</v>
      </c>
      <c r="F32" s="78">
        <v>4</v>
      </c>
      <c r="G32" s="79">
        <v>17422</v>
      </c>
      <c r="H32" s="80">
        <v>17993</v>
      </c>
      <c r="I32" s="80">
        <v>10094</v>
      </c>
      <c r="J32" s="80">
        <v>1521</v>
      </c>
      <c r="K32" s="80">
        <v>1376</v>
      </c>
      <c r="L32" s="80">
        <v>5002</v>
      </c>
      <c r="M32" s="80">
        <v>0</v>
      </c>
      <c r="N32" s="80">
        <v>0</v>
      </c>
      <c r="O32" s="80">
        <v>110529</v>
      </c>
      <c r="P32" s="80">
        <v>30424</v>
      </c>
      <c r="Q32" s="80">
        <v>22271</v>
      </c>
      <c r="R32" s="80">
        <v>8153</v>
      </c>
      <c r="S32" s="80">
        <v>6912</v>
      </c>
      <c r="T32" s="80">
        <v>1241</v>
      </c>
      <c r="U32" s="80">
        <v>70785</v>
      </c>
      <c r="V32" s="80">
        <v>4352</v>
      </c>
      <c r="W32" s="80">
        <v>2351</v>
      </c>
      <c r="X32" s="80">
        <v>2617</v>
      </c>
      <c r="Y32" s="80">
        <v>-92536</v>
      </c>
      <c r="Z32" s="80">
        <v>59678</v>
      </c>
      <c r="AA32" s="80">
        <v>51849</v>
      </c>
      <c r="AB32" s="80">
        <v>3453</v>
      </c>
      <c r="AC32" s="80">
        <v>4376</v>
      </c>
      <c r="AD32" s="80">
        <v>39859</v>
      </c>
      <c r="AE32" s="80">
        <v>-357</v>
      </c>
      <c r="AF32" s="80">
        <v>24</v>
      </c>
      <c r="AG32" s="80">
        <v>122</v>
      </c>
      <c r="AH32" s="80">
        <v>56</v>
      </c>
      <c r="AI32" s="80">
        <v>499</v>
      </c>
      <c r="AJ32" s="80">
        <v>4</v>
      </c>
      <c r="AK32" s="80">
        <v>6644</v>
      </c>
      <c r="AL32" s="80">
        <v>5985</v>
      </c>
      <c r="AM32" s="80">
        <v>5985</v>
      </c>
      <c r="AN32" s="80">
        <v>0</v>
      </c>
      <c r="AO32" s="80">
        <v>0</v>
      </c>
      <c r="AP32" s="80">
        <v>0</v>
      </c>
      <c r="AQ32" s="80">
        <v>0</v>
      </c>
      <c r="AR32" s="80">
        <v>659</v>
      </c>
      <c r="AS32" s="80">
        <v>113</v>
      </c>
      <c r="AT32" s="80">
        <v>0</v>
      </c>
      <c r="AU32" s="80">
        <v>0</v>
      </c>
      <c r="AV32" s="80">
        <v>772</v>
      </c>
      <c r="AW32" s="81"/>
      <c r="AX32" s="80">
        <v>5295</v>
      </c>
      <c r="AY32" s="80">
        <v>6644</v>
      </c>
      <c r="AZ32" s="80">
        <v>0</v>
      </c>
      <c r="BA32" s="80">
        <v>-1349</v>
      </c>
      <c r="BB32" s="80">
        <v>-8022</v>
      </c>
      <c r="BC32" s="80">
        <v>8867</v>
      </c>
      <c r="BD32" s="80">
        <v>135</v>
      </c>
      <c r="BE32" s="80">
        <v>710</v>
      </c>
      <c r="BF32" s="80">
        <v>-2727</v>
      </c>
      <c r="BG32" s="80">
        <v>6688</v>
      </c>
      <c r="BH32" s="80">
        <v>0</v>
      </c>
      <c r="BI32" s="80">
        <v>0</v>
      </c>
      <c r="BJ32" s="80">
        <v>0</v>
      </c>
      <c r="BK32" s="80">
        <v>7671</v>
      </c>
      <c r="BL32" s="80">
        <v>6500</v>
      </c>
      <c r="BM32" s="80">
        <v>3236</v>
      </c>
      <c r="BN32" s="80">
        <v>4407</v>
      </c>
      <c r="BO32" s="80">
        <v>0</v>
      </c>
      <c r="BP32" s="80">
        <v>-983</v>
      </c>
      <c r="BQ32" s="80">
        <v>85</v>
      </c>
      <c r="BR32" s="80">
        <v>-88</v>
      </c>
      <c r="BS32" s="80">
        <v>-98</v>
      </c>
      <c r="BT32" s="80">
        <v>-882</v>
      </c>
      <c r="BU32" s="80">
        <v>3961</v>
      </c>
      <c r="BV32" s="80">
        <v>16917</v>
      </c>
      <c r="BW32" s="80">
        <v>12956</v>
      </c>
      <c r="BX32" s="81"/>
      <c r="BY32" s="80">
        <v>119455</v>
      </c>
      <c r="BZ32" s="80">
        <v>104</v>
      </c>
      <c r="CA32" s="80">
        <v>45</v>
      </c>
      <c r="CB32" s="80">
        <v>59</v>
      </c>
      <c r="CC32" s="80">
        <v>0</v>
      </c>
      <c r="CD32" s="80">
        <v>85760</v>
      </c>
      <c r="CE32" s="80">
        <v>14200</v>
      </c>
      <c r="CF32" s="80">
        <v>42569</v>
      </c>
      <c r="CG32" s="80">
        <v>21845</v>
      </c>
      <c r="CH32" s="80">
        <v>1371</v>
      </c>
      <c r="CI32" s="80">
        <v>0</v>
      </c>
      <c r="CJ32" s="80">
        <v>0</v>
      </c>
      <c r="CK32" s="80">
        <v>5775</v>
      </c>
      <c r="CL32" s="80">
        <v>33591</v>
      </c>
      <c r="CM32" s="80">
        <v>32513</v>
      </c>
      <c r="CN32" s="80">
        <v>18478</v>
      </c>
      <c r="CO32" s="80">
        <v>14035</v>
      </c>
      <c r="CP32" s="80">
        <v>0</v>
      </c>
      <c r="CQ32" s="80">
        <v>1007</v>
      </c>
      <c r="CR32" s="80">
        <v>0</v>
      </c>
      <c r="CS32" s="80">
        <v>735</v>
      </c>
      <c r="CT32" s="80">
        <v>272</v>
      </c>
      <c r="CU32" s="80">
        <v>71</v>
      </c>
      <c r="CV32" s="80">
        <v>43</v>
      </c>
      <c r="CW32" s="80">
        <v>29</v>
      </c>
      <c r="CX32" s="80">
        <v>14</v>
      </c>
      <c r="CY32" s="80">
        <v>0</v>
      </c>
      <c r="CZ32" s="80">
        <v>23653</v>
      </c>
      <c r="DA32" s="80">
        <v>416</v>
      </c>
      <c r="DB32" s="80">
        <v>376</v>
      </c>
      <c r="DC32" s="80">
        <v>40</v>
      </c>
      <c r="DD32" s="80">
        <v>0</v>
      </c>
      <c r="DE32" s="80">
        <v>0</v>
      </c>
      <c r="DF32" s="80">
        <v>0</v>
      </c>
      <c r="DG32" s="80">
        <v>6321</v>
      </c>
      <c r="DH32" s="80">
        <v>893</v>
      </c>
      <c r="DI32" s="80">
        <v>20</v>
      </c>
      <c r="DJ32" s="80">
        <v>109</v>
      </c>
      <c r="DK32" s="80">
        <v>764</v>
      </c>
      <c r="DL32" s="80">
        <v>0</v>
      </c>
      <c r="DM32" s="80">
        <v>5428</v>
      </c>
      <c r="DN32" s="80">
        <v>1971</v>
      </c>
      <c r="DO32" s="80">
        <v>1219</v>
      </c>
      <c r="DP32" s="80">
        <v>1060</v>
      </c>
      <c r="DQ32" s="80">
        <v>1178</v>
      </c>
      <c r="DR32" s="80">
        <v>168</v>
      </c>
      <c r="DS32" s="80">
        <v>168</v>
      </c>
      <c r="DT32" s="80">
        <v>0</v>
      </c>
      <c r="DU32" s="80">
        <v>0</v>
      </c>
      <c r="DV32" s="80">
        <v>0</v>
      </c>
      <c r="DW32" s="80">
        <v>16748</v>
      </c>
      <c r="DX32" s="80">
        <v>143151</v>
      </c>
      <c r="DY32" s="80">
        <v>74090</v>
      </c>
      <c r="DZ32" s="80">
        <v>65532</v>
      </c>
      <c r="EA32" s="80">
        <v>0</v>
      </c>
      <c r="EB32" s="80">
        <v>0</v>
      </c>
      <c r="EC32" s="80">
        <v>7786</v>
      </c>
      <c r="ED32" s="80">
        <v>772</v>
      </c>
      <c r="EE32" s="80">
        <v>5754</v>
      </c>
      <c r="EF32" s="80">
        <v>2254</v>
      </c>
      <c r="EG32" s="80">
        <v>3500</v>
      </c>
      <c r="EH32" s="80">
        <v>9245</v>
      </c>
      <c r="EI32" s="80">
        <v>0</v>
      </c>
      <c r="EJ32" s="80">
        <v>9245</v>
      </c>
      <c r="EK32" s="80">
        <v>294</v>
      </c>
      <c r="EL32" s="80">
        <v>29</v>
      </c>
      <c r="EM32" s="80">
        <v>217</v>
      </c>
      <c r="EN32" s="80">
        <v>48</v>
      </c>
      <c r="EO32" s="80">
        <v>53768</v>
      </c>
      <c r="EP32" s="80">
        <v>24081</v>
      </c>
      <c r="EQ32" s="80">
        <v>0</v>
      </c>
      <c r="ER32" s="80">
        <v>21788</v>
      </c>
      <c r="ES32" s="80">
        <v>6526</v>
      </c>
      <c r="ET32" s="80">
        <v>15262</v>
      </c>
      <c r="EU32" s="80">
        <v>0</v>
      </c>
      <c r="EV32" s="80">
        <v>0</v>
      </c>
      <c r="EW32" s="80">
        <v>921</v>
      </c>
      <c r="EX32" s="80">
        <v>0</v>
      </c>
      <c r="EY32" s="80">
        <v>0</v>
      </c>
      <c r="EZ32" s="80">
        <v>0</v>
      </c>
      <c r="FA32" s="80">
        <v>2</v>
      </c>
      <c r="FB32" s="80">
        <v>0</v>
      </c>
      <c r="FC32" s="80">
        <v>1370</v>
      </c>
      <c r="FD32" s="80">
        <v>29687</v>
      </c>
      <c r="FE32" s="80">
        <v>0</v>
      </c>
      <c r="FF32" s="80">
        <v>6698</v>
      </c>
      <c r="FG32" s="80">
        <v>4480</v>
      </c>
      <c r="FH32" s="80">
        <v>2218</v>
      </c>
      <c r="FI32" s="80">
        <v>0</v>
      </c>
      <c r="FJ32" s="80">
        <v>0</v>
      </c>
      <c r="FK32" s="80">
        <v>12774</v>
      </c>
      <c r="FL32" s="80">
        <v>2305</v>
      </c>
      <c r="FM32" s="80">
        <v>9</v>
      </c>
      <c r="FN32" s="80">
        <v>2075</v>
      </c>
      <c r="FO32" s="80">
        <v>637</v>
      </c>
      <c r="FP32" s="80">
        <v>5189</v>
      </c>
      <c r="FQ32" s="80">
        <v>143151</v>
      </c>
      <c r="FR32" s="80">
        <v>24821</v>
      </c>
      <c r="FS32" s="80">
        <v>1097</v>
      </c>
      <c r="FT32" s="100">
        <v>59083.648841157563</v>
      </c>
      <c r="FU32" s="100"/>
      <c r="FV32" s="100">
        <v>26101</v>
      </c>
      <c r="FW32" s="67">
        <v>5976</v>
      </c>
      <c r="FX32" s="100">
        <f t="shared" si="5"/>
        <v>-59803</v>
      </c>
      <c r="FY32" s="100">
        <f t="shared" si="6"/>
        <v>-86551</v>
      </c>
      <c r="FZ32" s="100">
        <v>59476.419244060278</v>
      </c>
      <c r="GA32" s="67">
        <v>26748</v>
      </c>
      <c r="GB32" s="58">
        <f t="shared" si="3"/>
        <v>647</v>
      </c>
      <c r="GC32" s="67">
        <v>5985</v>
      </c>
      <c r="GD32" s="100">
        <v>1531</v>
      </c>
      <c r="GE32" s="100">
        <v>1531</v>
      </c>
      <c r="GF32" s="58">
        <f t="shared" si="4"/>
        <v>0</v>
      </c>
      <c r="GG32" s="100">
        <v>-31140.324000000001</v>
      </c>
      <c r="GH32" s="100">
        <v>-1029.1078000000002</v>
      </c>
      <c r="GI32" s="100">
        <v>-27554.182386604425</v>
      </c>
      <c r="GJ32" s="67">
        <f t="shared" si="7"/>
        <v>9</v>
      </c>
      <c r="GK32" s="67"/>
      <c r="GL32" s="67"/>
      <c r="GM32" s="96"/>
    </row>
    <row r="33" spans="1:195" ht="13.5" customHeight="1" x14ac:dyDescent="0.2">
      <c r="A33" s="74">
        <v>75</v>
      </c>
      <c r="B33" s="75" t="s">
        <v>229</v>
      </c>
      <c r="C33" s="82" t="s">
        <v>229</v>
      </c>
      <c r="D33" s="76"/>
      <c r="E33" s="77" t="s">
        <v>230</v>
      </c>
      <c r="F33" s="78">
        <v>5</v>
      </c>
      <c r="G33" s="79">
        <v>20851</v>
      </c>
      <c r="H33" s="80">
        <v>30452</v>
      </c>
      <c r="I33" s="80">
        <v>9625</v>
      </c>
      <c r="J33" s="80">
        <v>6716</v>
      </c>
      <c r="K33" s="80">
        <v>2786</v>
      </c>
      <c r="L33" s="80">
        <v>11325</v>
      </c>
      <c r="M33" s="80">
        <v>0</v>
      </c>
      <c r="N33" s="80">
        <v>529</v>
      </c>
      <c r="O33" s="80">
        <v>138906</v>
      </c>
      <c r="P33" s="80">
        <v>61405</v>
      </c>
      <c r="Q33" s="80">
        <v>46342</v>
      </c>
      <c r="R33" s="80">
        <v>15063</v>
      </c>
      <c r="S33" s="80">
        <v>12382</v>
      </c>
      <c r="T33" s="80">
        <v>2681</v>
      </c>
      <c r="U33" s="80">
        <v>53004</v>
      </c>
      <c r="V33" s="80">
        <v>9276</v>
      </c>
      <c r="W33" s="80">
        <v>11154</v>
      </c>
      <c r="X33" s="80">
        <v>4067</v>
      </c>
      <c r="Y33" s="80">
        <v>-107925</v>
      </c>
      <c r="Z33" s="80">
        <v>83054</v>
      </c>
      <c r="AA33" s="80">
        <v>72430</v>
      </c>
      <c r="AB33" s="80">
        <v>4856</v>
      </c>
      <c r="AC33" s="80">
        <v>5768</v>
      </c>
      <c r="AD33" s="80">
        <v>34183</v>
      </c>
      <c r="AE33" s="80">
        <v>1456</v>
      </c>
      <c r="AF33" s="80">
        <v>528</v>
      </c>
      <c r="AG33" s="80">
        <v>2153</v>
      </c>
      <c r="AH33" s="80">
        <v>2139</v>
      </c>
      <c r="AI33" s="80">
        <v>1193</v>
      </c>
      <c r="AJ33" s="80">
        <v>32</v>
      </c>
      <c r="AK33" s="80">
        <v>10768</v>
      </c>
      <c r="AL33" s="80">
        <v>9510</v>
      </c>
      <c r="AM33" s="80">
        <v>9510</v>
      </c>
      <c r="AN33" s="80">
        <v>0</v>
      </c>
      <c r="AO33" s="80">
        <v>0</v>
      </c>
      <c r="AP33" s="80">
        <v>0</v>
      </c>
      <c r="AQ33" s="80">
        <v>0</v>
      </c>
      <c r="AR33" s="80">
        <v>1258</v>
      </c>
      <c r="AS33" s="80">
        <v>0</v>
      </c>
      <c r="AT33" s="80">
        <v>0</v>
      </c>
      <c r="AU33" s="80">
        <v>0</v>
      </c>
      <c r="AV33" s="80">
        <v>1258</v>
      </c>
      <c r="AW33" s="81"/>
      <c r="AX33" s="80">
        <v>10316</v>
      </c>
      <c r="AY33" s="80">
        <v>10768</v>
      </c>
      <c r="AZ33" s="80">
        <v>0</v>
      </c>
      <c r="BA33" s="80">
        <v>-452</v>
      </c>
      <c r="BB33" s="80">
        <v>-10583</v>
      </c>
      <c r="BC33" s="80">
        <v>11673</v>
      </c>
      <c r="BD33" s="80">
        <v>88</v>
      </c>
      <c r="BE33" s="80">
        <v>1002</v>
      </c>
      <c r="BF33" s="80">
        <v>-267</v>
      </c>
      <c r="BG33" s="80">
        <v>315</v>
      </c>
      <c r="BH33" s="80">
        <v>-4964</v>
      </c>
      <c r="BI33" s="80">
        <v>5024</v>
      </c>
      <c r="BJ33" s="80">
        <v>60</v>
      </c>
      <c r="BK33" s="80">
        <v>4832</v>
      </c>
      <c r="BL33" s="80">
        <v>14500</v>
      </c>
      <c r="BM33" s="80">
        <v>9974</v>
      </c>
      <c r="BN33" s="80">
        <v>306</v>
      </c>
      <c r="BO33" s="80">
        <v>0</v>
      </c>
      <c r="BP33" s="80">
        <v>447</v>
      </c>
      <c r="BQ33" s="80">
        <v>8</v>
      </c>
      <c r="BR33" s="80">
        <v>-7</v>
      </c>
      <c r="BS33" s="80">
        <v>634</v>
      </c>
      <c r="BT33" s="80">
        <v>-188</v>
      </c>
      <c r="BU33" s="80">
        <v>49</v>
      </c>
      <c r="BV33" s="80">
        <v>7993</v>
      </c>
      <c r="BW33" s="80">
        <v>7944</v>
      </c>
      <c r="BX33" s="81"/>
      <c r="BY33" s="80">
        <v>186043</v>
      </c>
      <c r="BZ33" s="80">
        <v>889</v>
      </c>
      <c r="CA33" s="80">
        <v>334</v>
      </c>
      <c r="CB33" s="80">
        <v>433</v>
      </c>
      <c r="CC33" s="80">
        <v>122</v>
      </c>
      <c r="CD33" s="80">
        <v>122586</v>
      </c>
      <c r="CE33" s="80">
        <v>29559</v>
      </c>
      <c r="CF33" s="80">
        <v>47459</v>
      </c>
      <c r="CG33" s="80">
        <v>39988</v>
      </c>
      <c r="CH33" s="80">
        <v>887</v>
      </c>
      <c r="CI33" s="80">
        <v>0</v>
      </c>
      <c r="CJ33" s="80">
        <v>0</v>
      </c>
      <c r="CK33" s="80">
        <v>4693</v>
      </c>
      <c r="CL33" s="80">
        <v>62568</v>
      </c>
      <c r="CM33" s="80">
        <v>46505</v>
      </c>
      <c r="CN33" s="80">
        <v>13220</v>
      </c>
      <c r="CO33" s="80">
        <v>33285</v>
      </c>
      <c r="CP33" s="80">
        <v>0</v>
      </c>
      <c r="CQ33" s="80">
        <v>15946</v>
      </c>
      <c r="CR33" s="80">
        <v>0</v>
      </c>
      <c r="CS33" s="80">
        <v>0</v>
      </c>
      <c r="CT33" s="80">
        <v>15946</v>
      </c>
      <c r="CU33" s="80">
        <v>117</v>
      </c>
      <c r="CV33" s="80">
        <v>128</v>
      </c>
      <c r="CW33" s="80">
        <v>0</v>
      </c>
      <c r="CX33" s="80">
        <v>128</v>
      </c>
      <c r="CY33" s="80">
        <v>0</v>
      </c>
      <c r="CZ33" s="80">
        <v>14496</v>
      </c>
      <c r="DA33" s="80">
        <v>255</v>
      </c>
      <c r="DB33" s="80">
        <v>255</v>
      </c>
      <c r="DC33" s="80">
        <v>0</v>
      </c>
      <c r="DD33" s="80">
        <v>0</v>
      </c>
      <c r="DE33" s="80">
        <v>0</v>
      </c>
      <c r="DF33" s="80">
        <v>0</v>
      </c>
      <c r="DG33" s="80">
        <v>6248</v>
      </c>
      <c r="DH33" s="80">
        <v>1198</v>
      </c>
      <c r="DI33" s="80">
        <v>0</v>
      </c>
      <c r="DJ33" s="80">
        <v>0</v>
      </c>
      <c r="DK33" s="80">
        <v>1198</v>
      </c>
      <c r="DL33" s="80">
        <v>0</v>
      </c>
      <c r="DM33" s="80">
        <v>5050</v>
      </c>
      <c r="DN33" s="80">
        <v>2198</v>
      </c>
      <c r="DO33" s="80">
        <v>232</v>
      </c>
      <c r="DP33" s="80">
        <v>1861</v>
      </c>
      <c r="DQ33" s="80">
        <v>759</v>
      </c>
      <c r="DR33" s="80">
        <v>0</v>
      </c>
      <c r="DS33" s="80">
        <v>0</v>
      </c>
      <c r="DT33" s="80">
        <v>0</v>
      </c>
      <c r="DU33" s="80">
        <v>0</v>
      </c>
      <c r="DV33" s="80">
        <v>0</v>
      </c>
      <c r="DW33" s="80">
        <v>7993</v>
      </c>
      <c r="DX33" s="80">
        <v>200667</v>
      </c>
      <c r="DY33" s="80">
        <v>90076</v>
      </c>
      <c r="DZ33" s="80">
        <v>85276</v>
      </c>
      <c r="EA33" s="80">
        <v>5428</v>
      </c>
      <c r="EB33" s="80">
        <v>476</v>
      </c>
      <c r="EC33" s="80">
        <v>-2362</v>
      </c>
      <c r="ED33" s="80">
        <v>1258</v>
      </c>
      <c r="EE33" s="80">
        <v>0</v>
      </c>
      <c r="EF33" s="80">
        <v>0</v>
      </c>
      <c r="EG33" s="80">
        <v>0</v>
      </c>
      <c r="EH33" s="80">
        <v>1722</v>
      </c>
      <c r="EI33" s="80">
        <v>65</v>
      </c>
      <c r="EJ33" s="80">
        <v>1657</v>
      </c>
      <c r="EK33" s="80">
        <v>323</v>
      </c>
      <c r="EL33" s="80">
        <v>32</v>
      </c>
      <c r="EM33" s="80">
        <v>291</v>
      </c>
      <c r="EN33" s="80">
        <v>0</v>
      </c>
      <c r="EO33" s="80">
        <v>108546</v>
      </c>
      <c r="EP33" s="80">
        <v>74798</v>
      </c>
      <c r="EQ33" s="80">
        <v>0</v>
      </c>
      <c r="ER33" s="80">
        <v>66364</v>
      </c>
      <c r="ES33" s="80">
        <v>23420</v>
      </c>
      <c r="ET33" s="80">
        <v>42944</v>
      </c>
      <c r="EU33" s="80">
        <v>0</v>
      </c>
      <c r="EV33" s="80">
        <v>0</v>
      </c>
      <c r="EW33" s="80">
        <v>2026</v>
      </c>
      <c r="EX33" s="80">
        <v>0</v>
      </c>
      <c r="EY33" s="80">
        <v>0</v>
      </c>
      <c r="EZ33" s="80">
        <v>0</v>
      </c>
      <c r="FA33" s="80">
        <v>6408</v>
      </c>
      <c r="FB33" s="80">
        <v>0</v>
      </c>
      <c r="FC33" s="80">
        <v>0</v>
      </c>
      <c r="FD33" s="80">
        <v>33748</v>
      </c>
      <c r="FE33" s="80">
        <v>0</v>
      </c>
      <c r="FF33" s="80">
        <v>10734</v>
      </c>
      <c r="FG33" s="80">
        <v>5024</v>
      </c>
      <c r="FH33" s="80">
        <v>5710</v>
      </c>
      <c r="FI33" s="80">
        <v>0</v>
      </c>
      <c r="FJ33" s="80">
        <v>0</v>
      </c>
      <c r="FK33" s="80">
        <v>721</v>
      </c>
      <c r="FL33" s="80">
        <v>2354</v>
      </c>
      <c r="FM33" s="80">
        <v>9</v>
      </c>
      <c r="FN33" s="80">
        <v>7039</v>
      </c>
      <c r="FO33" s="80">
        <v>3497</v>
      </c>
      <c r="FP33" s="80">
        <v>9394</v>
      </c>
      <c r="FQ33" s="80">
        <v>200667</v>
      </c>
      <c r="FR33" s="80">
        <v>91122</v>
      </c>
      <c r="FS33" s="80">
        <v>2160</v>
      </c>
      <c r="FT33" s="100">
        <v>74508.519426199258</v>
      </c>
      <c r="FU33" s="100"/>
      <c r="FV33" s="100">
        <v>41708</v>
      </c>
      <c r="FW33" s="67">
        <v>9297</v>
      </c>
      <c r="FX33" s="100">
        <f t="shared" si="5"/>
        <v>-48197</v>
      </c>
      <c r="FY33" s="100">
        <f t="shared" si="6"/>
        <v>-98415</v>
      </c>
      <c r="FZ33" s="100">
        <v>75257.56603202605</v>
      </c>
      <c r="GA33" s="67">
        <v>50218</v>
      </c>
      <c r="GB33" s="58">
        <f t="shared" si="3"/>
        <v>8510</v>
      </c>
      <c r="GC33" s="67">
        <v>9506</v>
      </c>
      <c r="GD33" s="100">
        <v>6725</v>
      </c>
      <c r="GE33" s="100">
        <v>1580</v>
      </c>
      <c r="GF33" s="58">
        <f t="shared" si="4"/>
        <v>5145</v>
      </c>
      <c r="GG33" s="100">
        <v>-41647.595999999998</v>
      </c>
      <c r="GH33" s="100">
        <v>-1387.886050000001</v>
      </c>
      <c r="GI33" s="100">
        <v>-33036.302173509263</v>
      </c>
      <c r="GJ33" s="67">
        <f t="shared" si="7"/>
        <v>209</v>
      </c>
      <c r="GK33" s="67"/>
      <c r="GL33" s="67"/>
      <c r="GM33" s="96"/>
    </row>
    <row r="34" spans="1:195" ht="13.5" customHeight="1" x14ac:dyDescent="0.2">
      <c r="A34" s="74">
        <v>235</v>
      </c>
      <c r="B34" s="75" t="s">
        <v>258</v>
      </c>
      <c r="C34" s="82" t="s">
        <v>258</v>
      </c>
      <c r="D34" s="76"/>
      <c r="E34" s="77" t="s">
        <v>218</v>
      </c>
      <c r="F34" s="78">
        <v>3</v>
      </c>
      <c r="G34" s="79">
        <v>9486</v>
      </c>
      <c r="H34" s="80">
        <v>18505</v>
      </c>
      <c r="I34" s="80">
        <v>4400</v>
      </c>
      <c r="J34" s="80">
        <v>4213</v>
      </c>
      <c r="K34" s="80">
        <v>1016</v>
      </c>
      <c r="L34" s="80">
        <v>8876</v>
      </c>
      <c r="M34" s="80">
        <v>0</v>
      </c>
      <c r="N34" s="80">
        <v>0</v>
      </c>
      <c r="O34" s="80">
        <v>70562</v>
      </c>
      <c r="P34" s="80">
        <v>34389</v>
      </c>
      <c r="Q34" s="80">
        <v>27008</v>
      </c>
      <c r="R34" s="80">
        <v>7381</v>
      </c>
      <c r="S34" s="80">
        <v>6136</v>
      </c>
      <c r="T34" s="80">
        <v>1245</v>
      </c>
      <c r="U34" s="80">
        <v>26730</v>
      </c>
      <c r="V34" s="80">
        <v>4893</v>
      </c>
      <c r="W34" s="80">
        <v>3647</v>
      </c>
      <c r="X34" s="80">
        <v>903</v>
      </c>
      <c r="Y34" s="80">
        <v>-52057</v>
      </c>
      <c r="Z34" s="80">
        <v>59940</v>
      </c>
      <c r="AA34" s="80">
        <v>54761</v>
      </c>
      <c r="AB34" s="80">
        <v>1354</v>
      </c>
      <c r="AC34" s="80">
        <v>3825</v>
      </c>
      <c r="AD34" s="80">
        <v>325</v>
      </c>
      <c r="AE34" s="80">
        <v>379</v>
      </c>
      <c r="AF34" s="80">
        <v>269</v>
      </c>
      <c r="AG34" s="80">
        <v>115</v>
      </c>
      <c r="AH34" s="80">
        <v>18</v>
      </c>
      <c r="AI34" s="80">
        <v>2</v>
      </c>
      <c r="AJ34" s="80">
        <v>3</v>
      </c>
      <c r="AK34" s="80">
        <v>8587</v>
      </c>
      <c r="AL34" s="80">
        <v>6996</v>
      </c>
      <c r="AM34" s="80">
        <v>6996</v>
      </c>
      <c r="AN34" s="80">
        <v>0</v>
      </c>
      <c r="AO34" s="80">
        <v>0</v>
      </c>
      <c r="AP34" s="80">
        <v>0</v>
      </c>
      <c r="AQ34" s="80">
        <v>0</v>
      </c>
      <c r="AR34" s="80">
        <v>1591</v>
      </c>
      <c r="AS34" s="80">
        <v>0</v>
      </c>
      <c r="AT34" s="80">
        <v>0</v>
      </c>
      <c r="AU34" s="80">
        <v>0</v>
      </c>
      <c r="AV34" s="80">
        <v>1591</v>
      </c>
      <c r="AW34" s="81"/>
      <c r="AX34" s="80">
        <v>1640</v>
      </c>
      <c r="AY34" s="80">
        <v>8587</v>
      </c>
      <c r="AZ34" s="80">
        <v>0</v>
      </c>
      <c r="BA34" s="80">
        <v>-6947</v>
      </c>
      <c r="BB34" s="80">
        <v>1689</v>
      </c>
      <c r="BC34" s="80">
        <v>5783</v>
      </c>
      <c r="BD34" s="80">
        <v>0</v>
      </c>
      <c r="BE34" s="80">
        <v>7472</v>
      </c>
      <c r="BF34" s="80">
        <v>3329</v>
      </c>
      <c r="BG34" s="80">
        <v>-2594</v>
      </c>
      <c r="BH34" s="80">
        <v>418</v>
      </c>
      <c r="BI34" s="80">
        <v>0</v>
      </c>
      <c r="BJ34" s="80">
        <v>418</v>
      </c>
      <c r="BK34" s="80">
        <v>-4000</v>
      </c>
      <c r="BL34" s="80">
        <v>0</v>
      </c>
      <c r="BM34" s="80">
        <v>0</v>
      </c>
      <c r="BN34" s="80">
        <v>-4000</v>
      </c>
      <c r="BO34" s="80">
        <v>0</v>
      </c>
      <c r="BP34" s="80">
        <v>988</v>
      </c>
      <c r="BQ34" s="80">
        <v>-3</v>
      </c>
      <c r="BR34" s="80">
        <v>0</v>
      </c>
      <c r="BS34" s="80">
        <v>170</v>
      </c>
      <c r="BT34" s="80">
        <v>821</v>
      </c>
      <c r="BU34" s="80">
        <v>734</v>
      </c>
      <c r="BV34" s="80">
        <v>4927</v>
      </c>
      <c r="BW34" s="80">
        <v>4193</v>
      </c>
      <c r="BX34" s="81"/>
      <c r="BY34" s="80">
        <v>94012</v>
      </c>
      <c r="BZ34" s="80">
        <v>660</v>
      </c>
      <c r="CA34" s="80">
        <v>486</v>
      </c>
      <c r="CB34" s="80">
        <v>174</v>
      </c>
      <c r="CC34" s="80">
        <v>0</v>
      </c>
      <c r="CD34" s="80">
        <v>80715</v>
      </c>
      <c r="CE34" s="80">
        <v>15090</v>
      </c>
      <c r="CF34" s="80">
        <v>51341</v>
      </c>
      <c r="CG34" s="80">
        <v>8630</v>
      </c>
      <c r="CH34" s="80">
        <v>1944</v>
      </c>
      <c r="CI34" s="80">
        <v>0</v>
      </c>
      <c r="CJ34" s="80">
        <v>0</v>
      </c>
      <c r="CK34" s="80">
        <v>3710</v>
      </c>
      <c r="CL34" s="80">
        <v>12637</v>
      </c>
      <c r="CM34" s="80">
        <v>7017</v>
      </c>
      <c r="CN34" s="80">
        <v>5130</v>
      </c>
      <c r="CO34" s="80">
        <v>1887</v>
      </c>
      <c r="CP34" s="80">
        <v>0</v>
      </c>
      <c r="CQ34" s="80">
        <v>5620</v>
      </c>
      <c r="CR34" s="80">
        <v>0</v>
      </c>
      <c r="CS34" s="80">
        <v>4386</v>
      </c>
      <c r="CT34" s="80">
        <v>1234</v>
      </c>
      <c r="CU34" s="80">
        <v>0</v>
      </c>
      <c r="CV34" s="80">
        <v>0</v>
      </c>
      <c r="CW34" s="80">
        <v>0</v>
      </c>
      <c r="CX34" s="80">
        <v>0</v>
      </c>
      <c r="CY34" s="80">
        <v>0</v>
      </c>
      <c r="CZ34" s="80">
        <v>7589</v>
      </c>
      <c r="DA34" s="80">
        <v>0</v>
      </c>
      <c r="DB34" s="80">
        <v>0</v>
      </c>
      <c r="DC34" s="80">
        <v>0</v>
      </c>
      <c r="DD34" s="80">
        <v>0</v>
      </c>
      <c r="DE34" s="80">
        <v>0</v>
      </c>
      <c r="DF34" s="80">
        <v>0</v>
      </c>
      <c r="DG34" s="80">
        <v>2662</v>
      </c>
      <c r="DH34" s="80">
        <v>0</v>
      </c>
      <c r="DI34" s="80">
        <v>0</v>
      </c>
      <c r="DJ34" s="80">
        <v>0</v>
      </c>
      <c r="DK34" s="80">
        <v>0</v>
      </c>
      <c r="DL34" s="80">
        <v>0</v>
      </c>
      <c r="DM34" s="80">
        <v>2662</v>
      </c>
      <c r="DN34" s="80">
        <v>1305</v>
      </c>
      <c r="DO34" s="80">
        <v>0</v>
      </c>
      <c r="DP34" s="80">
        <v>1005</v>
      </c>
      <c r="DQ34" s="80">
        <v>352</v>
      </c>
      <c r="DR34" s="80">
        <v>65</v>
      </c>
      <c r="DS34" s="80">
        <v>65</v>
      </c>
      <c r="DT34" s="80">
        <v>0</v>
      </c>
      <c r="DU34" s="80">
        <v>0</v>
      </c>
      <c r="DV34" s="80">
        <v>0</v>
      </c>
      <c r="DW34" s="80">
        <v>4862</v>
      </c>
      <c r="DX34" s="80">
        <v>101601</v>
      </c>
      <c r="DY34" s="80">
        <v>91575</v>
      </c>
      <c r="DZ34" s="80">
        <v>46252</v>
      </c>
      <c r="EA34" s="80">
        <v>0</v>
      </c>
      <c r="EB34" s="80">
        <v>6223</v>
      </c>
      <c r="EC34" s="80">
        <v>37510</v>
      </c>
      <c r="ED34" s="80">
        <v>1590</v>
      </c>
      <c r="EE34" s="80">
        <v>0</v>
      </c>
      <c r="EF34" s="80">
        <v>0</v>
      </c>
      <c r="EG34" s="80">
        <v>0</v>
      </c>
      <c r="EH34" s="80">
        <v>501</v>
      </c>
      <c r="EI34" s="80">
        <v>0</v>
      </c>
      <c r="EJ34" s="80">
        <v>501</v>
      </c>
      <c r="EK34" s="80">
        <v>16</v>
      </c>
      <c r="EL34" s="80">
        <v>0</v>
      </c>
      <c r="EM34" s="80">
        <v>7</v>
      </c>
      <c r="EN34" s="80">
        <v>9</v>
      </c>
      <c r="EO34" s="80">
        <v>9511</v>
      </c>
      <c r="EP34" s="80">
        <v>17</v>
      </c>
      <c r="EQ34" s="80">
        <v>0</v>
      </c>
      <c r="ER34" s="80">
        <v>0</v>
      </c>
      <c r="ES34" s="80">
        <v>0</v>
      </c>
      <c r="ET34" s="80">
        <v>0</v>
      </c>
      <c r="EU34" s="80">
        <v>0</v>
      </c>
      <c r="EV34" s="80">
        <v>0</v>
      </c>
      <c r="EW34" s="80">
        <v>0</v>
      </c>
      <c r="EX34" s="80">
        <v>0</v>
      </c>
      <c r="EY34" s="80">
        <v>17</v>
      </c>
      <c r="EZ34" s="80">
        <v>0</v>
      </c>
      <c r="FA34" s="80">
        <v>0</v>
      </c>
      <c r="FB34" s="80">
        <v>0</v>
      </c>
      <c r="FC34" s="80">
        <v>0</v>
      </c>
      <c r="FD34" s="80">
        <v>9494</v>
      </c>
      <c r="FE34" s="80">
        <v>0</v>
      </c>
      <c r="FF34" s="80">
        <v>0</v>
      </c>
      <c r="FG34" s="80">
        <v>0</v>
      </c>
      <c r="FH34" s="80">
        <v>0</v>
      </c>
      <c r="FI34" s="80">
        <v>0</v>
      </c>
      <c r="FJ34" s="80">
        <v>0</v>
      </c>
      <c r="FK34" s="80">
        <v>0</v>
      </c>
      <c r="FL34" s="80">
        <v>0</v>
      </c>
      <c r="FM34" s="80">
        <v>148</v>
      </c>
      <c r="FN34" s="80">
        <v>3953</v>
      </c>
      <c r="FO34" s="80">
        <v>719</v>
      </c>
      <c r="FP34" s="80">
        <v>4674</v>
      </c>
      <c r="FQ34" s="80">
        <v>101603</v>
      </c>
      <c r="FR34" s="80">
        <v>1019</v>
      </c>
      <c r="FS34" s="80">
        <v>0</v>
      </c>
      <c r="FT34" s="100">
        <v>52129.133039775166</v>
      </c>
      <c r="FU34" s="100"/>
      <c r="FV34" s="100">
        <v>27066</v>
      </c>
      <c r="FW34" s="67">
        <v>6877</v>
      </c>
      <c r="FX34" s="100">
        <f t="shared" si="5"/>
        <v>-13897</v>
      </c>
      <c r="FY34" s="100">
        <f t="shared" si="6"/>
        <v>-45061</v>
      </c>
      <c r="FZ34" s="100">
        <v>29374.34292255931</v>
      </c>
      <c r="GA34" s="67">
        <v>31164</v>
      </c>
      <c r="GB34" s="58">
        <f t="shared" si="3"/>
        <v>4098</v>
      </c>
      <c r="GC34" s="67">
        <v>6882</v>
      </c>
      <c r="GD34" s="100">
        <v>4212</v>
      </c>
      <c r="GE34" s="100">
        <v>1603</v>
      </c>
      <c r="GF34" s="58">
        <f t="shared" si="4"/>
        <v>2609</v>
      </c>
      <c r="GG34" s="100">
        <v>-41195.167999999998</v>
      </c>
      <c r="GH34" s="100">
        <v>-463.63360000000011</v>
      </c>
      <c r="GI34" s="100">
        <v>12738.879992212826</v>
      </c>
      <c r="GJ34" s="67">
        <f t="shared" si="7"/>
        <v>5</v>
      </c>
      <c r="GK34" s="67"/>
      <c r="GL34" s="67"/>
      <c r="GM34" s="96"/>
    </row>
    <row r="35" spans="1:195" ht="13.5" customHeight="1" x14ac:dyDescent="0.2">
      <c r="A35" s="74">
        <v>304</v>
      </c>
      <c r="B35" s="75" t="s">
        <v>267</v>
      </c>
      <c r="C35" s="82" t="s">
        <v>267</v>
      </c>
      <c r="D35" s="76"/>
      <c r="E35" s="77" t="s">
        <v>219</v>
      </c>
      <c r="F35" s="78">
        <v>1</v>
      </c>
      <c r="G35" s="79">
        <v>895</v>
      </c>
      <c r="H35" s="80">
        <v>1230</v>
      </c>
      <c r="I35" s="80">
        <v>370</v>
      </c>
      <c r="J35" s="80">
        <v>264</v>
      </c>
      <c r="K35" s="80">
        <v>80</v>
      </c>
      <c r="L35" s="80">
        <v>516</v>
      </c>
      <c r="M35" s="80">
        <v>0</v>
      </c>
      <c r="N35" s="80">
        <v>0</v>
      </c>
      <c r="O35" s="80">
        <v>7128</v>
      </c>
      <c r="P35" s="80">
        <v>2354</v>
      </c>
      <c r="Q35" s="80">
        <v>1810</v>
      </c>
      <c r="R35" s="80">
        <v>544</v>
      </c>
      <c r="S35" s="80">
        <v>446</v>
      </c>
      <c r="T35" s="80">
        <v>98</v>
      </c>
      <c r="U35" s="80">
        <v>3761</v>
      </c>
      <c r="V35" s="80">
        <v>529</v>
      </c>
      <c r="W35" s="80">
        <v>224</v>
      </c>
      <c r="X35" s="80">
        <v>260</v>
      </c>
      <c r="Y35" s="80">
        <v>-5898</v>
      </c>
      <c r="Z35" s="80">
        <v>4028</v>
      </c>
      <c r="AA35" s="80">
        <v>2502</v>
      </c>
      <c r="AB35" s="80">
        <v>167</v>
      </c>
      <c r="AC35" s="80">
        <v>1359</v>
      </c>
      <c r="AD35" s="80">
        <v>2363</v>
      </c>
      <c r="AE35" s="80">
        <v>-22</v>
      </c>
      <c r="AF35" s="80">
        <v>0</v>
      </c>
      <c r="AG35" s="80">
        <v>12</v>
      </c>
      <c r="AH35" s="80">
        <v>2</v>
      </c>
      <c r="AI35" s="80">
        <v>32</v>
      </c>
      <c r="AJ35" s="80">
        <v>2</v>
      </c>
      <c r="AK35" s="80">
        <v>471</v>
      </c>
      <c r="AL35" s="80">
        <v>271</v>
      </c>
      <c r="AM35" s="80">
        <v>271</v>
      </c>
      <c r="AN35" s="80">
        <v>0</v>
      </c>
      <c r="AO35" s="80">
        <v>0</v>
      </c>
      <c r="AP35" s="80">
        <v>0</v>
      </c>
      <c r="AQ35" s="80">
        <v>0</v>
      </c>
      <c r="AR35" s="80">
        <v>200</v>
      </c>
      <c r="AS35" s="80">
        <v>18</v>
      </c>
      <c r="AT35" s="80">
        <v>0</v>
      </c>
      <c r="AU35" s="80">
        <v>0</v>
      </c>
      <c r="AV35" s="80">
        <v>218</v>
      </c>
      <c r="AW35" s="81"/>
      <c r="AX35" s="80">
        <v>462</v>
      </c>
      <c r="AY35" s="80">
        <v>471</v>
      </c>
      <c r="AZ35" s="80">
        <v>0</v>
      </c>
      <c r="BA35" s="80">
        <v>-9</v>
      </c>
      <c r="BB35" s="80">
        <v>-535</v>
      </c>
      <c r="BC35" s="80">
        <v>695</v>
      </c>
      <c r="BD35" s="80">
        <v>148</v>
      </c>
      <c r="BE35" s="80">
        <v>12</v>
      </c>
      <c r="BF35" s="80">
        <v>-73</v>
      </c>
      <c r="BG35" s="80">
        <v>-265</v>
      </c>
      <c r="BH35" s="80">
        <v>0</v>
      </c>
      <c r="BI35" s="80">
        <v>0</v>
      </c>
      <c r="BJ35" s="80">
        <v>0</v>
      </c>
      <c r="BK35" s="80">
        <v>-255</v>
      </c>
      <c r="BL35" s="80">
        <v>0</v>
      </c>
      <c r="BM35" s="80">
        <v>255</v>
      </c>
      <c r="BN35" s="80">
        <v>0</v>
      </c>
      <c r="BO35" s="80">
        <v>-1</v>
      </c>
      <c r="BP35" s="80">
        <v>-9</v>
      </c>
      <c r="BQ35" s="80">
        <v>0</v>
      </c>
      <c r="BR35" s="80">
        <v>0</v>
      </c>
      <c r="BS35" s="80">
        <v>-62</v>
      </c>
      <c r="BT35" s="80">
        <v>53</v>
      </c>
      <c r="BU35" s="80">
        <v>-338</v>
      </c>
      <c r="BV35" s="80">
        <v>679</v>
      </c>
      <c r="BW35" s="80">
        <v>1017</v>
      </c>
      <c r="BX35" s="81"/>
      <c r="BY35" s="80">
        <v>7401</v>
      </c>
      <c r="BZ35" s="80">
        <v>19</v>
      </c>
      <c r="CA35" s="80">
        <v>4</v>
      </c>
      <c r="CB35" s="80">
        <v>15</v>
      </c>
      <c r="CC35" s="80">
        <v>0</v>
      </c>
      <c r="CD35" s="80">
        <v>6648</v>
      </c>
      <c r="CE35" s="80">
        <v>447</v>
      </c>
      <c r="CF35" s="80">
        <v>1965</v>
      </c>
      <c r="CG35" s="80">
        <v>3295</v>
      </c>
      <c r="CH35" s="80">
        <v>103</v>
      </c>
      <c r="CI35" s="80">
        <v>2</v>
      </c>
      <c r="CJ35" s="80">
        <v>0</v>
      </c>
      <c r="CK35" s="80">
        <v>836</v>
      </c>
      <c r="CL35" s="80">
        <v>734</v>
      </c>
      <c r="CM35" s="80">
        <v>734</v>
      </c>
      <c r="CN35" s="80">
        <v>681</v>
      </c>
      <c r="CO35" s="80">
        <v>53</v>
      </c>
      <c r="CP35" s="80">
        <v>0</v>
      </c>
      <c r="CQ35" s="80">
        <v>0</v>
      </c>
      <c r="CR35" s="80">
        <v>0</v>
      </c>
      <c r="CS35" s="80">
        <v>0</v>
      </c>
      <c r="CT35" s="80">
        <v>0</v>
      </c>
      <c r="CU35" s="80">
        <v>0</v>
      </c>
      <c r="CV35" s="80">
        <v>14</v>
      </c>
      <c r="CW35" s="80">
        <v>0</v>
      </c>
      <c r="CX35" s="80">
        <v>14</v>
      </c>
      <c r="CY35" s="80">
        <v>0</v>
      </c>
      <c r="CZ35" s="80">
        <v>1280</v>
      </c>
      <c r="DA35" s="80">
        <v>0</v>
      </c>
      <c r="DB35" s="80">
        <v>0</v>
      </c>
      <c r="DC35" s="80">
        <v>0</v>
      </c>
      <c r="DD35" s="80">
        <v>0</v>
      </c>
      <c r="DE35" s="80">
        <v>0</v>
      </c>
      <c r="DF35" s="80">
        <v>0</v>
      </c>
      <c r="DG35" s="80">
        <v>601</v>
      </c>
      <c r="DH35" s="80">
        <v>0</v>
      </c>
      <c r="DI35" s="80">
        <v>0</v>
      </c>
      <c r="DJ35" s="80">
        <v>0</v>
      </c>
      <c r="DK35" s="80">
        <v>0</v>
      </c>
      <c r="DL35" s="80">
        <v>0</v>
      </c>
      <c r="DM35" s="80">
        <v>601</v>
      </c>
      <c r="DN35" s="80">
        <v>246</v>
      </c>
      <c r="DO35" s="80">
        <v>0</v>
      </c>
      <c r="DP35" s="80">
        <v>63</v>
      </c>
      <c r="DQ35" s="80">
        <v>292</v>
      </c>
      <c r="DR35" s="80">
        <v>0</v>
      </c>
      <c r="DS35" s="80">
        <v>0</v>
      </c>
      <c r="DT35" s="80">
        <v>0</v>
      </c>
      <c r="DU35" s="80">
        <v>0</v>
      </c>
      <c r="DV35" s="80">
        <v>0</v>
      </c>
      <c r="DW35" s="80">
        <v>679</v>
      </c>
      <c r="DX35" s="80">
        <v>8695</v>
      </c>
      <c r="DY35" s="80">
        <v>6111</v>
      </c>
      <c r="DZ35" s="80">
        <v>3511</v>
      </c>
      <c r="EA35" s="80">
        <v>0</v>
      </c>
      <c r="EB35" s="80">
        <v>16</v>
      </c>
      <c r="EC35" s="80">
        <v>2366</v>
      </c>
      <c r="ED35" s="80">
        <v>218</v>
      </c>
      <c r="EE35" s="80">
        <v>388</v>
      </c>
      <c r="EF35" s="80">
        <v>232</v>
      </c>
      <c r="EG35" s="80">
        <v>156</v>
      </c>
      <c r="EH35" s="80">
        <v>0</v>
      </c>
      <c r="EI35" s="80">
        <v>0</v>
      </c>
      <c r="EJ35" s="80">
        <v>0</v>
      </c>
      <c r="EK35" s="80">
        <v>14</v>
      </c>
      <c r="EL35" s="80">
        <v>0</v>
      </c>
      <c r="EM35" s="80">
        <v>14</v>
      </c>
      <c r="EN35" s="80">
        <v>0</v>
      </c>
      <c r="EO35" s="80">
        <v>2182</v>
      </c>
      <c r="EP35" s="80">
        <v>1234</v>
      </c>
      <c r="EQ35" s="80">
        <v>0</v>
      </c>
      <c r="ER35" s="80">
        <v>1234</v>
      </c>
      <c r="ES35" s="80">
        <v>0</v>
      </c>
      <c r="ET35" s="80">
        <v>1234</v>
      </c>
      <c r="EU35" s="80">
        <v>0</v>
      </c>
      <c r="EV35" s="80">
        <v>0</v>
      </c>
      <c r="EW35" s="80">
        <v>0</v>
      </c>
      <c r="EX35" s="80">
        <v>0</v>
      </c>
      <c r="EY35" s="80">
        <v>0</v>
      </c>
      <c r="EZ35" s="80">
        <v>0</v>
      </c>
      <c r="FA35" s="80">
        <v>0</v>
      </c>
      <c r="FB35" s="80">
        <v>0</v>
      </c>
      <c r="FC35" s="80">
        <v>0</v>
      </c>
      <c r="FD35" s="80">
        <v>948</v>
      </c>
      <c r="FE35" s="80">
        <v>0</v>
      </c>
      <c r="FF35" s="80">
        <v>242</v>
      </c>
      <c r="FG35" s="80">
        <v>9</v>
      </c>
      <c r="FH35" s="80">
        <v>233</v>
      </c>
      <c r="FI35" s="80">
        <v>0</v>
      </c>
      <c r="FJ35" s="80">
        <v>0</v>
      </c>
      <c r="FK35" s="80">
        <v>0</v>
      </c>
      <c r="FL35" s="80">
        <v>0</v>
      </c>
      <c r="FM35" s="80">
        <v>8</v>
      </c>
      <c r="FN35" s="80">
        <v>362</v>
      </c>
      <c r="FO35" s="80">
        <v>38</v>
      </c>
      <c r="FP35" s="80">
        <v>298</v>
      </c>
      <c r="FQ35" s="80">
        <v>8695</v>
      </c>
      <c r="FR35" s="80">
        <v>0</v>
      </c>
      <c r="FS35" s="80">
        <v>2338</v>
      </c>
      <c r="FT35" s="100">
        <v>3266.2042902767535</v>
      </c>
      <c r="FU35" s="100"/>
      <c r="FV35" s="100">
        <v>1357</v>
      </c>
      <c r="FW35" s="67">
        <v>262</v>
      </c>
      <c r="FX35" s="100">
        <f t="shared" si="5"/>
        <v>-3866</v>
      </c>
      <c r="FY35" s="100">
        <f t="shared" si="6"/>
        <v>-5627</v>
      </c>
      <c r="FZ35" s="100">
        <v>4181.1714002787294</v>
      </c>
      <c r="GA35" s="67">
        <v>1761</v>
      </c>
      <c r="GB35" s="58">
        <f t="shared" si="3"/>
        <v>404</v>
      </c>
      <c r="GC35" s="67">
        <v>271</v>
      </c>
      <c r="GD35" s="100">
        <v>264</v>
      </c>
      <c r="GE35" s="100">
        <v>147</v>
      </c>
      <c r="GF35" s="58">
        <f t="shared" si="4"/>
        <v>117</v>
      </c>
      <c r="GG35" s="100">
        <v>-1528.7370000000001</v>
      </c>
      <c r="GH35" s="100">
        <v>-48.292450000000009</v>
      </c>
      <c r="GI35" s="100">
        <v>-2593.3869285745836</v>
      </c>
      <c r="GJ35" s="67">
        <f t="shared" si="7"/>
        <v>9</v>
      </c>
      <c r="GK35" s="67"/>
      <c r="GL35" s="67"/>
      <c r="GM35" s="96"/>
    </row>
    <row r="36" spans="1:195" ht="13.5" customHeight="1" x14ac:dyDescent="0.2">
      <c r="A36" s="74">
        <v>69</v>
      </c>
      <c r="B36" s="75" t="s">
        <v>17</v>
      </c>
      <c r="C36" s="75" t="s">
        <v>17</v>
      </c>
      <c r="D36" s="76"/>
      <c r="E36" s="77" t="s">
        <v>216</v>
      </c>
      <c r="F36" s="78">
        <v>3</v>
      </c>
      <c r="G36" s="79">
        <v>7438</v>
      </c>
      <c r="H36" s="80">
        <v>5134</v>
      </c>
      <c r="I36" s="80">
        <v>2050</v>
      </c>
      <c r="J36" s="80">
        <v>317</v>
      </c>
      <c r="K36" s="80">
        <v>335</v>
      </c>
      <c r="L36" s="80">
        <v>2432</v>
      </c>
      <c r="M36" s="80">
        <v>0</v>
      </c>
      <c r="N36" s="80">
        <v>0</v>
      </c>
      <c r="O36" s="80">
        <v>49804</v>
      </c>
      <c r="P36" s="80">
        <v>12724</v>
      </c>
      <c r="Q36" s="80">
        <v>9282</v>
      </c>
      <c r="R36" s="80">
        <v>3442</v>
      </c>
      <c r="S36" s="80">
        <v>2934</v>
      </c>
      <c r="T36" s="80">
        <v>508</v>
      </c>
      <c r="U36" s="80">
        <v>34099</v>
      </c>
      <c r="V36" s="80">
        <v>2281</v>
      </c>
      <c r="W36" s="80">
        <v>64</v>
      </c>
      <c r="X36" s="80">
        <v>636</v>
      </c>
      <c r="Y36" s="80">
        <v>-44670</v>
      </c>
      <c r="Z36" s="80">
        <v>23251</v>
      </c>
      <c r="AA36" s="80">
        <v>20055</v>
      </c>
      <c r="AB36" s="80">
        <v>1353</v>
      </c>
      <c r="AC36" s="80">
        <v>1843</v>
      </c>
      <c r="AD36" s="80">
        <v>23465</v>
      </c>
      <c r="AE36" s="80">
        <v>1167</v>
      </c>
      <c r="AF36" s="80">
        <v>8</v>
      </c>
      <c r="AG36" s="80">
        <v>1767</v>
      </c>
      <c r="AH36" s="80">
        <v>0</v>
      </c>
      <c r="AI36" s="80">
        <v>437</v>
      </c>
      <c r="AJ36" s="80">
        <v>171</v>
      </c>
      <c r="AK36" s="80">
        <v>3213</v>
      </c>
      <c r="AL36" s="80">
        <v>1625</v>
      </c>
      <c r="AM36" s="80">
        <v>1625</v>
      </c>
      <c r="AN36" s="80">
        <v>0</v>
      </c>
      <c r="AO36" s="80">
        <v>0</v>
      </c>
      <c r="AP36" s="80">
        <v>0</v>
      </c>
      <c r="AQ36" s="80">
        <v>0</v>
      </c>
      <c r="AR36" s="80">
        <v>1588</v>
      </c>
      <c r="AS36" s="80">
        <v>85</v>
      </c>
      <c r="AT36" s="80">
        <v>0</v>
      </c>
      <c r="AU36" s="80">
        <v>0</v>
      </c>
      <c r="AV36" s="80">
        <v>1673</v>
      </c>
      <c r="AW36" s="81"/>
      <c r="AX36" s="80">
        <v>3210</v>
      </c>
      <c r="AY36" s="80">
        <v>3213</v>
      </c>
      <c r="AZ36" s="80">
        <v>0</v>
      </c>
      <c r="BA36" s="80">
        <v>-3</v>
      </c>
      <c r="BB36" s="80">
        <v>-1520</v>
      </c>
      <c r="BC36" s="80">
        <v>1884</v>
      </c>
      <c r="BD36" s="80">
        <v>337</v>
      </c>
      <c r="BE36" s="80">
        <v>27</v>
      </c>
      <c r="BF36" s="80">
        <v>1690</v>
      </c>
      <c r="BG36" s="80">
        <v>-1916</v>
      </c>
      <c r="BH36" s="80">
        <v>7</v>
      </c>
      <c r="BI36" s="80">
        <v>0</v>
      </c>
      <c r="BJ36" s="80">
        <v>7</v>
      </c>
      <c r="BK36" s="80">
        <v>-2741</v>
      </c>
      <c r="BL36" s="80">
        <v>4004</v>
      </c>
      <c r="BM36" s="80">
        <v>5132</v>
      </c>
      <c r="BN36" s="80">
        <v>-1613</v>
      </c>
      <c r="BO36" s="80">
        <v>0</v>
      </c>
      <c r="BP36" s="80">
        <v>818</v>
      </c>
      <c r="BQ36" s="80">
        <v>14</v>
      </c>
      <c r="BR36" s="80">
        <v>-1</v>
      </c>
      <c r="BS36" s="80">
        <v>82</v>
      </c>
      <c r="BT36" s="80">
        <v>723</v>
      </c>
      <c r="BU36" s="80">
        <v>-226</v>
      </c>
      <c r="BV36" s="80">
        <v>14671</v>
      </c>
      <c r="BW36" s="80">
        <v>14897</v>
      </c>
      <c r="BX36" s="81"/>
      <c r="BY36" s="80">
        <v>43167</v>
      </c>
      <c r="BZ36" s="80">
        <v>256</v>
      </c>
      <c r="CA36" s="80">
        <v>7</v>
      </c>
      <c r="CB36" s="80">
        <v>249</v>
      </c>
      <c r="CC36" s="80">
        <v>0</v>
      </c>
      <c r="CD36" s="80">
        <v>32998</v>
      </c>
      <c r="CE36" s="80">
        <v>4458</v>
      </c>
      <c r="CF36" s="80">
        <v>21001</v>
      </c>
      <c r="CG36" s="80">
        <v>6553</v>
      </c>
      <c r="CH36" s="80">
        <v>268</v>
      </c>
      <c r="CI36" s="80">
        <v>54</v>
      </c>
      <c r="CJ36" s="80">
        <v>54</v>
      </c>
      <c r="CK36" s="80">
        <v>664</v>
      </c>
      <c r="CL36" s="80">
        <v>9913</v>
      </c>
      <c r="CM36" s="80">
        <v>8744</v>
      </c>
      <c r="CN36" s="80">
        <v>3891</v>
      </c>
      <c r="CO36" s="80">
        <v>4853</v>
      </c>
      <c r="CP36" s="80">
        <v>0</v>
      </c>
      <c r="CQ36" s="80">
        <v>1169</v>
      </c>
      <c r="CR36" s="80">
        <v>0</v>
      </c>
      <c r="CS36" s="80">
        <v>0</v>
      </c>
      <c r="CT36" s="80">
        <v>1169</v>
      </c>
      <c r="CU36" s="80">
        <v>0</v>
      </c>
      <c r="CV36" s="80">
        <v>67</v>
      </c>
      <c r="CW36" s="80">
        <v>19</v>
      </c>
      <c r="CX36" s="80">
        <v>48</v>
      </c>
      <c r="CY36" s="80">
        <v>0</v>
      </c>
      <c r="CZ36" s="80">
        <v>15861</v>
      </c>
      <c r="DA36" s="80">
        <v>96</v>
      </c>
      <c r="DB36" s="80">
        <v>96</v>
      </c>
      <c r="DC36" s="80">
        <v>0</v>
      </c>
      <c r="DD36" s="80">
        <v>0</v>
      </c>
      <c r="DE36" s="80">
        <v>0</v>
      </c>
      <c r="DF36" s="80">
        <v>0</v>
      </c>
      <c r="DG36" s="80">
        <v>1095</v>
      </c>
      <c r="DH36" s="80">
        <v>147</v>
      </c>
      <c r="DI36" s="80">
        <v>147</v>
      </c>
      <c r="DJ36" s="80">
        <v>0</v>
      </c>
      <c r="DK36" s="80">
        <v>0</v>
      </c>
      <c r="DL36" s="80">
        <v>0</v>
      </c>
      <c r="DM36" s="80">
        <v>948</v>
      </c>
      <c r="DN36" s="80">
        <v>484</v>
      </c>
      <c r="DO36" s="80">
        <v>66</v>
      </c>
      <c r="DP36" s="80">
        <v>390</v>
      </c>
      <c r="DQ36" s="80">
        <v>8</v>
      </c>
      <c r="DR36" s="80">
        <v>14582</v>
      </c>
      <c r="DS36" s="80">
        <v>0</v>
      </c>
      <c r="DT36" s="80">
        <v>0</v>
      </c>
      <c r="DU36" s="80">
        <v>0</v>
      </c>
      <c r="DV36" s="80">
        <v>14582</v>
      </c>
      <c r="DW36" s="80">
        <v>88</v>
      </c>
      <c r="DX36" s="80">
        <v>59095</v>
      </c>
      <c r="DY36" s="80">
        <v>22657</v>
      </c>
      <c r="DZ36" s="80">
        <v>21433</v>
      </c>
      <c r="EA36" s="80">
        <v>1125</v>
      </c>
      <c r="EB36" s="80">
        <v>101</v>
      </c>
      <c r="EC36" s="80">
        <v>-1675</v>
      </c>
      <c r="ED36" s="80">
        <v>1673</v>
      </c>
      <c r="EE36" s="80">
        <v>2377</v>
      </c>
      <c r="EF36" s="80">
        <v>2377</v>
      </c>
      <c r="EG36" s="80">
        <v>0</v>
      </c>
      <c r="EH36" s="80">
        <v>0</v>
      </c>
      <c r="EI36" s="80">
        <v>0</v>
      </c>
      <c r="EJ36" s="80">
        <v>0</v>
      </c>
      <c r="EK36" s="80">
        <v>232</v>
      </c>
      <c r="EL36" s="80">
        <v>2</v>
      </c>
      <c r="EM36" s="80">
        <v>230</v>
      </c>
      <c r="EN36" s="80">
        <v>0</v>
      </c>
      <c r="EO36" s="80">
        <v>33830</v>
      </c>
      <c r="EP36" s="80">
        <v>20836</v>
      </c>
      <c r="EQ36" s="80">
        <v>0</v>
      </c>
      <c r="ER36" s="80">
        <v>20835</v>
      </c>
      <c r="ES36" s="80">
        <v>0</v>
      </c>
      <c r="ET36" s="80">
        <v>20835</v>
      </c>
      <c r="EU36" s="80">
        <v>0</v>
      </c>
      <c r="EV36" s="80">
        <v>0</v>
      </c>
      <c r="EW36" s="80">
        <v>0</v>
      </c>
      <c r="EX36" s="80">
        <v>0</v>
      </c>
      <c r="EY36" s="80">
        <v>0</v>
      </c>
      <c r="EZ36" s="80">
        <v>0</v>
      </c>
      <c r="FA36" s="80">
        <v>1</v>
      </c>
      <c r="FB36" s="80">
        <v>0</v>
      </c>
      <c r="FC36" s="80">
        <v>0</v>
      </c>
      <c r="FD36" s="80">
        <v>12994</v>
      </c>
      <c r="FE36" s="80">
        <v>0</v>
      </c>
      <c r="FF36" s="80">
        <v>9072</v>
      </c>
      <c r="FG36" s="80">
        <v>0</v>
      </c>
      <c r="FH36" s="80">
        <v>7922</v>
      </c>
      <c r="FI36" s="80">
        <v>1150</v>
      </c>
      <c r="FJ36" s="80">
        <v>0</v>
      </c>
      <c r="FK36" s="80">
        <v>0</v>
      </c>
      <c r="FL36" s="80">
        <v>0</v>
      </c>
      <c r="FM36" s="80">
        <v>90</v>
      </c>
      <c r="FN36" s="80">
        <v>2425</v>
      </c>
      <c r="FO36" s="80">
        <v>413</v>
      </c>
      <c r="FP36" s="80">
        <v>994</v>
      </c>
      <c r="FQ36" s="80">
        <v>59096</v>
      </c>
      <c r="FR36" s="80">
        <v>3714</v>
      </c>
      <c r="FS36" s="80">
        <v>3131</v>
      </c>
      <c r="FT36" s="100">
        <v>25139.867901860827</v>
      </c>
      <c r="FU36" s="100"/>
      <c r="FV36" s="100">
        <v>8968</v>
      </c>
      <c r="FW36" s="67">
        <v>1599</v>
      </c>
      <c r="FX36" s="100">
        <f t="shared" si="5"/>
        <v>-33997</v>
      </c>
      <c r="FY36" s="100">
        <f t="shared" si="6"/>
        <v>-43045</v>
      </c>
      <c r="FZ36" s="100">
        <v>27279.608700518744</v>
      </c>
      <c r="GA36" s="67">
        <v>9048</v>
      </c>
      <c r="GB36" s="58">
        <f t="shared" si="3"/>
        <v>80</v>
      </c>
      <c r="GC36" s="67">
        <v>1623</v>
      </c>
      <c r="GD36" s="100">
        <v>316</v>
      </c>
      <c r="GE36" s="100">
        <v>316</v>
      </c>
      <c r="GF36" s="58">
        <f t="shared" si="4"/>
        <v>0</v>
      </c>
      <c r="GG36" s="100">
        <v>-10922.788</v>
      </c>
      <c r="GH36" s="100">
        <v>-460.45265000000018</v>
      </c>
      <c r="GI36" s="100">
        <v>-16025.857141423719</v>
      </c>
      <c r="GJ36" s="67">
        <f t="shared" si="7"/>
        <v>24</v>
      </c>
      <c r="GK36" s="67"/>
      <c r="GL36" s="67"/>
      <c r="GM36" s="96"/>
    </row>
    <row r="37" spans="1:195" ht="13.5" customHeight="1" x14ac:dyDescent="0.2">
      <c r="A37" s="74">
        <v>71</v>
      </c>
      <c r="B37" s="75" t="s">
        <v>18</v>
      </c>
      <c r="C37" s="75" t="s">
        <v>18</v>
      </c>
      <c r="D37" s="76"/>
      <c r="E37" s="77" t="s">
        <v>216</v>
      </c>
      <c r="F37" s="78">
        <v>3</v>
      </c>
      <c r="G37" s="79">
        <v>7167</v>
      </c>
      <c r="H37" s="80">
        <v>34100</v>
      </c>
      <c r="I37" s="80">
        <v>25767</v>
      </c>
      <c r="J37" s="80">
        <v>5950</v>
      </c>
      <c r="K37" s="80">
        <v>1329</v>
      </c>
      <c r="L37" s="80">
        <v>1054</v>
      </c>
      <c r="M37" s="80">
        <v>0</v>
      </c>
      <c r="N37" s="80">
        <v>111</v>
      </c>
      <c r="O37" s="80">
        <v>76618</v>
      </c>
      <c r="P37" s="80">
        <v>40997</v>
      </c>
      <c r="Q37" s="80">
        <v>31609</v>
      </c>
      <c r="R37" s="80">
        <v>9388</v>
      </c>
      <c r="S37" s="80">
        <v>7570</v>
      </c>
      <c r="T37" s="80">
        <v>1818</v>
      </c>
      <c r="U37" s="80">
        <v>25684</v>
      </c>
      <c r="V37" s="80">
        <v>4214</v>
      </c>
      <c r="W37" s="80">
        <v>4150</v>
      </c>
      <c r="X37" s="80">
        <v>1573</v>
      </c>
      <c r="Y37" s="80">
        <v>-42407</v>
      </c>
      <c r="Z37" s="80">
        <v>21200</v>
      </c>
      <c r="AA37" s="80">
        <v>18583</v>
      </c>
      <c r="AB37" s="80">
        <v>1218</v>
      </c>
      <c r="AC37" s="80">
        <v>1399</v>
      </c>
      <c r="AD37" s="80">
        <v>22107</v>
      </c>
      <c r="AE37" s="80">
        <v>432</v>
      </c>
      <c r="AF37" s="80">
        <v>65</v>
      </c>
      <c r="AG37" s="80">
        <v>774</v>
      </c>
      <c r="AH37" s="80">
        <v>138</v>
      </c>
      <c r="AI37" s="80">
        <v>295</v>
      </c>
      <c r="AJ37" s="80">
        <v>112</v>
      </c>
      <c r="AK37" s="80">
        <v>1332</v>
      </c>
      <c r="AL37" s="80">
        <v>2399</v>
      </c>
      <c r="AM37" s="80">
        <v>2399</v>
      </c>
      <c r="AN37" s="80">
        <v>0</v>
      </c>
      <c r="AO37" s="80">
        <v>-19</v>
      </c>
      <c r="AP37" s="80">
        <v>0</v>
      </c>
      <c r="AQ37" s="80">
        <v>19</v>
      </c>
      <c r="AR37" s="80">
        <v>-1086</v>
      </c>
      <c r="AS37" s="80">
        <v>0</v>
      </c>
      <c r="AT37" s="80">
        <v>0</v>
      </c>
      <c r="AU37" s="80">
        <v>0</v>
      </c>
      <c r="AV37" s="80">
        <v>-1086</v>
      </c>
      <c r="AW37" s="81"/>
      <c r="AX37" s="80">
        <v>1212</v>
      </c>
      <c r="AY37" s="80">
        <v>1332</v>
      </c>
      <c r="AZ37" s="80">
        <v>-19</v>
      </c>
      <c r="BA37" s="80">
        <v>-101</v>
      </c>
      <c r="BB37" s="80">
        <v>-2906</v>
      </c>
      <c r="BC37" s="80">
        <v>3613</v>
      </c>
      <c r="BD37" s="80">
        <v>663</v>
      </c>
      <c r="BE37" s="80">
        <v>44</v>
      </c>
      <c r="BF37" s="80">
        <v>-1694</v>
      </c>
      <c r="BG37" s="80">
        <v>2835</v>
      </c>
      <c r="BH37" s="80">
        <v>49</v>
      </c>
      <c r="BI37" s="80">
        <v>0</v>
      </c>
      <c r="BJ37" s="80">
        <v>49</v>
      </c>
      <c r="BK37" s="80">
        <v>3220</v>
      </c>
      <c r="BL37" s="80">
        <v>10</v>
      </c>
      <c r="BM37" s="80">
        <v>3590</v>
      </c>
      <c r="BN37" s="80">
        <v>6800</v>
      </c>
      <c r="BO37" s="80">
        <v>0</v>
      </c>
      <c r="BP37" s="80">
        <v>-434</v>
      </c>
      <c r="BQ37" s="80">
        <v>-13</v>
      </c>
      <c r="BR37" s="80">
        <v>0</v>
      </c>
      <c r="BS37" s="80">
        <v>2</v>
      </c>
      <c r="BT37" s="80">
        <v>-423</v>
      </c>
      <c r="BU37" s="80">
        <v>1140</v>
      </c>
      <c r="BV37" s="80">
        <v>8204</v>
      </c>
      <c r="BW37" s="80">
        <v>7064</v>
      </c>
      <c r="BX37" s="81"/>
      <c r="BY37" s="80">
        <v>40050</v>
      </c>
      <c r="BZ37" s="80">
        <v>3458</v>
      </c>
      <c r="CA37" s="80">
        <v>302</v>
      </c>
      <c r="CB37" s="80">
        <v>3156</v>
      </c>
      <c r="CC37" s="80">
        <v>0</v>
      </c>
      <c r="CD37" s="80">
        <v>23724</v>
      </c>
      <c r="CE37" s="80">
        <v>3822</v>
      </c>
      <c r="CF37" s="80">
        <v>12683</v>
      </c>
      <c r="CG37" s="80">
        <v>5866</v>
      </c>
      <c r="CH37" s="80">
        <v>976</v>
      </c>
      <c r="CI37" s="80">
        <v>0</v>
      </c>
      <c r="CJ37" s="80">
        <v>0</v>
      </c>
      <c r="CK37" s="80">
        <v>377</v>
      </c>
      <c r="CL37" s="80">
        <v>12868</v>
      </c>
      <c r="CM37" s="80">
        <v>12155</v>
      </c>
      <c r="CN37" s="80">
        <v>3181</v>
      </c>
      <c r="CO37" s="80">
        <v>8974</v>
      </c>
      <c r="CP37" s="80">
        <v>0</v>
      </c>
      <c r="CQ37" s="80">
        <v>0</v>
      </c>
      <c r="CR37" s="80">
        <v>0</v>
      </c>
      <c r="CS37" s="80">
        <v>0</v>
      </c>
      <c r="CT37" s="80">
        <v>0</v>
      </c>
      <c r="CU37" s="80">
        <v>713</v>
      </c>
      <c r="CV37" s="80">
        <v>186</v>
      </c>
      <c r="CW37" s="80">
        <v>5</v>
      </c>
      <c r="CX37" s="80">
        <v>181</v>
      </c>
      <c r="CY37" s="80">
        <v>0</v>
      </c>
      <c r="CZ37" s="80">
        <v>12942</v>
      </c>
      <c r="DA37" s="80">
        <v>0</v>
      </c>
      <c r="DB37" s="80">
        <v>0</v>
      </c>
      <c r="DC37" s="80">
        <v>0</v>
      </c>
      <c r="DD37" s="80">
        <v>0</v>
      </c>
      <c r="DE37" s="80">
        <v>0</v>
      </c>
      <c r="DF37" s="80">
        <v>0</v>
      </c>
      <c r="DG37" s="80">
        <v>4738</v>
      </c>
      <c r="DH37" s="80">
        <v>1123</v>
      </c>
      <c r="DI37" s="80">
        <v>809</v>
      </c>
      <c r="DJ37" s="80">
        <v>94</v>
      </c>
      <c r="DK37" s="80">
        <v>91</v>
      </c>
      <c r="DL37" s="80">
        <v>129</v>
      </c>
      <c r="DM37" s="80">
        <v>3615</v>
      </c>
      <c r="DN37" s="80">
        <v>1938</v>
      </c>
      <c r="DO37" s="80">
        <v>3</v>
      </c>
      <c r="DP37" s="80">
        <v>1362</v>
      </c>
      <c r="DQ37" s="80">
        <v>312</v>
      </c>
      <c r="DR37" s="80">
        <v>6138</v>
      </c>
      <c r="DS37" s="80">
        <v>0</v>
      </c>
      <c r="DT37" s="80">
        <v>6138</v>
      </c>
      <c r="DU37" s="80">
        <v>0</v>
      </c>
      <c r="DV37" s="80">
        <v>0</v>
      </c>
      <c r="DW37" s="80">
        <v>2066</v>
      </c>
      <c r="DX37" s="80">
        <v>53178</v>
      </c>
      <c r="DY37" s="80">
        <v>14337</v>
      </c>
      <c r="DZ37" s="80">
        <v>15747</v>
      </c>
      <c r="EA37" s="80">
        <v>0</v>
      </c>
      <c r="EB37" s="80">
        <v>0</v>
      </c>
      <c r="EC37" s="80">
        <v>-323</v>
      </c>
      <c r="ED37" s="80">
        <v>-1087</v>
      </c>
      <c r="EE37" s="80">
        <v>0</v>
      </c>
      <c r="EF37" s="80">
        <v>0</v>
      </c>
      <c r="EG37" s="80">
        <v>0</v>
      </c>
      <c r="EH37" s="80">
        <v>8</v>
      </c>
      <c r="EI37" s="80">
        <v>0</v>
      </c>
      <c r="EJ37" s="80">
        <v>8</v>
      </c>
      <c r="EK37" s="80">
        <v>290</v>
      </c>
      <c r="EL37" s="80">
        <v>22</v>
      </c>
      <c r="EM37" s="80">
        <v>265</v>
      </c>
      <c r="EN37" s="80">
        <v>3</v>
      </c>
      <c r="EO37" s="80">
        <v>38543</v>
      </c>
      <c r="EP37" s="80">
        <v>9917</v>
      </c>
      <c r="EQ37" s="80">
        <v>0</v>
      </c>
      <c r="ER37" s="80">
        <v>7249</v>
      </c>
      <c r="ES37" s="80">
        <v>706</v>
      </c>
      <c r="ET37" s="80">
        <v>6543</v>
      </c>
      <c r="EU37" s="80">
        <v>0</v>
      </c>
      <c r="EV37" s="80">
        <v>0</v>
      </c>
      <c r="EW37" s="80">
        <v>287</v>
      </c>
      <c r="EX37" s="80">
        <v>515</v>
      </c>
      <c r="EY37" s="80">
        <v>0</v>
      </c>
      <c r="EZ37" s="80">
        <v>0</v>
      </c>
      <c r="FA37" s="80">
        <v>1866</v>
      </c>
      <c r="FB37" s="80">
        <v>0</v>
      </c>
      <c r="FC37" s="80">
        <v>0</v>
      </c>
      <c r="FD37" s="80">
        <v>28626</v>
      </c>
      <c r="FE37" s="80">
        <v>0</v>
      </c>
      <c r="FF37" s="80">
        <v>17596</v>
      </c>
      <c r="FG37" s="80">
        <v>2996</v>
      </c>
      <c r="FH37" s="80">
        <v>14600</v>
      </c>
      <c r="FI37" s="80">
        <v>0</v>
      </c>
      <c r="FJ37" s="80">
        <v>0</v>
      </c>
      <c r="FK37" s="80">
        <v>340</v>
      </c>
      <c r="FL37" s="80">
        <v>0</v>
      </c>
      <c r="FM37" s="80">
        <v>44</v>
      </c>
      <c r="FN37" s="80">
        <v>3571</v>
      </c>
      <c r="FO37" s="80">
        <v>1793</v>
      </c>
      <c r="FP37" s="80">
        <v>5282</v>
      </c>
      <c r="FQ37" s="80">
        <v>53178</v>
      </c>
      <c r="FR37" s="80">
        <v>4868</v>
      </c>
      <c r="FS37" s="80">
        <v>1468</v>
      </c>
      <c r="FT37" s="100">
        <v>34880.182789625564</v>
      </c>
      <c r="FU37" s="100"/>
      <c r="FV37" s="100">
        <v>18653</v>
      </c>
      <c r="FW37" s="67">
        <v>2177</v>
      </c>
      <c r="FX37" s="100">
        <f t="shared" si="5"/>
        <v>4603</v>
      </c>
      <c r="FY37" s="100">
        <f t="shared" si="6"/>
        <v>-40008</v>
      </c>
      <c r="FZ37" s="100">
        <v>25489.50001915238</v>
      </c>
      <c r="GA37" s="67">
        <v>44611</v>
      </c>
      <c r="GB37" s="58">
        <f t="shared" si="3"/>
        <v>25958</v>
      </c>
      <c r="GC37" s="67">
        <v>2398</v>
      </c>
      <c r="GD37" s="100">
        <v>5949</v>
      </c>
      <c r="GE37" s="100">
        <v>2471</v>
      </c>
      <c r="GF37" s="58">
        <f t="shared" si="4"/>
        <v>3478</v>
      </c>
      <c r="GG37" s="100">
        <v>-10362.871999999999</v>
      </c>
      <c r="GH37" s="100">
        <v>-376.97605000000016</v>
      </c>
      <c r="GI37" s="100">
        <v>-14951.587022766756</v>
      </c>
      <c r="GJ37" s="67">
        <f t="shared" si="7"/>
        <v>221</v>
      </c>
      <c r="GK37" s="67"/>
      <c r="GL37" s="67"/>
      <c r="GM37" s="96"/>
    </row>
    <row r="38" spans="1:195" ht="13.5" customHeight="1" x14ac:dyDescent="0.2">
      <c r="A38" s="74">
        <v>74</v>
      </c>
      <c r="B38" s="75" t="s">
        <v>19</v>
      </c>
      <c r="C38" s="75" t="s">
        <v>19</v>
      </c>
      <c r="D38" s="76"/>
      <c r="E38" s="77" t="s">
        <v>228</v>
      </c>
      <c r="F38" s="78">
        <v>1</v>
      </c>
      <c r="G38" s="79">
        <v>1225</v>
      </c>
      <c r="H38" s="80">
        <v>890</v>
      </c>
      <c r="I38" s="80">
        <v>238</v>
      </c>
      <c r="J38" s="80">
        <v>78</v>
      </c>
      <c r="K38" s="80">
        <v>49</v>
      </c>
      <c r="L38" s="80">
        <v>525</v>
      </c>
      <c r="M38" s="80">
        <v>0</v>
      </c>
      <c r="N38" s="80">
        <v>0</v>
      </c>
      <c r="O38" s="80">
        <v>8383</v>
      </c>
      <c r="P38" s="80">
        <v>2098</v>
      </c>
      <c r="Q38" s="80">
        <v>1517</v>
      </c>
      <c r="R38" s="80">
        <v>581</v>
      </c>
      <c r="S38" s="80">
        <v>526</v>
      </c>
      <c r="T38" s="80">
        <v>55</v>
      </c>
      <c r="U38" s="80">
        <v>5551</v>
      </c>
      <c r="V38" s="80">
        <v>329</v>
      </c>
      <c r="W38" s="80">
        <v>172</v>
      </c>
      <c r="X38" s="80">
        <v>233</v>
      </c>
      <c r="Y38" s="80">
        <v>-7493</v>
      </c>
      <c r="Z38" s="80">
        <v>3837</v>
      </c>
      <c r="AA38" s="80">
        <v>3114</v>
      </c>
      <c r="AB38" s="80">
        <v>428</v>
      </c>
      <c r="AC38" s="80">
        <v>295</v>
      </c>
      <c r="AD38" s="80">
        <v>3645</v>
      </c>
      <c r="AE38" s="80">
        <v>-48</v>
      </c>
      <c r="AF38" s="80">
        <v>0</v>
      </c>
      <c r="AG38" s="80">
        <v>1</v>
      </c>
      <c r="AH38" s="80">
        <v>0</v>
      </c>
      <c r="AI38" s="80">
        <v>49</v>
      </c>
      <c r="AJ38" s="80">
        <v>0</v>
      </c>
      <c r="AK38" s="80">
        <v>-59</v>
      </c>
      <c r="AL38" s="80">
        <v>119</v>
      </c>
      <c r="AM38" s="80">
        <v>119</v>
      </c>
      <c r="AN38" s="80">
        <v>0</v>
      </c>
      <c r="AO38" s="80">
        <v>0</v>
      </c>
      <c r="AP38" s="80">
        <v>0</v>
      </c>
      <c r="AQ38" s="80">
        <v>0</v>
      </c>
      <c r="AR38" s="80">
        <v>-178</v>
      </c>
      <c r="AS38" s="80">
        <v>0</v>
      </c>
      <c r="AT38" s="80">
        <v>0</v>
      </c>
      <c r="AU38" s="80">
        <v>0</v>
      </c>
      <c r="AV38" s="80">
        <v>-178</v>
      </c>
      <c r="AW38" s="81"/>
      <c r="AX38" s="80">
        <v>-64</v>
      </c>
      <c r="AY38" s="80">
        <v>-59</v>
      </c>
      <c r="AZ38" s="80">
        <v>0</v>
      </c>
      <c r="BA38" s="80">
        <v>-5</v>
      </c>
      <c r="BB38" s="80">
        <v>-322</v>
      </c>
      <c r="BC38" s="80">
        <v>468</v>
      </c>
      <c r="BD38" s="80">
        <v>70</v>
      </c>
      <c r="BE38" s="80">
        <v>76</v>
      </c>
      <c r="BF38" s="80">
        <v>-386</v>
      </c>
      <c r="BG38" s="80">
        <v>-267</v>
      </c>
      <c r="BH38" s="80">
        <v>-10</v>
      </c>
      <c r="BI38" s="80">
        <v>10</v>
      </c>
      <c r="BJ38" s="80">
        <v>0</v>
      </c>
      <c r="BK38" s="80">
        <v>-303</v>
      </c>
      <c r="BL38" s="80">
        <v>0</v>
      </c>
      <c r="BM38" s="80">
        <v>1003</v>
      </c>
      <c r="BN38" s="80">
        <v>700</v>
      </c>
      <c r="BO38" s="80">
        <v>0</v>
      </c>
      <c r="BP38" s="80">
        <v>46</v>
      </c>
      <c r="BQ38" s="80">
        <v>0</v>
      </c>
      <c r="BR38" s="80">
        <v>0</v>
      </c>
      <c r="BS38" s="80">
        <v>-53</v>
      </c>
      <c r="BT38" s="80">
        <v>99</v>
      </c>
      <c r="BU38" s="80">
        <v>-653</v>
      </c>
      <c r="BV38" s="80">
        <v>189</v>
      </c>
      <c r="BW38" s="80">
        <v>842</v>
      </c>
      <c r="BX38" s="81"/>
      <c r="BY38" s="80">
        <v>6640</v>
      </c>
      <c r="BZ38" s="80">
        <v>57</v>
      </c>
      <c r="CA38" s="80">
        <v>0</v>
      </c>
      <c r="CB38" s="80">
        <v>57</v>
      </c>
      <c r="CC38" s="80">
        <v>0</v>
      </c>
      <c r="CD38" s="80">
        <v>4148</v>
      </c>
      <c r="CE38" s="80">
        <v>839</v>
      </c>
      <c r="CF38" s="80">
        <v>3118</v>
      </c>
      <c r="CG38" s="80">
        <v>112</v>
      </c>
      <c r="CH38" s="80">
        <v>69</v>
      </c>
      <c r="CI38" s="80">
        <v>0</v>
      </c>
      <c r="CJ38" s="80">
        <v>0</v>
      </c>
      <c r="CK38" s="80">
        <v>10</v>
      </c>
      <c r="CL38" s="80">
        <v>2435</v>
      </c>
      <c r="CM38" s="80">
        <v>2335</v>
      </c>
      <c r="CN38" s="80">
        <v>266</v>
      </c>
      <c r="CO38" s="80">
        <v>2069</v>
      </c>
      <c r="CP38" s="80">
        <v>0</v>
      </c>
      <c r="CQ38" s="80">
        <v>75</v>
      </c>
      <c r="CR38" s="80">
        <v>0</v>
      </c>
      <c r="CS38" s="80">
        <v>0</v>
      </c>
      <c r="CT38" s="80">
        <v>75</v>
      </c>
      <c r="CU38" s="80">
        <v>25</v>
      </c>
      <c r="CV38" s="80">
        <v>0</v>
      </c>
      <c r="CW38" s="80">
        <v>0</v>
      </c>
      <c r="CX38" s="80">
        <v>0</v>
      </c>
      <c r="CY38" s="80">
        <v>0</v>
      </c>
      <c r="CZ38" s="80">
        <v>971</v>
      </c>
      <c r="DA38" s="80">
        <v>0</v>
      </c>
      <c r="DB38" s="80">
        <v>0</v>
      </c>
      <c r="DC38" s="80">
        <v>0</v>
      </c>
      <c r="DD38" s="80">
        <v>0</v>
      </c>
      <c r="DE38" s="80">
        <v>0</v>
      </c>
      <c r="DF38" s="80">
        <v>0</v>
      </c>
      <c r="DG38" s="80">
        <v>782</v>
      </c>
      <c r="DH38" s="80">
        <v>352</v>
      </c>
      <c r="DI38" s="80">
        <v>0</v>
      </c>
      <c r="DJ38" s="80">
        <v>352</v>
      </c>
      <c r="DK38" s="80">
        <v>0</v>
      </c>
      <c r="DL38" s="80">
        <v>0</v>
      </c>
      <c r="DM38" s="80">
        <v>430</v>
      </c>
      <c r="DN38" s="80">
        <v>186</v>
      </c>
      <c r="DO38" s="80">
        <v>5</v>
      </c>
      <c r="DP38" s="80">
        <v>216</v>
      </c>
      <c r="DQ38" s="80">
        <v>23</v>
      </c>
      <c r="DR38" s="80">
        <v>0</v>
      </c>
      <c r="DS38" s="80">
        <v>0</v>
      </c>
      <c r="DT38" s="80">
        <v>0</v>
      </c>
      <c r="DU38" s="80">
        <v>0</v>
      </c>
      <c r="DV38" s="80">
        <v>0</v>
      </c>
      <c r="DW38" s="80">
        <v>189</v>
      </c>
      <c r="DX38" s="80">
        <v>7611</v>
      </c>
      <c r="DY38" s="80">
        <v>3264</v>
      </c>
      <c r="DZ38" s="80">
        <v>2943</v>
      </c>
      <c r="EA38" s="80">
        <v>0</v>
      </c>
      <c r="EB38" s="80">
        <v>0</v>
      </c>
      <c r="EC38" s="80">
        <v>499</v>
      </c>
      <c r="ED38" s="80">
        <v>-178</v>
      </c>
      <c r="EE38" s="80">
        <v>0</v>
      </c>
      <c r="EF38" s="80">
        <v>0</v>
      </c>
      <c r="EG38" s="80">
        <v>0</v>
      </c>
      <c r="EH38" s="80">
        <v>0</v>
      </c>
      <c r="EI38" s="80">
        <v>0</v>
      </c>
      <c r="EJ38" s="80">
        <v>0</v>
      </c>
      <c r="EK38" s="80">
        <v>0</v>
      </c>
      <c r="EL38" s="80">
        <v>0</v>
      </c>
      <c r="EM38" s="80">
        <v>0</v>
      </c>
      <c r="EN38" s="80">
        <v>0</v>
      </c>
      <c r="EO38" s="80">
        <v>4347</v>
      </c>
      <c r="EP38" s="80">
        <v>1007</v>
      </c>
      <c r="EQ38" s="80">
        <v>0</v>
      </c>
      <c r="ER38" s="80">
        <v>1005</v>
      </c>
      <c r="ES38" s="80">
        <v>0</v>
      </c>
      <c r="ET38" s="80">
        <v>1005</v>
      </c>
      <c r="EU38" s="80">
        <v>0</v>
      </c>
      <c r="EV38" s="80">
        <v>0</v>
      </c>
      <c r="EW38" s="80">
        <v>0</v>
      </c>
      <c r="EX38" s="80">
        <v>0</v>
      </c>
      <c r="EY38" s="80">
        <v>0</v>
      </c>
      <c r="EZ38" s="80">
        <v>0</v>
      </c>
      <c r="FA38" s="80">
        <v>2</v>
      </c>
      <c r="FB38" s="80">
        <v>0</v>
      </c>
      <c r="FC38" s="80">
        <v>0</v>
      </c>
      <c r="FD38" s="80">
        <v>3340</v>
      </c>
      <c r="FE38" s="80">
        <v>0</v>
      </c>
      <c r="FF38" s="80">
        <v>2703</v>
      </c>
      <c r="FG38" s="80">
        <v>0</v>
      </c>
      <c r="FH38" s="80">
        <v>2703</v>
      </c>
      <c r="FI38" s="80">
        <v>0</v>
      </c>
      <c r="FJ38" s="80">
        <v>0</v>
      </c>
      <c r="FK38" s="80">
        <v>0</v>
      </c>
      <c r="FL38" s="80">
        <v>0</v>
      </c>
      <c r="FM38" s="80">
        <v>1</v>
      </c>
      <c r="FN38" s="80">
        <v>135</v>
      </c>
      <c r="FO38" s="80">
        <v>46</v>
      </c>
      <c r="FP38" s="80">
        <v>455</v>
      </c>
      <c r="FQ38" s="80">
        <v>7611</v>
      </c>
      <c r="FR38" s="80">
        <v>8959</v>
      </c>
      <c r="FS38" s="80">
        <v>660</v>
      </c>
      <c r="FT38" s="100">
        <v>3664.9693051617801</v>
      </c>
      <c r="FU38" s="100"/>
      <c r="FV38" s="100">
        <v>1206</v>
      </c>
      <c r="FW38" s="67">
        <v>105</v>
      </c>
      <c r="FX38" s="100">
        <f t="shared" si="5"/>
        <v>-6160</v>
      </c>
      <c r="FY38" s="100">
        <f t="shared" si="6"/>
        <v>-7374</v>
      </c>
      <c r="FZ38" s="100">
        <v>5190.1270036076094</v>
      </c>
      <c r="GA38" s="67">
        <v>1214</v>
      </c>
      <c r="GB38" s="58">
        <f t="shared" si="3"/>
        <v>8</v>
      </c>
      <c r="GC38" s="67">
        <v>121</v>
      </c>
      <c r="GD38" s="100">
        <v>76</v>
      </c>
      <c r="GE38" s="100">
        <v>76</v>
      </c>
      <c r="GF38" s="58">
        <f t="shared" si="4"/>
        <v>0</v>
      </c>
      <c r="GG38" s="100">
        <v>-1775.2640000000004</v>
      </c>
      <c r="GH38" s="100">
        <v>-148.17755000000011</v>
      </c>
      <c r="GI38" s="100">
        <v>-3260.9264135604117</v>
      </c>
      <c r="GJ38" s="67">
        <f t="shared" si="7"/>
        <v>16</v>
      </c>
      <c r="GK38" s="67"/>
      <c r="GL38" s="67"/>
      <c r="GM38" s="96"/>
    </row>
    <row r="39" spans="1:195" ht="13.5" customHeight="1" x14ac:dyDescent="0.2">
      <c r="A39" s="74">
        <v>78</v>
      </c>
      <c r="B39" s="75" t="s">
        <v>232</v>
      </c>
      <c r="C39" s="82" t="s">
        <v>232</v>
      </c>
      <c r="D39" s="76"/>
      <c r="E39" s="77" t="s">
        <v>218</v>
      </c>
      <c r="F39" s="78">
        <v>3</v>
      </c>
      <c r="G39" s="79">
        <v>8864</v>
      </c>
      <c r="H39" s="80">
        <v>15443</v>
      </c>
      <c r="I39" s="80">
        <v>6135</v>
      </c>
      <c r="J39" s="80">
        <v>2880</v>
      </c>
      <c r="K39" s="80">
        <v>1320</v>
      </c>
      <c r="L39" s="80">
        <v>5108</v>
      </c>
      <c r="M39" s="80">
        <v>0</v>
      </c>
      <c r="N39" s="80">
        <v>429</v>
      </c>
      <c r="O39" s="80">
        <v>67370</v>
      </c>
      <c r="P39" s="80">
        <v>30206</v>
      </c>
      <c r="Q39" s="80">
        <v>22397</v>
      </c>
      <c r="R39" s="80">
        <v>7809</v>
      </c>
      <c r="S39" s="80">
        <v>6563</v>
      </c>
      <c r="T39" s="80">
        <v>1246</v>
      </c>
      <c r="U39" s="80">
        <v>28314</v>
      </c>
      <c r="V39" s="80">
        <v>4234</v>
      </c>
      <c r="W39" s="80">
        <v>3595</v>
      </c>
      <c r="X39" s="80">
        <v>1021</v>
      </c>
      <c r="Y39" s="80">
        <v>-51498</v>
      </c>
      <c r="Z39" s="80">
        <v>40070</v>
      </c>
      <c r="AA39" s="80">
        <v>34508</v>
      </c>
      <c r="AB39" s="80">
        <v>2842</v>
      </c>
      <c r="AC39" s="80">
        <v>2720</v>
      </c>
      <c r="AD39" s="80">
        <v>12103</v>
      </c>
      <c r="AE39" s="80">
        <v>1206</v>
      </c>
      <c r="AF39" s="80">
        <v>1772</v>
      </c>
      <c r="AG39" s="80">
        <v>372</v>
      </c>
      <c r="AH39" s="80">
        <v>231</v>
      </c>
      <c r="AI39" s="80">
        <v>921</v>
      </c>
      <c r="AJ39" s="80">
        <v>17</v>
      </c>
      <c r="AK39" s="80">
        <v>1881</v>
      </c>
      <c r="AL39" s="80">
        <v>3744</v>
      </c>
      <c r="AM39" s="80">
        <v>3744</v>
      </c>
      <c r="AN39" s="80">
        <v>0</v>
      </c>
      <c r="AO39" s="80">
        <v>62</v>
      </c>
      <c r="AP39" s="80">
        <v>62</v>
      </c>
      <c r="AQ39" s="80">
        <v>0</v>
      </c>
      <c r="AR39" s="80">
        <v>-1801</v>
      </c>
      <c r="AS39" s="80">
        <v>10</v>
      </c>
      <c r="AT39" s="80">
        <v>0</v>
      </c>
      <c r="AU39" s="80">
        <v>0</v>
      </c>
      <c r="AV39" s="80">
        <v>-1791</v>
      </c>
      <c r="AW39" s="81"/>
      <c r="AX39" s="80">
        <v>1312</v>
      </c>
      <c r="AY39" s="80">
        <v>1881</v>
      </c>
      <c r="AZ39" s="80">
        <v>62</v>
      </c>
      <c r="BA39" s="80">
        <v>-631</v>
      </c>
      <c r="BB39" s="80">
        <v>-2556</v>
      </c>
      <c r="BC39" s="80">
        <v>3288</v>
      </c>
      <c r="BD39" s="80">
        <v>0</v>
      </c>
      <c r="BE39" s="80">
        <v>732</v>
      </c>
      <c r="BF39" s="80">
        <v>-1244</v>
      </c>
      <c r="BG39" s="80">
        <v>1802</v>
      </c>
      <c r="BH39" s="80">
        <v>0</v>
      </c>
      <c r="BI39" s="80">
        <v>0</v>
      </c>
      <c r="BJ39" s="80">
        <v>0</v>
      </c>
      <c r="BK39" s="80">
        <v>1000</v>
      </c>
      <c r="BL39" s="80">
        <v>975</v>
      </c>
      <c r="BM39" s="80">
        <v>-25</v>
      </c>
      <c r="BN39" s="80">
        <v>0</v>
      </c>
      <c r="BO39" s="80">
        <v>0</v>
      </c>
      <c r="BP39" s="80">
        <v>802</v>
      </c>
      <c r="BQ39" s="80">
        <v>62</v>
      </c>
      <c r="BR39" s="80">
        <v>6</v>
      </c>
      <c r="BS39" s="80">
        <v>140</v>
      </c>
      <c r="BT39" s="80">
        <v>594</v>
      </c>
      <c r="BU39" s="80">
        <v>557</v>
      </c>
      <c r="BV39" s="80">
        <v>731</v>
      </c>
      <c r="BW39" s="80">
        <v>174</v>
      </c>
      <c r="BX39" s="81"/>
      <c r="BY39" s="80">
        <v>111522</v>
      </c>
      <c r="BZ39" s="80">
        <v>0</v>
      </c>
      <c r="CA39" s="80">
        <v>0</v>
      </c>
      <c r="CB39" s="80">
        <v>0</v>
      </c>
      <c r="CC39" s="80">
        <v>0</v>
      </c>
      <c r="CD39" s="80">
        <v>64460</v>
      </c>
      <c r="CE39" s="80">
        <v>24372</v>
      </c>
      <c r="CF39" s="80">
        <v>16566</v>
      </c>
      <c r="CG39" s="80">
        <v>21590</v>
      </c>
      <c r="CH39" s="80">
        <v>914</v>
      </c>
      <c r="CI39" s="80">
        <v>21</v>
      </c>
      <c r="CJ39" s="80">
        <v>0</v>
      </c>
      <c r="CK39" s="80">
        <v>997</v>
      </c>
      <c r="CL39" s="80">
        <v>47062</v>
      </c>
      <c r="CM39" s="80">
        <v>16185</v>
      </c>
      <c r="CN39" s="80">
        <v>4389</v>
      </c>
      <c r="CO39" s="80">
        <v>11796</v>
      </c>
      <c r="CP39" s="80">
        <v>0</v>
      </c>
      <c r="CQ39" s="80">
        <v>30427</v>
      </c>
      <c r="CR39" s="80">
        <v>0</v>
      </c>
      <c r="CS39" s="80">
        <v>0</v>
      </c>
      <c r="CT39" s="80">
        <v>30427</v>
      </c>
      <c r="CU39" s="80">
        <v>450</v>
      </c>
      <c r="CV39" s="80">
        <v>2286</v>
      </c>
      <c r="CW39" s="80">
        <v>0</v>
      </c>
      <c r="CX39" s="80">
        <v>2286</v>
      </c>
      <c r="CY39" s="80">
        <v>0</v>
      </c>
      <c r="CZ39" s="80">
        <v>4891</v>
      </c>
      <c r="DA39" s="80">
        <v>162</v>
      </c>
      <c r="DB39" s="80">
        <v>162</v>
      </c>
      <c r="DC39" s="80">
        <v>0</v>
      </c>
      <c r="DD39" s="80">
        <v>0</v>
      </c>
      <c r="DE39" s="80">
        <v>0</v>
      </c>
      <c r="DF39" s="80">
        <v>0</v>
      </c>
      <c r="DG39" s="80">
        <v>3998</v>
      </c>
      <c r="DH39" s="80">
        <v>1</v>
      </c>
      <c r="DI39" s="80">
        <v>0</v>
      </c>
      <c r="DJ39" s="80">
        <v>0</v>
      </c>
      <c r="DK39" s="80">
        <v>0</v>
      </c>
      <c r="DL39" s="80">
        <v>1</v>
      </c>
      <c r="DM39" s="80">
        <v>3997</v>
      </c>
      <c r="DN39" s="80">
        <v>2073</v>
      </c>
      <c r="DO39" s="80">
        <v>0</v>
      </c>
      <c r="DP39" s="80">
        <v>788</v>
      </c>
      <c r="DQ39" s="80">
        <v>1136</v>
      </c>
      <c r="DR39" s="80">
        <v>0</v>
      </c>
      <c r="DS39" s="80">
        <v>0</v>
      </c>
      <c r="DT39" s="80">
        <v>0</v>
      </c>
      <c r="DU39" s="80">
        <v>0</v>
      </c>
      <c r="DV39" s="80">
        <v>0</v>
      </c>
      <c r="DW39" s="80">
        <v>731</v>
      </c>
      <c r="DX39" s="80">
        <v>118699</v>
      </c>
      <c r="DY39" s="80">
        <v>41072</v>
      </c>
      <c r="DZ39" s="80">
        <v>28240</v>
      </c>
      <c r="EA39" s="80">
        <v>235</v>
      </c>
      <c r="EB39" s="80">
        <v>10428</v>
      </c>
      <c r="EC39" s="80">
        <v>3961</v>
      </c>
      <c r="ED39" s="80">
        <v>-1792</v>
      </c>
      <c r="EE39" s="80">
        <v>64</v>
      </c>
      <c r="EF39" s="80">
        <v>64</v>
      </c>
      <c r="EG39" s="80">
        <v>0</v>
      </c>
      <c r="EH39" s="80">
        <v>384</v>
      </c>
      <c r="EI39" s="80">
        <v>147</v>
      </c>
      <c r="EJ39" s="80">
        <v>237</v>
      </c>
      <c r="EK39" s="80">
        <v>3397</v>
      </c>
      <c r="EL39" s="80">
        <v>123</v>
      </c>
      <c r="EM39" s="80">
        <v>3267</v>
      </c>
      <c r="EN39" s="80">
        <v>7</v>
      </c>
      <c r="EO39" s="80">
        <v>73782</v>
      </c>
      <c r="EP39" s="80">
        <v>24912</v>
      </c>
      <c r="EQ39" s="80">
        <v>0</v>
      </c>
      <c r="ER39" s="80">
        <v>24912</v>
      </c>
      <c r="ES39" s="80">
        <v>4500</v>
      </c>
      <c r="ET39" s="80">
        <v>20412</v>
      </c>
      <c r="EU39" s="80">
        <v>0</v>
      </c>
      <c r="EV39" s="80">
        <v>0</v>
      </c>
      <c r="EW39" s="80">
        <v>0</v>
      </c>
      <c r="EX39" s="80">
        <v>0</v>
      </c>
      <c r="EY39" s="80">
        <v>0</v>
      </c>
      <c r="EZ39" s="80">
        <v>0</v>
      </c>
      <c r="FA39" s="80">
        <v>0</v>
      </c>
      <c r="FB39" s="80">
        <v>0</v>
      </c>
      <c r="FC39" s="80">
        <v>0</v>
      </c>
      <c r="FD39" s="80">
        <v>48870</v>
      </c>
      <c r="FE39" s="80">
        <v>0</v>
      </c>
      <c r="FF39" s="80">
        <v>40725</v>
      </c>
      <c r="FG39" s="80">
        <v>3000</v>
      </c>
      <c r="FH39" s="80">
        <v>37725</v>
      </c>
      <c r="FI39" s="80">
        <v>0</v>
      </c>
      <c r="FJ39" s="80">
        <v>0</v>
      </c>
      <c r="FK39" s="80">
        <v>0</v>
      </c>
      <c r="FL39" s="80">
        <v>0</v>
      </c>
      <c r="FM39" s="80">
        <v>1</v>
      </c>
      <c r="FN39" s="80">
        <v>3105</v>
      </c>
      <c r="FO39" s="80">
        <v>733</v>
      </c>
      <c r="FP39" s="80">
        <v>4306</v>
      </c>
      <c r="FQ39" s="80">
        <v>118699</v>
      </c>
      <c r="FR39" s="80">
        <v>3501</v>
      </c>
      <c r="FS39" s="80">
        <v>877</v>
      </c>
      <c r="FT39" s="100">
        <v>32684.114181862795</v>
      </c>
      <c r="FU39" s="100"/>
      <c r="FV39" s="100">
        <v>16305</v>
      </c>
      <c r="FW39" s="67">
        <v>3745</v>
      </c>
      <c r="FX39" s="100">
        <f t="shared" si="5"/>
        <v>-26356</v>
      </c>
      <c r="FY39" s="100">
        <f t="shared" si="6"/>
        <v>-47754</v>
      </c>
      <c r="FZ39" s="100">
        <v>34717.177485520842</v>
      </c>
      <c r="GA39" s="67">
        <v>21398</v>
      </c>
      <c r="GB39" s="58">
        <f t="shared" si="3"/>
        <v>5093</v>
      </c>
      <c r="GC39" s="67">
        <v>3745</v>
      </c>
      <c r="GD39" s="100">
        <v>2881</v>
      </c>
      <c r="GE39" s="100">
        <v>840</v>
      </c>
      <c r="GF39" s="58">
        <f t="shared" si="4"/>
        <v>2041</v>
      </c>
      <c r="GG39" s="100">
        <v>-19533.716</v>
      </c>
      <c r="GH39" s="100">
        <v>-691.72470000000021</v>
      </c>
      <c r="GI39" s="100">
        <v>-15048.845083302003</v>
      </c>
      <c r="GJ39" s="67">
        <f t="shared" si="7"/>
        <v>0</v>
      </c>
      <c r="GK39" s="67"/>
      <c r="GL39" s="67"/>
      <c r="GM39" s="96"/>
    </row>
    <row r="40" spans="1:195" s="6" customFormat="1" ht="13.5" customHeight="1" x14ac:dyDescent="0.2">
      <c r="A40" s="74">
        <v>77</v>
      </c>
      <c r="B40" s="75" t="s">
        <v>20</v>
      </c>
      <c r="C40" s="75" t="s">
        <v>20</v>
      </c>
      <c r="D40" s="76"/>
      <c r="E40" s="77" t="s">
        <v>231</v>
      </c>
      <c r="F40" s="78">
        <v>3</v>
      </c>
      <c r="G40" s="79">
        <v>5240</v>
      </c>
      <c r="H40" s="80">
        <v>9340</v>
      </c>
      <c r="I40" s="80">
        <v>4389</v>
      </c>
      <c r="J40" s="80">
        <v>2566</v>
      </c>
      <c r="K40" s="80">
        <v>1346</v>
      </c>
      <c r="L40" s="80">
        <v>1039</v>
      </c>
      <c r="M40" s="80">
        <v>0</v>
      </c>
      <c r="N40" s="80">
        <v>0</v>
      </c>
      <c r="O40" s="80">
        <v>41109</v>
      </c>
      <c r="P40" s="80">
        <v>18509</v>
      </c>
      <c r="Q40" s="80">
        <v>13929</v>
      </c>
      <c r="R40" s="80">
        <v>4580</v>
      </c>
      <c r="S40" s="80">
        <v>3708</v>
      </c>
      <c r="T40" s="80">
        <v>872</v>
      </c>
      <c r="U40" s="80">
        <v>17688</v>
      </c>
      <c r="V40" s="80">
        <v>1976</v>
      </c>
      <c r="W40" s="80">
        <v>2497</v>
      </c>
      <c r="X40" s="80">
        <v>439</v>
      </c>
      <c r="Y40" s="80">
        <v>-31769</v>
      </c>
      <c r="Z40" s="80">
        <v>15329</v>
      </c>
      <c r="AA40" s="80">
        <v>13209</v>
      </c>
      <c r="AB40" s="80">
        <v>790</v>
      </c>
      <c r="AC40" s="80">
        <v>1330</v>
      </c>
      <c r="AD40" s="80">
        <v>18516</v>
      </c>
      <c r="AE40" s="80">
        <v>44</v>
      </c>
      <c r="AF40" s="80">
        <v>1</v>
      </c>
      <c r="AG40" s="80">
        <v>148</v>
      </c>
      <c r="AH40" s="80">
        <v>118</v>
      </c>
      <c r="AI40" s="80">
        <v>104</v>
      </c>
      <c r="AJ40" s="80">
        <v>1</v>
      </c>
      <c r="AK40" s="80">
        <v>2120</v>
      </c>
      <c r="AL40" s="80">
        <v>1634</v>
      </c>
      <c r="AM40" s="80">
        <v>1634</v>
      </c>
      <c r="AN40" s="80">
        <v>0</v>
      </c>
      <c r="AO40" s="80">
        <v>0</v>
      </c>
      <c r="AP40" s="80">
        <v>0</v>
      </c>
      <c r="AQ40" s="80">
        <v>0</v>
      </c>
      <c r="AR40" s="80">
        <v>486</v>
      </c>
      <c r="AS40" s="80">
        <v>22</v>
      </c>
      <c r="AT40" s="80">
        <v>0</v>
      </c>
      <c r="AU40" s="80">
        <v>0</v>
      </c>
      <c r="AV40" s="80">
        <v>508</v>
      </c>
      <c r="AW40" s="81"/>
      <c r="AX40" s="80">
        <v>1892</v>
      </c>
      <c r="AY40" s="80">
        <v>2120</v>
      </c>
      <c r="AZ40" s="80">
        <v>0</v>
      </c>
      <c r="BA40" s="80">
        <v>-228</v>
      </c>
      <c r="BB40" s="80">
        <v>-3151</v>
      </c>
      <c r="BC40" s="80">
        <v>3518</v>
      </c>
      <c r="BD40" s="80">
        <v>30</v>
      </c>
      <c r="BE40" s="80">
        <v>337</v>
      </c>
      <c r="BF40" s="80">
        <v>-1259</v>
      </c>
      <c r="BG40" s="80">
        <v>1025</v>
      </c>
      <c r="BH40" s="80">
        <v>82</v>
      </c>
      <c r="BI40" s="80">
        <v>0</v>
      </c>
      <c r="BJ40" s="80">
        <v>82</v>
      </c>
      <c r="BK40" s="80">
        <v>854</v>
      </c>
      <c r="BL40" s="80">
        <v>0</v>
      </c>
      <c r="BM40" s="80">
        <v>649</v>
      </c>
      <c r="BN40" s="80">
        <v>1503</v>
      </c>
      <c r="BO40" s="80">
        <v>0</v>
      </c>
      <c r="BP40" s="80">
        <v>89</v>
      </c>
      <c r="BQ40" s="80">
        <v>588</v>
      </c>
      <c r="BR40" s="80">
        <v>3</v>
      </c>
      <c r="BS40" s="80">
        <v>-662</v>
      </c>
      <c r="BT40" s="80">
        <v>160</v>
      </c>
      <c r="BU40" s="80">
        <v>-234</v>
      </c>
      <c r="BV40" s="80">
        <v>556</v>
      </c>
      <c r="BW40" s="80">
        <v>790</v>
      </c>
      <c r="BX40" s="81"/>
      <c r="BY40" s="80">
        <v>28740</v>
      </c>
      <c r="BZ40" s="80">
        <v>369</v>
      </c>
      <c r="CA40" s="80">
        <v>369</v>
      </c>
      <c r="CB40" s="80">
        <v>0</v>
      </c>
      <c r="CC40" s="80">
        <v>0</v>
      </c>
      <c r="CD40" s="80">
        <v>25245</v>
      </c>
      <c r="CE40" s="80">
        <v>1798</v>
      </c>
      <c r="CF40" s="80">
        <v>17611</v>
      </c>
      <c r="CG40" s="80">
        <v>3401</v>
      </c>
      <c r="CH40" s="80">
        <v>633</v>
      </c>
      <c r="CI40" s="80">
        <v>0</v>
      </c>
      <c r="CJ40" s="80">
        <v>0</v>
      </c>
      <c r="CK40" s="80">
        <v>1802</v>
      </c>
      <c r="CL40" s="80">
        <v>3126</v>
      </c>
      <c r="CM40" s="80">
        <v>3126</v>
      </c>
      <c r="CN40" s="80">
        <v>1244</v>
      </c>
      <c r="CO40" s="80">
        <v>1882</v>
      </c>
      <c r="CP40" s="80">
        <v>0</v>
      </c>
      <c r="CQ40" s="80">
        <v>0</v>
      </c>
      <c r="CR40" s="80">
        <v>0</v>
      </c>
      <c r="CS40" s="80">
        <v>0</v>
      </c>
      <c r="CT40" s="80">
        <v>0</v>
      </c>
      <c r="CU40" s="80">
        <v>0</v>
      </c>
      <c r="CV40" s="80">
        <v>35</v>
      </c>
      <c r="CW40" s="80">
        <v>17</v>
      </c>
      <c r="CX40" s="80">
        <v>18</v>
      </c>
      <c r="CY40" s="80">
        <v>0</v>
      </c>
      <c r="CZ40" s="80">
        <v>3524</v>
      </c>
      <c r="DA40" s="80">
        <v>38</v>
      </c>
      <c r="DB40" s="80">
        <v>38</v>
      </c>
      <c r="DC40" s="80">
        <v>0</v>
      </c>
      <c r="DD40" s="80">
        <v>0</v>
      </c>
      <c r="DE40" s="80">
        <v>0</v>
      </c>
      <c r="DF40" s="80">
        <v>0</v>
      </c>
      <c r="DG40" s="80">
        <v>2929</v>
      </c>
      <c r="DH40" s="80">
        <v>610</v>
      </c>
      <c r="DI40" s="80">
        <v>37</v>
      </c>
      <c r="DJ40" s="80">
        <v>573</v>
      </c>
      <c r="DK40" s="80">
        <v>0</v>
      </c>
      <c r="DL40" s="80">
        <v>0</v>
      </c>
      <c r="DM40" s="80">
        <v>2319</v>
      </c>
      <c r="DN40" s="80">
        <v>735</v>
      </c>
      <c r="DO40" s="80">
        <v>0</v>
      </c>
      <c r="DP40" s="80">
        <v>787</v>
      </c>
      <c r="DQ40" s="80">
        <v>797</v>
      </c>
      <c r="DR40" s="80">
        <v>259</v>
      </c>
      <c r="DS40" s="80">
        <v>0</v>
      </c>
      <c r="DT40" s="80">
        <v>0</v>
      </c>
      <c r="DU40" s="80">
        <v>0</v>
      </c>
      <c r="DV40" s="80">
        <v>259</v>
      </c>
      <c r="DW40" s="80">
        <v>298</v>
      </c>
      <c r="DX40" s="80">
        <v>32299</v>
      </c>
      <c r="DY40" s="80">
        <v>16222</v>
      </c>
      <c r="DZ40" s="80">
        <v>18669</v>
      </c>
      <c r="EA40" s="80">
        <v>0</v>
      </c>
      <c r="EB40" s="80">
        <v>0</v>
      </c>
      <c r="EC40" s="80">
        <v>-2954</v>
      </c>
      <c r="ED40" s="80">
        <v>507</v>
      </c>
      <c r="EE40" s="80">
        <v>88</v>
      </c>
      <c r="EF40" s="80">
        <v>88</v>
      </c>
      <c r="EG40" s="80">
        <v>0</v>
      </c>
      <c r="EH40" s="80">
        <v>0</v>
      </c>
      <c r="EI40" s="80">
        <v>0</v>
      </c>
      <c r="EJ40" s="80">
        <v>0</v>
      </c>
      <c r="EK40" s="80">
        <v>720</v>
      </c>
      <c r="EL40" s="80">
        <v>0</v>
      </c>
      <c r="EM40" s="80">
        <v>711</v>
      </c>
      <c r="EN40" s="80">
        <v>9</v>
      </c>
      <c r="EO40" s="80">
        <v>15269</v>
      </c>
      <c r="EP40" s="80">
        <v>3850</v>
      </c>
      <c r="EQ40" s="80">
        <v>0</v>
      </c>
      <c r="ER40" s="80">
        <v>3417</v>
      </c>
      <c r="ES40" s="80">
        <v>1575</v>
      </c>
      <c r="ET40" s="80">
        <v>1842</v>
      </c>
      <c r="EU40" s="80">
        <v>0</v>
      </c>
      <c r="EV40" s="80">
        <v>0</v>
      </c>
      <c r="EW40" s="80">
        <v>0</v>
      </c>
      <c r="EX40" s="80">
        <v>0</v>
      </c>
      <c r="EY40" s="80">
        <v>0</v>
      </c>
      <c r="EZ40" s="80">
        <v>0</v>
      </c>
      <c r="FA40" s="80">
        <v>433</v>
      </c>
      <c r="FB40" s="80">
        <v>0</v>
      </c>
      <c r="FC40" s="80">
        <v>0</v>
      </c>
      <c r="FD40" s="80">
        <v>11419</v>
      </c>
      <c r="FE40" s="80">
        <v>0</v>
      </c>
      <c r="FF40" s="80">
        <v>5768</v>
      </c>
      <c r="FG40" s="80">
        <v>5395</v>
      </c>
      <c r="FH40" s="80">
        <v>373</v>
      </c>
      <c r="FI40" s="80">
        <v>0</v>
      </c>
      <c r="FJ40" s="80">
        <v>0</v>
      </c>
      <c r="FK40" s="80">
        <v>0</v>
      </c>
      <c r="FL40" s="80">
        <v>0</v>
      </c>
      <c r="FM40" s="80">
        <v>0</v>
      </c>
      <c r="FN40" s="80">
        <v>2418</v>
      </c>
      <c r="FO40" s="80">
        <v>917</v>
      </c>
      <c r="FP40" s="80">
        <v>2316</v>
      </c>
      <c r="FQ40" s="80">
        <v>32299</v>
      </c>
      <c r="FR40" s="80">
        <v>1785</v>
      </c>
      <c r="FS40" s="80">
        <v>842</v>
      </c>
      <c r="FT40" s="100">
        <v>21610.41384892854</v>
      </c>
      <c r="FU40" s="100"/>
      <c r="FV40" s="100">
        <v>11380</v>
      </c>
      <c r="FW40" s="67">
        <v>1570</v>
      </c>
      <c r="FX40" s="100">
        <f t="shared" si="5"/>
        <v>-16126</v>
      </c>
      <c r="FY40" s="100">
        <f t="shared" si="6"/>
        <v>-30135</v>
      </c>
      <c r="FZ40" s="100">
        <v>21398.275697327539</v>
      </c>
      <c r="GA40" s="67">
        <v>14009</v>
      </c>
      <c r="GB40" s="58">
        <f t="shared" si="3"/>
        <v>2629</v>
      </c>
      <c r="GC40" s="67">
        <v>1634</v>
      </c>
      <c r="GD40" s="100">
        <v>2568</v>
      </c>
      <c r="GE40" s="100">
        <v>782</v>
      </c>
      <c r="GF40" s="58">
        <f t="shared" si="4"/>
        <v>1786</v>
      </c>
      <c r="GG40" s="100">
        <v>-7275.8530000000001</v>
      </c>
      <c r="GH40" s="100">
        <v>-229.90050000000011</v>
      </c>
      <c r="GI40" s="100">
        <v>-14191.741209041649</v>
      </c>
      <c r="GJ40" s="67">
        <f t="shared" si="7"/>
        <v>64</v>
      </c>
      <c r="GK40" s="67"/>
      <c r="GL40" s="67"/>
      <c r="GM40" s="96"/>
    </row>
    <row r="41" spans="1:195" ht="13.5" customHeight="1" x14ac:dyDescent="0.2">
      <c r="A41" s="74">
        <v>79</v>
      </c>
      <c r="B41" s="75" t="s">
        <v>21</v>
      </c>
      <c r="C41" s="75" t="s">
        <v>21</v>
      </c>
      <c r="D41" s="76"/>
      <c r="E41" s="77" t="s">
        <v>224</v>
      </c>
      <c r="F41" s="78">
        <v>3</v>
      </c>
      <c r="G41" s="79">
        <v>7296</v>
      </c>
      <c r="H41" s="80">
        <v>6190</v>
      </c>
      <c r="I41" s="80">
        <v>2581</v>
      </c>
      <c r="J41" s="80">
        <v>1253</v>
      </c>
      <c r="K41" s="80">
        <v>714</v>
      </c>
      <c r="L41" s="80">
        <v>1642</v>
      </c>
      <c r="M41" s="80">
        <v>0</v>
      </c>
      <c r="N41" s="80">
        <v>14</v>
      </c>
      <c r="O41" s="80">
        <v>47925</v>
      </c>
      <c r="P41" s="80">
        <v>15341</v>
      </c>
      <c r="Q41" s="80">
        <v>11597</v>
      </c>
      <c r="R41" s="80">
        <v>3744</v>
      </c>
      <c r="S41" s="80">
        <v>3133</v>
      </c>
      <c r="T41" s="80">
        <v>611</v>
      </c>
      <c r="U41" s="80">
        <v>28056</v>
      </c>
      <c r="V41" s="80">
        <v>2088</v>
      </c>
      <c r="W41" s="80">
        <v>1786</v>
      </c>
      <c r="X41" s="80">
        <v>654</v>
      </c>
      <c r="Y41" s="80">
        <v>-41721</v>
      </c>
      <c r="Z41" s="80">
        <v>30477</v>
      </c>
      <c r="AA41" s="80">
        <v>23439</v>
      </c>
      <c r="AB41" s="80">
        <v>5237</v>
      </c>
      <c r="AC41" s="80">
        <v>1801</v>
      </c>
      <c r="AD41" s="80">
        <v>12673</v>
      </c>
      <c r="AE41" s="80">
        <v>-114</v>
      </c>
      <c r="AF41" s="80">
        <v>15</v>
      </c>
      <c r="AG41" s="80">
        <v>55</v>
      </c>
      <c r="AH41" s="80">
        <v>27</v>
      </c>
      <c r="AI41" s="80">
        <v>179</v>
      </c>
      <c r="AJ41" s="80">
        <v>5</v>
      </c>
      <c r="AK41" s="80">
        <v>1315</v>
      </c>
      <c r="AL41" s="80">
        <v>2180</v>
      </c>
      <c r="AM41" s="80">
        <v>2180</v>
      </c>
      <c r="AN41" s="80">
        <v>0</v>
      </c>
      <c r="AO41" s="80">
        <v>0</v>
      </c>
      <c r="AP41" s="80">
        <v>0</v>
      </c>
      <c r="AQ41" s="80">
        <v>0</v>
      </c>
      <c r="AR41" s="80">
        <v>-865</v>
      </c>
      <c r="AS41" s="80">
        <v>0</v>
      </c>
      <c r="AT41" s="80">
        <v>0</v>
      </c>
      <c r="AU41" s="80">
        <v>0</v>
      </c>
      <c r="AV41" s="80">
        <v>-865</v>
      </c>
      <c r="AW41" s="81"/>
      <c r="AX41" s="80">
        <v>1087</v>
      </c>
      <c r="AY41" s="80">
        <v>1315</v>
      </c>
      <c r="AZ41" s="80">
        <v>0</v>
      </c>
      <c r="BA41" s="80">
        <v>-228</v>
      </c>
      <c r="BB41" s="80">
        <v>-1721</v>
      </c>
      <c r="BC41" s="80">
        <v>2052</v>
      </c>
      <c r="BD41" s="80">
        <v>6</v>
      </c>
      <c r="BE41" s="80">
        <v>325</v>
      </c>
      <c r="BF41" s="80">
        <v>-634</v>
      </c>
      <c r="BG41" s="80">
        <v>-1172</v>
      </c>
      <c r="BH41" s="80">
        <v>-2</v>
      </c>
      <c r="BI41" s="80">
        <v>3</v>
      </c>
      <c r="BJ41" s="80">
        <v>1</v>
      </c>
      <c r="BK41" s="80">
        <v>-1143</v>
      </c>
      <c r="BL41" s="80">
        <v>0</v>
      </c>
      <c r="BM41" s="80">
        <v>2143</v>
      </c>
      <c r="BN41" s="80">
        <v>1000</v>
      </c>
      <c r="BO41" s="80">
        <v>0</v>
      </c>
      <c r="BP41" s="80">
        <v>-27</v>
      </c>
      <c r="BQ41" s="80">
        <v>452</v>
      </c>
      <c r="BR41" s="80">
        <v>0</v>
      </c>
      <c r="BS41" s="80">
        <v>-73</v>
      </c>
      <c r="BT41" s="80">
        <v>-406</v>
      </c>
      <c r="BU41" s="80">
        <v>-1806</v>
      </c>
      <c r="BV41" s="80">
        <v>105</v>
      </c>
      <c r="BW41" s="80">
        <v>1911</v>
      </c>
      <c r="BX41" s="81"/>
      <c r="BY41" s="80">
        <v>43233</v>
      </c>
      <c r="BZ41" s="80">
        <v>82</v>
      </c>
      <c r="CA41" s="80">
        <v>23</v>
      </c>
      <c r="CB41" s="80">
        <v>59</v>
      </c>
      <c r="CC41" s="80">
        <v>0</v>
      </c>
      <c r="CD41" s="80">
        <v>36806</v>
      </c>
      <c r="CE41" s="80">
        <v>5725</v>
      </c>
      <c r="CF41" s="80">
        <v>23247</v>
      </c>
      <c r="CG41" s="80">
        <v>7477</v>
      </c>
      <c r="CH41" s="80">
        <v>316</v>
      </c>
      <c r="CI41" s="80">
        <v>41</v>
      </c>
      <c r="CJ41" s="80">
        <v>41</v>
      </c>
      <c r="CK41" s="80">
        <v>0</v>
      </c>
      <c r="CL41" s="80">
        <v>6345</v>
      </c>
      <c r="CM41" s="80">
        <v>6261</v>
      </c>
      <c r="CN41" s="80">
        <v>5223</v>
      </c>
      <c r="CO41" s="80">
        <v>1038</v>
      </c>
      <c r="CP41" s="80">
        <v>0</v>
      </c>
      <c r="CQ41" s="80">
        <v>29</v>
      </c>
      <c r="CR41" s="80">
        <v>0</v>
      </c>
      <c r="CS41" s="80">
        <v>0</v>
      </c>
      <c r="CT41" s="80">
        <v>29</v>
      </c>
      <c r="CU41" s="80">
        <v>55</v>
      </c>
      <c r="CV41" s="80">
        <v>29</v>
      </c>
      <c r="CW41" s="80">
        <v>0</v>
      </c>
      <c r="CX41" s="80">
        <v>29</v>
      </c>
      <c r="CY41" s="80">
        <v>0</v>
      </c>
      <c r="CZ41" s="80">
        <v>2740</v>
      </c>
      <c r="DA41" s="80">
        <v>0</v>
      </c>
      <c r="DB41" s="80">
        <v>0</v>
      </c>
      <c r="DC41" s="80">
        <v>0</v>
      </c>
      <c r="DD41" s="80">
        <v>0</v>
      </c>
      <c r="DE41" s="80">
        <v>0</v>
      </c>
      <c r="DF41" s="80">
        <v>0</v>
      </c>
      <c r="DG41" s="80">
        <v>2635</v>
      </c>
      <c r="DH41" s="80">
        <v>817</v>
      </c>
      <c r="DI41" s="80">
        <v>0</v>
      </c>
      <c r="DJ41" s="80">
        <v>812</v>
      </c>
      <c r="DK41" s="80">
        <v>0</v>
      </c>
      <c r="DL41" s="80">
        <v>5</v>
      </c>
      <c r="DM41" s="80">
        <v>1818</v>
      </c>
      <c r="DN41" s="80">
        <v>886</v>
      </c>
      <c r="DO41" s="80">
        <v>80</v>
      </c>
      <c r="DP41" s="80">
        <v>141</v>
      </c>
      <c r="DQ41" s="80">
        <v>711</v>
      </c>
      <c r="DR41" s="80">
        <v>0</v>
      </c>
      <c r="DS41" s="80">
        <v>0</v>
      </c>
      <c r="DT41" s="80">
        <v>0</v>
      </c>
      <c r="DU41" s="80">
        <v>0</v>
      </c>
      <c r="DV41" s="80">
        <v>0</v>
      </c>
      <c r="DW41" s="80">
        <v>105</v>
      </c>
      <c r="DX41" s="80">
        <v>46002</v>
      </c>
      <c r="DY41" s="80">
        <v>27705</v>
      </c>
      <c r="DZ41" s="80">
        <v>17854</v>
      </c>
      <c r="EA41" s="80">
        <v>159</v>
      </c>
      <c r="EB41" s="80">
        <v>0</v>
      </c>
      <c r="EC41" s="80">
        <v>10557</v>
      </c>
      <c r="ED41" s="80">
        <v>-865</v>
      </c>
      <c r="EE41" s="80">
        <v>0</v>
      </c>
      <c r="EF41" s="80">
        <v>0</v>
      </c>
      <c r="EG41" s="80">
        <v>0</v>
      </c>
      <c r="EH41" s="80">
        <v>0</v>
      </c>
      <c r="EI41" s="80">
        <v>0</v>
      </c>
      <c r="EJ41" s="80">
        <v>0</v>
      </c>
      <c r="EK41" s="80">
        <v>500</v>
      </c>
      <c r="EL41" s="80">
        <v>0</v>
      </c>
      <c r="EM41" s="80">
        <v>48</v>
      </c>
      <c r="EN41" s="80">
        <v>452</v>
      </c>
      <c r="EO41" s="80">
        <v>17797</v>
      </c>
      <c r="EP41" s="80">
        <v>8738</v>
      </c>
      <c r="EQ41" s="80">
        <v>0</v>
      </c>
      <c r="ER41" s="80">
        <v>8714</v>
      </c>
      <c r="ES41" s="80">
        <v>0</v>
      </c>
      <c r="ET41" s="80">
        <v>8714</v>
      </c>
      <c r="EU41" s="80">
        <v>0</v>
      </c>
      <c r="EV41" s="80">
        <v>0</v>
      </c>
      <c r="EW41" s="80">
        <v>0</v>
      </c>
      <c r="EX41" s="80">
        <v>0</v>
      </c>
      <c r="EY41" s="80">
        <v>15</v>
      </c>
      <c r="EZ41" s="80">
        <v>0</v>
      </c>
      <c r="FA41" s="80">
        <v>9</v>
      </c>
      <c r="FB41" s="80">
        <v>0</v>
      </c>
      <c r="FC41" s="80">
        <v>0</v>
      </c>
      <c r="FD41" s="80">
        <v>9059</v>
      </c>
      <c r="FE41" s="80">
        <v>0</v>
      </c>
      <c r="FF41" s="80">
        <v>3143</v>
      </c>
      <c r="FG41" s="80">
        <v>1000</v>
      </c>
      <c r="FH41" s="80">
        <v>2143</v>
      </c>
      <c r="FI41" s="80">
        <v>0</v>
      </c>
      <c r="FJ41" s="80">
        <v>0</v>
      </c>
      <c r="FK41" s="80">
        <v>0</v>
      </c>
      <c r="FL41" s="80">
        <v>0</v>
      </c>
      <c r="FM41" s="80">
        <v>61</v>
      </c>
      <c r="FN41" s="80">
        <v>3226</v>
      </c>
      <c r="FO41" s="80">
        <v>523</v>
      </c>
      <c r="FP41" s="80">
        <v>2106</v>
      </c>
      <c r="FQ41" s="80">
        <v>46002</v>
      </c>
      <c r="FR41" s="80">
        <v>1571</v>
      </c>
      <c r="FS41" s="80">
        <v>899</v>
      </c>
      <c r="FT41" s="100">
        <v>23345.279447465065</v>
      </c>
      <c r="FU41" s="100"/>
      <c r="FV41" s="100">
        <v>10093</v>
      </c>
      <c r="FW41" s="67">
        <v>2180</v>
      </c>
      <c r="FX41" s="100">
        <f t="shared" si="5"/>
        <v>-27531</v>
      </c>
      <c r="FY41" s="100">
        <f t="shared" si="6"/>
        <v>-39541</v>
      </c>
      <c r="FZ41" s="100">
        <v>28098.688935559912</v>
      </c>
      <c r="GA41" s="67">
        <v>12010</v>
      </c>
      <c r="GB41" s="58">
        <f t="shared" si="3"/>
        <v>1917</v>
      </c>
      <c r="GC41" s="67">
        <v>2180</v>
      </c>
      <c r="GD41" s="100">
        <v>1254</v>
      </c>
      <c r="GE41" s="100">
        <v>523</v>
      </c>
      <c r="GF41" s="58">
        <f t="shared" si="4"/>
        <v>731</v>
      </c>
      <c r="GG41" s="100">
        <v>-14563.082</v>
      </c>
      <c r="GH41" s="100">
        <v>-1684.1664000000003</v>
      </c>
      <c r="GI41" s="100">
        <v>-12075.320951564405</v>
      </c>
      <c r="GJ41" s="67">
        <f t="shared" si="7"/>
        <v>0</v>
      </c>
      <c r="GK41" s="67"/>
      <c r="GL41" s="67"/>
      <c r="GM41" s="96"/>
    </row>
    <row r="42" spans="1:195" ht="13.5" customHeight="1" x14ac:dyDescent="0.2">
      <c r="A42" s="74">
        <v>81</v>
      </c>
      <c r="B42" s="75" t="s">
        <v>22</v>
      </c>
      <c r="C42" s="75" t="s">
        <v>22</v>
      </c>
      <c r="D42" s="76"/>
      <c r="E42" s="77" t="s">
        <v>217</v>
      </c>
      <c r="F42" s="78">
        <v>2</v>
      </c>
      <c r="G42" s="79">
        <v>2982</v>
      </c>
      <c r="H42" s="80">
        <v>2992</v>
      </c>
      <c r="I42" s="80">
        <v>1329</v>
      </c>
      <c r="J42" s="80">
        <v>311</v>
      </c>
      <c r="K42" s="80">
        <v>197</v>
      </c>
      <c r="L42" s="80">
        <v>1155</v>
      </c>
      <c r="M42" s="80">
        <v>0</v>
      </c>
      <c r="N42" s="80">
        <v>47</v>
      </c>
      <c r="O42" s="80">
        <v>20545</v>
      </c>
      <c r="P42" s="80">
        <v>4640</v>
      </c>
      <c r="Q42" s="80">
        <v>3297</v>
      </c>
      <c r="R42" s="80">
        <v>1343</v>
      </c>
      <c r="S42" s="80">
        <v>1194</v>
      </c>
      <c r="T42" s="80">
        <v>149</v>
      </c>
      <c r="U42" s="80">
        <v>14553</v>
      </c>
      <c r="V42" s="80">
        <v>789</v>
      </c>
      <c r="W42" s="80">
        <v>280</v>
      </c>
      <c r="X42" s="80">
        <v>283</v>
      </c>
      <c r="Y42" s="80">
        <v>-17506</v>
      </c>
      <c r="Z42" s="80">
        <v>10219</v>
      </c>
      <c r="AA42" s="80">
        <v>7596</v>
      </c>
      <c r="AB42" s="80">
        <v>1285</v>
      </c>
      <c r="AC42" s="80">
        <v>1338</v>
      </c>
      <c r="AD42" s="80">
        <v>8788</v>
      </c>
      <c r="AE42" s="80">
        <v>-137</v>
      </c>
      <c r="AF42" s="80">
        <v>12</v>
      </c>
      <c r="AG42" s="80">
        <v>31</v>
      </c>
      <c r="AH42" s="80">
        <v>28</v>
      </c>
      <c r="AI42" s="80">
        <v>178</v>
      </c>
      <c r="AJ42" s="80">
        <v>2</v>
      </c>
      <c r="AK42" s="80">
        <v>1364</v>
      </c>
      <c r="AL42" s="80">
        <v>556</v>
      </c>
      <c r="AM42" s="80">
        <v>556</v>
      </c>
      <c r="AN42" s="80">
        <v>0</v>
      </c>
      <c r="AO42" s="80">
        <v>0</v>
      </c>
      <c r="AP42" s="80">
        <v>0</v>
      </c>
      <c r="AQ42" s="80">
        <v>0</v>
      </c>
      <c r="AR42" s="80">
        <v>808</v>
      </c>
      <c r="AS42" s="80">
        <v>0</v>
      </c>
      <c r="AT42" s="80">
        <v>0</v>
      </c>
      <c r="AU42" s="80">
        <v>0</v>
      </c>
      <c r="AV42" s="80">
        <v>808</v>
      </c>
      <c r="AW42" s="81"/>
      <c r="AX42" s="80">
        <v>1133</v>
      </c>
      <c r="AY42" s="80">
        <v>1364</v>
      </c>
      <c r="AZ42" s="80">
        <v>0</v>
      </c>
      <c r="BA42" s="80">
        <v>-231</v>
      </c>
      <c r="BB42" s="80">
        <v>-2930</v>
      </c>
      <c r="BC42" s="80">
        <v>4678</v>
      </c>
      <c r="BD42" s="80">
        <v>1485</v>
      </c>
      <c r="BE42" s="80">
        <v>263</v>
      </c>
      <c r="BF42" s="80">
        <v>-1797</v>
      </c>
      <c r="BG42" s="80">
        <v>2036</v>
      </c>
      <c r="BH42" s="80">
        <v>31</v>
      </c>
      <c r="BI42" s="80">
        <v>10</v>
      </c>
      <c r="BJ42" s="80">
        <v>41</v>
      </c>
      <c r="BK42" s="80">
        <v>1934</v>
      </c>
      <c r="BL42" s="80">
        <v>3016</v>
      </c>
      <c r="BM42" s="80">
        <v>1582</v>
      </c>
      <c r="BN42" s="80">
        <v>500</v>
      </c>
      <c r="BO42" s="80">
        <v>0</v>
      </c>
      <c r="BP42" s="80">
        <v>71</v>
      </c>
      <c r="BQ42" s="80">
        <v>89</v>
      </c>
      <c r="BR42" s="80">
        <v>0</v>
      </c>
      <c r="BS42" s="80">
        <v>6</v>
      </c>
      <c r="BT42" s="80">
        <v>-24</v>
      </c>
      <c r="BU42" s="80">
        <v>240</v>
      </c>
      <c r="BV42" s="80">
        <v>1262</v>
      </c>
      <c r="BW42" s="80">
        <v>1022</v>
      </c>
      <c r="BX42" s="81"/>
      <c r="BY42" s="80">
        <v>19072</v>
      </c>
      <c r="BZ42" s="80">
        <v>8</v>
      </c>
      <c r="CA42" s="80">
        <v>8</v>
      </c>
      <c r="CB42" s="80">
        <v>0</v>
      </c>
      <c r="CC42" s="80">
        <v>0</v>
      </c>
      <c r="CD42" s="80">
        <v>15065</v>
      </c>
      <c r="CE42" s="80">
        <v>4216</v>
      </c>
      <c r="CF42" s="80">
        <v>7504</v>
      </c>
      <c r="CG42" s="80">
        <v>1755</v>
      </c>
      <c r="CH42" s="80">
        <v>118</v>
      </c>
      <c r="CI42" s="80">
        <v>58</v>
      </c>
      <c r="CJ42" s="80">
        <v>58</v>
      </c>
      <c r="CK42" s="80">
        <v>1414</v>
      </c>
      <c r="CL42" s="80">
        <v>3999</v>
      </c>
      <c r="CM42" s="80">
        <v>3402</v>
      </c>
      <c r="CN42" s="80">
        <v>1344</v>
      </c>
      <c r="CO42" s="80">
        <v>2058</v>
      </c>
      <c r="CP42" s="80">
        <v>0</v>
      </c>
      <c r="CQ42" s="80">
        <v>211</v>
      </c>
      <c r="CR42" s="80">
        <v>0</v>
      </c>
      <c r="CS42" s="80">
        <v>0</v>
      </c>
      <c r="CT42" s="80">
        <v>211</v>
      </c>
      <c r="CU42" s="80">
        <v>386</v>
      </c>
      <c r="CV42" s="80">
        <v>34</v>
      </c>
      <c r="CW42" s="80">
        <v>0</v>
      </c>
      <c r="CX42" s="80">
        <v>34</v>
      </c>
      <c r="CY42" s="80">
        <v>0</v>
      </c>
      <c r="CZ42" s="80">
        <v>3822</v>
      </c>
      <c r="DA42" s="80">
        <v>0</v>
      </c>
      <c r="DB42" s="80">
        <v>0</v>
      </c>
      <c r="DC42" s="80">
        <v>0</v>
      </c>
      <c r="DD42" s="80">
        <v>0</v>
      </c>
      <c r="DE42" s="80">
        <v>0</v>
      </c>
      <c r="DF42" s="80">
        <v>0</v>
      </c>
      <c r="DG42" s="80">
        <v>2560</v>
      </c>
      <c r="DH42" s="80">
        <v>1024</v>
      </c>
      <c r="DI42" s="80">
        <v>8</v>
      </c>
      <c r="DJ42" s="80">
        <v>0</v>
      </c>
      <c r="DK42" s="80">
        <v>1016</v>
      </c>
      <c r="DL42" s="80">
        <v>0</v>
      </c>
      <c r="DM42" s="80">
        <v>1536</v>
      </c>
      <c r="DN42" s="80">
        <v>646</v>
      </c>
      <c r="DO42" s="80">
        <v>32</v>
      </c>
      <c r="DP42" s="80">
        <v>796</v>
      </c>
      <c r="DQ42" s="80">
        <v>62</v>
      </c>
      <c r="DR42" s="80">
        <v>0</v>
      </c>
      <c r="DS42" s="80">
        <v>0</v>
      </c>
      <c r="DT42" s="80">
        <v>0</v>
      </c>
      <c r="DU42" s="80">
        <v>0</v>
      </c>
      <c r="DV42" s="80">
        <v>0</v>
      </c>
      <c r="DW42" s="80">
        <v>1262</v>
      </c>
      <c r="DX42" s="80">
        <v>22928</v>
      </c>
      <c r="DY42" s="80">
        <v>5757</v>
      </c>
      <c r="DZ42" s="80">
        <v>5530</v>
      </c>
      <c r="EA42" s="80">
        <v>0</v>
      </c>
      <c r="EB42" s="80">
        <v>0</v>
      </c>
      <c r="EC42" s="80">
        <v>-581</v>
      </c>
      <c r="ED42" s="80">
        <v>808</v>
      </c>
      <c r="EE42" s="80">
        <v>0</v>
      </c>
      <c r="EF42" s="80">
        <v>0</v>
      </c>
      <c r="EG42" s="80">
        <v>0</v>
      </c>
      <c r="EH42" s="80">
        <v>136</v>
      </c>
      <c r="EI42" s="80">
        <v>0</v>
      </c>
      <c r="EJ42" s="80">
        <v>136</v>
      </c>
      <c r="EK42" s="80">
        <v>178</v>
      </c>
      <c r="EL42" s="80">
        <v>1</v>
      </c>
      <c r="EM42" s="80">
        <v>177</v>
      </c>
      <c r="EN42" s="80">
        <v>0</v>
      </c>
      <c r="EO42" s="80">
        <v>16857</v>
      </c>
      <c r="EP42" s="80">
        <v>11504</v>
      </c>
      <c r="EQ42" s="80">
        <v>0</v>
      </c>
      <c r="ER42" s="80">
        <v>9496</v>
      </c>
      <c r="ES42" s="80">
        <v>7</v>
      </c>
      <c r="ET42" s="80">
        <v>9489</v>
      </c>
      <c r="EU42" s="80">
        <v>0</v>
      </c>
      <c r="EV42" s="80">
        <v>0</v>
      </c>
      <c r="EW42" s="80">
        <v>1200</v>
      </c>
      <c r="EX42" s="80">
        <v>0</v>
      </c>
      <c r="EY42" s="80">
        <v>0</v>
      </c>
      <c r="EZ42" s="80">
        <v>0</v>
      </c>
      <c r="FA42" s="80">
        <v>765</v>
      </c>
      <c r="FB42" s="80">
        <v>0</v>
      </c>
      <c r="FC42" s="80">
        <v>43</v>
      </c>
      <c r="FD42" s="80">
        <v>5353</v>
      </c>
      <c r="FE42" s="80">
        <v>0</v>
      </c>
      <c r="FF42" s="80">
        <v>3306</v>
      </c>
      <c r="FG42" s="80">
        <v>1504</v>
      </c>
      <c r="FH42" s="80">
        <v>1802</v>
      </c>
      <c r="FI42" s="80">
        <v>0</v>
      </c>
      <c r="FJ42" s="80">
        <v>0</v>
      </c>
      <c r="FK42" s="80">
        <v>150</v>
      </c>
      <c r="FL42" s="80">
        <v>0</v>
      </c>
      <c r="FM42" s="80">
        <v>76</v>
      </c>
      <c r="FN42" s="80">
        <v>1180</v>
      </c>
      <c r="FO42" s="80">
        <v>92</v>
      </c>
      <c r="FP42" s="80">
        <v>549</v>
      </c>
      <c r="FQ42" s="80">
        <v>22928</v>
      </c>
      <c r="FR42" s="80">
        <v>6108</v>
      </c>
      <c r="FS42" s="80">
        <v>827</v>
      </c>
      <c r="FT42" s="100">
        <v>9862.256475954704</v>
      </c>
      <c r="FU42" s="100"/>
      <c r="FV42" s="100">
        <v>4962</v>
      </c>
      <c r="FW42" s="67">
        <v>556</v>
      </c>
      <c r="FX42" s="100">
        <f t="shared" si="5"/>
        <v>-11971</v>
      </c>
      <c r="FY42" s="100">
        <f t="shared" si="6"/>
        <v>-16950</v>
      </c>
      <c r="FZ42" s="100">
        <v>12165.69612601544</v>
      </c>
      <c r="GA42" s="67">
        <v>4979</v>
      </c>
      <c r="GB42" s="58">
        <f t="shared" si="3"/>
        <v>17</v>
      </c>
      <c r="GC42" s="67">
        <v>556</v>
      </c>
      <c r="GD42" s="100">
        <v>311</v>
      </c>
      <c r="GE42" s="100">
        <v>311</v>
      </c>
      <c r="GF42" s="58">
        <f t="shared" si="4"/>
        <v>0</v>
      </c>
      <c r="GG42" s="100">
        <v>-4166.51</v>
      </c>
      <c r="GH42" s="100">
        <v>-406.85245000000026</v>
      </c>
      <c r="GI42" s="100">
        <v>-7932.7757395682338</v>
      </c>
      <c r="GJ42" s="67">
        <f t="shared" si="7"/>
        <v>0</v>
      </c>
      <c r="GK42" s="67"/>
      <c r="GL42" s="67"/>
      <c r="GM42" s="96"/>
    </row>
    <row r="43" spans="1:195" ht="13.5" customHeight="1" x14ac:dyDescent="0.2">
      <c r="A43" s="74">
        <v>82</v>
      </c>
      <c r="B43" s="75" t="s">
        <v>23</v>
      </c>
      <c r="C43" s="75" t="s">
        <v>23</v>
      </c>
      <c r="D43" s="76"/>
      <c r="E43" s="77" t="s">
        <v>226</v>
      </c>
      <c r="F43" s="78">
        <v>3</v>
      </c>
      <c r="G43" s="79">
        <v>9747</v>
      </c>
      <c r="H43" s="80">
        <v>5992</v>
      </c>
      <c r="I43" s="80">
        <v>1061</v>
      </c>
      <c r="J43" s="80">
        <v>2455</v>
      </c>
      <c r="K43" s="80">
        <v>1039</v>
      </c>
      <c r="L43" s="80">
        <v>1437</v>
      </c>
      <c r="M43" s="80">
        <v>0</v>
      </c>
      <c r="N43" s="80">
        <v>15</v>
      </c>
      <c r="O43" s="80">
        <v>49058</v>
      </c>
      <c r="P43" s="80">
        <v>20314</v>
      </c>
      <c r="Q43" s="80">
        <v>15581</v>
      </c>
      <c r="R43" s="80">
        <v>4733</v>
      </c>
      <c r="S43" s="80">
        <v>3909</v>
      </c>
      <c r="T43" s="80">
        <v>824</v>
      </c>
      <c r="U43" s="80">
        <v>23111</v>
      </c>
      <c r="V43" s="80">
        <v>2317</v>
      </c>
      <c r="W43" s="80">
        <v>2533</v>
      </c>
      <c r="X43" s="80">
        <v>783</v>
      </c>
      <c r="Y43" s="80">
        <v>-43051</v>
      </c>
      <c r="Z43" s="80">
        <v>36768</v>
      </c>
      <c r="AA43" s="80">
        <v>33308</v>
      </c>
      <c r="AB43" s="80">
        <v>1326</v>
      </c>
      <c r="AC43" s="80">
        <v>2134</v>
      </c>
      <c r="AD43" s="80">
        <v>9518</v>
      </c>
      <c r="AE43" s="80">
        <v>-116</v>
      </c>
      <c r="AF43" s="80">
        <v>201</v>
      </c>
      <c r="AG43" s="80">
        <v>21</v>
      </c>
      <c r="AH43" s="80">
        <v>4</v>
      </c>
      <c r="AI43" s="80">
        <v>202</v>
      </c>
      <c r="AJ43" s="80">
        <v>136</v>
      </c>
      <c r="AK43" s="80">
        <v>3119</v>
      </c>
      <c r="AL43" s="80">
        <v>1551</v>
      </c>
      <c r="AM43" s="80">
        <v>1551</v>
      </c>
      <c r="AN43" s="80">
        <v>0</v>
      </c>
      <c r="AO43" s="80">
        <v>0</v>
      </c>
      <c r="AP43" s="80">
        <v>0</v>
      </c>
      <c r="AQ43" s="80">
        <v>0</v>
      </c>
      <c r="AR43" s="80">
        <v>1568</v>
      </c>
      <c r="AS43" s="80">
        <v>0</v>
      </c>
      <c r="AT43" s="80">
        <v>0</v>
      </c>
      <c r="AU43" s="80">
        <v>0</v>
      </c>
      <c r="AV43" s="80">
        <v>1568</v>
      </c>
      <c r="AW43" s="81"/>
      <c r="AX43" s="80">
        <v>2713</v>
      </c>
      <c r="AY43" s="80">
        <v>3119</v>
      </c>
      <c r="AZ43" s="80">
        <v>0</v>
      </c>
      <c r="BA43" s="80">
        <v>-406</v>
      </c>
      <c r="BB43" s="80">
        <v>-7786</v>
      </c>
      <c r="BC43" s="80">
        <v>9424</v>
      </c>
      <c r="BD43" s="80">
        <v>1344</v>
      </c>
      <c r="BE43" s="80">
        <v>294</v>
      </c>
      <c r="BF43" s="80">
        <v>-5073</v>
      </c>
      <c r="BG43" s="80">
        <v>5086</v>
      </c>
      <c r="BH43" s="80">
        <v>0</v>
      </c>
      <c r="BI43" s="80">
        <v>0</v>
      </c>
      <c r="BJ43" s="80">
        <v>0</v>
      </c>
      <c r="BK43" s="80">
        <v>5978</v>
      </c>
      <c r="BL43" s="80">
        <v>10000</v>
      </c>
      <c r="BM43" s="80">
        <v>3013</v>
      </c>
      <c r="BN43" s="80">
        <v>-1009</v>
      </c>
      <c r="BO43" s="80">
        <v>0</v>
      </c>
      <c r="BP43" s="80">
        <v>-892</v>
      </c>
      <c r="BQ43" s="80">
        <v>2</v>
      </c>
      <c r="BR43" s="80">
        <v>0</v>
      </c>
      <c r="BS43" s="80">
        <v>136</v>
      </c>
      <c r="BT43" s="80">
        <v>-1030</v>
      </c>
      <c r="BU43" s="80">
        <v>13</v>
      </c>
      <c r="BV43" s="80">
        <v>68</v>
      </c>
      <c r="BW43" s="80">
        <v>55</v>
      </c>
      <c r="BX43" s="81"/>
      <c r="BY43" s="80">
        <v>57291</v>
      </c>
      <c r="BZ43" s="80">
        <v>18</v>
      </c>
      <c r="CA43" s="80">
        <v>18</v>
      </c>
      <c r="CB43" s="80">
        <v>0</v>
      </c>
      <c r="CC43" s="80">
        <v>0</v>
      </c>
      <c r="CD43" s="80">
        <v>39312</v>
      </c>
      <c r="CE43" s="80">
        <v>7644</v>
      </c>
      <c r="CF43" s="80">
        <v>18690</v>
      </c>
      <c r="CG43" s="80">
        <v>2894</v>
      </c>
      <c r="CH43" s="80">
        <v>493</v>
      </c>
      <c r="CI43" s="80">
        <v>57</v>
      </c>
      <c r="CJ43" s="80">
        <v>57</v>
      </c>
      <c r="CK43" s="80">
        <v>9534</v>
      </c>
      <c r="CL43" s="80">
        <v>17961</v>
      </c>
      <c r="CM43" s="80">
        <v>13563</v>
      </c>
      <c r="CN43" s="80">
        <v>6847</v>
      </c>
      <c r="CO43" s="80">
        <v>6716</v>
      </c>
      <c r="CP43" s="80">
        <v>0</v>
      </c>
      <c r="CQ43" s="80">
        <v>4398</v>
      </c>
      <c r="CR43" s="80">
        <v>0</v>
      </c>
      <c r="CS43" s="80">
        <v>0</v>
      </c>
      <c r="CT43" s="80">
        <v>4398</v>
      </c>
      <c r="CU43" s="80">
        <v>0</v>
      </c>
      <c r="CV43" s="80">
        <v>4</v>
      </c>
      <c r="CW43" s="80">
        <v>0</v>
      </c>
      <c r="CX43" s="80">
        <v>4</v>
      </c>
      <c r="CY43" s="80">
        <v>0</v>
      </c>
      <c r="CZ43" s="80">
        <v>1840</v>
      </c>
      <c r="DA43" s="80">
        <v>0</v>
      </c>
      <c r="DB43" s="80">
        <v>0</v>
      </c>
      <c r="DC43" s="80">
        <v>0</v>
      </c>
      <c r="DD43" s="80">
        <v>0</v>
      </c>
      <c r="DE43" s="80">
        <v>0</v>
      </c>
      <c r="DF43" s="80">
        <v>0</v>
      </c>
      <c r="DG43" s="80">
        <v>1772</v>
      </c>
      <c r="DH43" s="80">
        <v>31</v>
      </c>
      <c r="DI43" s="80">
        <v>0</v>
      </c>
      <c r="DJ43" s="80">
        <v>31</v>
      </c>
      <c r="DK43" s="80">
        <v>0</v>
      </c>
      <c r="DL43" s="80">
        <v>0</v>
      </c>
      <c r="DM43" s="80">
        <v>1741</v>
      </c>
      <c r="DN43" s="80">
        <v>623</v>
      </c>
      <c r="DO43" s="80">
        <v>1</v>
      </c>
      <c r="DP43" s="80">
        <v>33</v>
      </c>
      <c r="DQ43" s="80">
        <v>1084</v>
      </c>
      <c r="DR43" s="80">
        <v>0</v>
      </c>
      <c r="DS43" s="80">
        <v>0</v>
      </c>
      <c r="DT43" s="80">
        <v>0</v>
      </c>
      <c r="DU43" s="80">
        <v>0</v>
      </c>
      <c r="DV43" s="80">
        <v>0</v>
      </c>
      <c r="DW43" s="80">
        <v>68</v>
      </c>
      <c r="DX43" s="80">
        <v>59135</v>
      </c>
      <c r="DY43" s="80">
        <v>24544</v>
      </c>
      <c r="DZ43" s="80">
        <v>19505</v>
      </c>
      <c r="EA43" s="80">
        <v>0</v>
      </c>
      <c r="EB43" s="80">
        <v>0</v>
      </c>
      <c r="EC43" s="80">
        <v>3471</v>
      </c>
      <c r="ED43" s="80">
        <v>1568</v>
      </c>
      <c r="EE43" s="80">
        <v>0</v>
      </c>
      <c r="EF43" s="80">
        <v>0</v>
      </c>
      <c r="EG43" s="80">
        <v>0</v>
      </c>
      <c r="EH43" s="80">
        <v>1173</v>
      </c>
      <c r="EI43" s="80">
        <v>0</v>
      </c>
      <c r="EJ43" s="80">
        <v>1173</v>
      </c>
      <c r="EK43" s="80">
        <v>48</v>
      </c>
      <c r="EL43" s="80">
        <v>0</v>
      </c>
      <c r="EM43" s="80">
        <v>48</v>
      </c>
      <c r="EN43" s="80">
        <v>0</v>
      </c>
      <c r="EO43" s="80">
        <v>33370</v>
      </c>
      <c r="EP43" s="80">
        <v>22027</v>
      </c>
      <c r="EQ43" s="80">
        <v>0</v>
      </c>
      <c r="ER43" s="80">
        <v>21477</v>
      </c>
      <c r="ES43" s="80">
        <v>11277</v>
      </c>
      <c r="ET43" s="80">
        <v>10200</v>
      </c>
      <c r="EU43" s="80">
        <v>0</v>
      </c>
      <c r="EV43" s="80">
        <v>0</v>
      </c>
      <c r="EW43" s="80">
        <v>550</v>
      </c>
      <c r="EX43" s="80">
        <v>0</v>
      </c>
      <c r="EY43" s="80">
        <v>0</v>
      </c>
      <c r="EZ43" s="80">
        <v>0</v>
      </c>
      <c r="FA43" s="80">
        <v>0</v>
      </c>
      <c r="FB43" s="80">
        <v>0</v>
      </c>
      <c r="FC43" s="80">
        <v>0</v>
      </c>
      <c r="FD43" s="80">
        <v>11343</v>
      </c>
      <c r="FE43" s="80">
        <v>0</v>
      </c>
      <c r="FF43" s="80">
        <v>5712</v>
      </c>
      <c r="FG43" s="80">
        <v>4745</v>
      </c>
      <c r="FH43" s="80">
        <v>967</v>
      </c>
      <c r="FI43" s="80">
        <v>0</v>
      </c>
      <c r="FJ43" s="80">
        <v>0</v>
      </c>
      <c r="FK43" s="80">
        <v>650</v>
      </c>
      <c r="FL43" s="80">
        <v>0</v>
      </c>
      <c r="FM43" s="80">
        <v>135</v>
      </c>
      <c r="FN43" s="80">
        <v>1575</v>
      </c>
      <c r="FO43" s="80">
        <v>358</v>
      </c>
      <c r="FP43" s="80">
        <v>2913</v>
      </c>
      <c r="FQ43" s="80">
        <v>59135</v>
      </c>
      <c r="FR43" s="80">
        <v>5663</v>
      </c>
      <c r="FS43" s="80">
        <v>2232</v>
      </c>
      <c r="FT43" s="100">
        <v>26873.383002431852</v>
      </c>
      <c r="FU43" s="100"/>
      <c r="FV43" s="100">
        <v>8236</v>
      </c>
      <c r="FW43" s="67">
        <v>1471</v>
      </c>
      <c r="FX43" s="100">
        <f t="shared" si="5"/>
        <v>-30949</v>
      </c>
      <c r="FY43" s="100">
        <f t="shared" si="6"/>
        <v>-41500</v>
      </c>
      <c r="FZ43" s="100">
        <v>25335.77928315723</v>
      </c>
      <c r="GA43" s="67">
        <v>10551</v>
      </c>
      <c r="GB43" s="58">
        <f t="shared" si="3"/>
        <v>2315</v>
      </c>
      <c r="GC43" s="67">
        <v>1549</v>
      </c>
      <c r="GD43" s="100">
        <v>2455</v>
      </c>
      <c r="GE43" s="100">
        <v>978</v>
      </c>
      <c r="GF43" s="58">
        <f t="shared" si="4"/>
        <v>1477</v>
      </c>
      <c r="GG43" s="100">
        <v>-19937.828000000001</v>
      </c>
      <c r="GH43" s="100">
        <v>-373.52035000000012</v>
      </c>
      <c r="GI43" s="100">
        <v>-5007.2967383190689</v>
      </c>
      <c r="GJ43" s="67">
        <f t="shared" si="7"/>
        <v>78</v>
      </c>
      <c r="GK43" s="67"/>
      <c r="GL43" s="67"/>
      <c r="GM43" s="96"/>
    </row>
    <row r="44" spans="1:195" ht="13.5" customHeight="1" x14ac:dyDescent="0.2">
      <c r="A44" s="74">
        <v>86</v>
      </c>
      <c r="B44" s="75" t="s">
        <v>24</v>
      </c>
      <c r="C44" s="75" t="s">
        <v>24</v>
      </c>
      <c r="D44" s="76"/>
      <c r="E44" s="77" t="s">
        <v>226</v>
      </c>
      <c r="F44" s="78">
        <v>3</v>
      </c>
      <c r="G44" s="79">
        <v>8729</v>
      </c>
      <c r="H44" s="80">
        <v>6365</v>
      </c>
      <c r="I44" s="80">
        <v>1782</v>
      </c>
      <c r="J44" s="80">
        <v>2498</v>
      </c>
      <c r="K44" s="80">
        <v>697</v>
      </c>
      <c r="L44" s="80">
        <v>1388</v>
      </c>
      <c r="M44" s="80">
        <v>0</v>
      </c>
      <c r="N44" s="80">
        <v>33</v>
      </c>
      <c r="O44" s="80">
        <v>47577</v>
      </c>
      <c r="P44" s="80">
        <v>16275</v>
      </c>
      <c r="Q44" s="80">
        <v>12473</v>
      </c>
      <c r="R44" s="80">
        <v>3802</v>
      </c>
      <c r="S44" s="80">
        <v>3119</v>
      </c>
      <c r="T44" s="80">
        <v>683</v>
      </c>
      <c r="U44" s="80">
        <v>25185</v>
      </c>
      <c r="V44" s="80">
        <v>2289</v>
      </c>
      <c r="W44" s="80">
        <v>3259</v>
      </c>
      <c r="X44" s="80">
        <v>569</v>
      </c>
      <c r="Y44" s="80">
        <v>-41179</v>
      </c>
      <c r="Z44" s="80">
        <v>32179</v>
      </c>
      <c r="AA44" s="80">
        <v>29259</v>
      </c>
      <c r="AB44" s="80">
        <v>1250</v>
      </c>
      <c r="AC44" s="80">
        <v>1670</v>
      </c>
      <c r="AD44" s="80">
        <v>12542</v>
      </c>
      <c r="AE44" s="80">
        <v>-499</v>
      </c>
      <c r="AF44" s="80">
        <v>7</v>
      </c>
      <c r="AG44" s="80">
        <v>13</v>
      </c>
      <c r="AH44" s="80">
        <v>1</v>
      </c>
      <c r="AI44" s="80">
        <v>517</v>
      </c>
      <c r="AJ44" s="80">
        <v>2</v>
      </c>
      <c r="AK44" s="80">
        <v>3043</v>
      </c>
      <c r="AL44" s="80">
        <v>2386</v>
      </c>
      <c r="AM44" s="80">
        <v>2097</v>
      </c>
      <c r="AN44" s="80">
        <v>289</v>
      </c>
      <c r="AO44" s="80">
        <v>0</v>
      </c>
      <c r="AP44" s="80">
        <v>0</v>
      </c>
      <c r="AQ44" s="80">
        <v>0</v>
      </c>
      <c r="AR44" s="80">
        <v>657</v>
      </c>
      <c r="AS44" s="80">
        <v>0</v>
      </c>
      <c r="AT44" s="80">
        <v>0</v>
      </c>
      <c r="AU44" s="80">
        <v>0</v>
      </c>
      <c r="AV44" s="80">
        <v>657</v>
      </c>
      <c r="AW44" s="81"/>
      <c r="AX44" s="80">
        <v>4461</v>
      </c>
      <c r="AY44" s="80">
        <v>3043</v>
      </c>
      <c r="AZ44" s="80">
        <v>0</v>
      </c>
      <c r="BA44" s="80">
        <v>1418</v>
      </c>
      <c r="BB44" s="80">
        <v>-215</v>
      </c>
      <c r="BC44" s="80">
        <v>727</v>
      </c>
      <c r="BD44" s="80">
        <v>0</v>
      </c>
      <c r="BE44" s="80">
        <v>512</v>
      </c>
      <c r="BF44" s="80">
        <v>4246</v>
      </c>
      <c r="BG44" s="80">
        <v>-603</v>
      </c>
      <c r="BH44" s="80">
        <v>13</v>
      </c>
      <c r="BI44" s="80">
        <v>0</v>
      </c>
      <c r="BJ44" s="80">
        <v>13</v>
      </c>
      <c r="BK44" s="80">
        <v>1163</v>
      </c>
      <c r="BL44" s="80">
        <v>6800</v>
      </c>
      <c r="BM44" s="80">
        <v>5637</v>
      </c>
      <c r="BN44" s="80">
        <v>0</v>
      </c>
      <c r="BO44" s="80">
        <v>-1653</v>
      </c>
      <c r="BP44" s="80">
        <v>-126</v>
      </c>
      <c r="BQ44" s="80">
        <v>-83</v>
      </c>
      <c r="BR44" s="80">
        <v>-15</v>
      </c>
      <c r="BS44" s="80">
        <v>66</v>
      </c>
      <c r="BT44" s="80">
        <v>-94</v>
      </c>
      <c r="BU44" s="80">
        <v>3645</v>
      </c>
      <c r="BV44" s="80">
        <v>6379</v>
      </c>
      <c r="BW44" s="80">
        <v>2734</v>
      </c>
      <c r="BX44" s="81"/>
      <c r="BY44" s="80">
        <v>44989</v>
      </c>
      <c r="BZ44" s="80">
        <v>2293</v>
      </c>
      <c r="CA44" s="80">
        <v>22</v>
      </c>
      <c r="CB44" s="80">
        <v>2271</v>
      </c>
      <c r="CC44" s="80">
        <v>0</v>
      </c>
      <c r="CD44" s="80">
        <v>33746</v>
      </c>
      <c r="CE44" s="80">
        <v>6029</v>
      </c>
      <c r="CF44" s="80">
        <v>19101</v>
      </c>
      <c r="CG44" s="80">
        <v>8026</v>
      </c>
      <c r="CH44" s="80">
        <v>569</v>
      </c>
      <c r="CI44" s="80">
        <v>0</v>
      </c>
      <c r="CJ44" s="80">
        <v>0</v>
      </c>
      <c r="CK44" s="80">
        <v>21</v>
      </c>
      <c r="CL44" s="80">
        <v>8950</v>
      </c>
      <c r="CM44" s="80">
        <v>8795</v>
      </c>
      <c r="CN44" s="80">
        <v>5186</v>
      </c>
      <c r="CO44" s="80">
        <v>3609</v>
      </c>
      <c r="CP44" s="80">
        <v>0</v>
      </c>
      <c r="CQ44" s="80">
        <v>150</v>
      </c>
      <c r="CR44" s="80">
        <v>0</v>
      </c>
      <c r="CS44" s="80">
        <v>0</v>
      </c>
      <c r="CT44" s="80">
        <v>150</v>
      </c>
      <c r="CU44" s="80">
        <v>5</v>
      </c>
      <c r="CV44" s="80">
        <v>34</v>
      </c>
      <c r="CW44" s="80">
        <v>1</v>
      </c>
      <c r="CX44" s="80">
        <v>33</v>
      </c>
      <c r="CY44" s="80">
        <v>0</v>
      </c>
      <c r="CZ44" s="80">
        <v>7536</v>
      </c>
      <c r="DA44" s="80">
        <v>115</v>
      </c>
      <c r="DB44" s="80">
        <v>115</v>
      </c>
      <c r="DC44" s="80">
        <v>0</v>
      </c>
      <c r="DD44" s="80">
        <v>0</v>
      </c>
      <c r="DE44" s="80">
        <v>0</v>
      </c>
      <c r="DF44" s="80">
        <v>0</v>
      </c>
      <c r="DG44" s="80">
        <v>1042</v>
      </c>
      <c r="DH44" s="80">
        <v>75</v>
      </c>
      <c r="DI44" s="80">
        <v>0</v>
      </c>
      <c r="DJ44" s="80">
        <v>30</v>
      </c>
      <c r="DK44" s="80">
        <v>45</v>
      </c>
      <c r="DL44" s="80">
        <v>0</v>
      </c>
      <c r="DM44" s="80">
        <v>967</v>
      </c>
      <c r="DN44" s="80">
        <v>480</v>
      </c>
      <c r="DO44" s="80">
        <v>0</v>
      </c>
      <c r="DP44" s="80">
        <v>231</v>
      </c>
      <c r="DQ44" s="80">
        <v>256</v>
      </c>
      <c r="DR44" s="80">
        <v>0</v>
      </c>
      <c r="DS44" s="80">
        <v>0</v>
      </c>
      <c r="DT44" s="80">
        <v>0</v>
      </c>
      <c r="DU44" s="80">
        <v>0</v>
      </c>
      <c r="DV44" s="80">
        <v>0</v>
      </c>
      <c r="DW44" s="80">
        <v>6379</v>
      </c>
      <c r="DX44" s="80">
        <v>52559</v>
      </c>
      <c r="DY44" s="80">
        <v>17651</v>
      </c>
      <c r="DZ44" s="80">
        <v>14524</v>
      </c>
      <c r="EA44" s="80">
        <v>0</v>
      </c>
      <c r="EB44" s="80">
        <v>0</v>
      </c>
      <c r="EC44" s="80">
        <v>2470</v>
      </c>
      <c r="ED44" s="80">
        <v>657</v>
      </c>
      <c r="EE44" s="80">
        <v>0</v>
      </c>
      <c r="EF44" s="80">
        <v>0</v>
      </c>
      <c r="EG44" s="80">
        <v>0</v>
      </c>
      <c r="EH44" s="80">
        <v>1653</v>
      </c>
      <c r="EI44" s="80">
        <v>0</v>
      </c>
      <c r="EJ44" s="80">
        <v>1653</v>
      </c>
      <c r="EK44" s="80">
        <v>68</v>
      </c>
      <c r="EL44" s="80">
        <v>1</v>
      </c>
      <c r="EM44" s="80">
        <v>44</v>
      </c>
      <c r="EN44" s="80">
        <v>23</v>
      </c>
      <c r="EO44" s="80">
        <v>33187</v>
      </c>
      <c r="EP44" s="80">
        <v>23509</v>
      </c>
      <c r="EQ44" s="80">
        <v>0</v>
      </c>
      <c r="ER44" s="80">
        <v>23509</v>
      </c>
      <c r="ES44" s="80">
        <v>7372</v>
      </c>
      <c r="ET44" s="80">
        <v>16137</v>
      </c>
      <c r="EU44" s="80">
        <v>0</v>
      </c>
      <c r="EV44" s="80">
        <v>0</v>
      </c>
      <c r="EW44" s="80">
        <v>0</v>
      </c>
      <c r="EX44" s="80">
        <v>0</v>
      </c>
      <c r="EY44" s="80">
        <v>0</v>
      </c>
      <c r="EZ44" s="80">
        <v>0</v>
      </c>
      <c r="FA44" s="80">
        <v>0</v>
      </c>
      <c r="FB44" s="80">
        <v>0</v>
      </c>
      <c r="FC44" s="80">
        <v>0</v>
      </c>
      <c r="FD44" s="80">
        <v>9678</v>
      </c>
      <c r="FE44" s="80">
        <v>0</v>
      </c>
      <c r="FF44" s="80">
        <v>5707</v>
      </c>
      <c r="FG44" s="80">
        <v>1890</v>
      </c>
      <c r="FH44" s="80">
        <v>3817</v>
      </c>
      <c r="FI44" s="80">
        <v>0</v>
      </c>
      <c r="FJ44" s="80">
        <v>0</v>
      </c>
      <c r="FK44" s="80">
        <v>0</v>
      </c>
      <c r="FL44" s="80">
        <v>0</v>
      </c>
      <c r="FM44" s="80">
        <v>0</v>
      </c>
      <c r="FN44" s="80">
        <v>1507</v>
      </c>
      <c r="FO44" s="80">
        <v>294</v>
      </c>
      <c r="FP44" s="80">
        <v>2170</v>
      </c>
      <c r="FQ44" s="80">
        <v>52559</v>
      </c>
      <c r="FR44" s="80">
        <v>0</v>
      </c>
      <c r="FS44" s="80">
        <v>3992</v>
      </c>
      <c r="FT44" s="100">
        <v>24304.809517960697</v>
      </c>
      <c r="FU44" s="100"/>
      <c r="FV44" s="100">
        <v>9339</v>
      </c>
      <c r="FW44" s="67">
        <v>2356</v>
      </c>
      <c r="FX44" s="100">
        <f t="shared" si="5"/>
        <v>-26983</v>
      </c>
      <c r="FY44" s="100">
        <f t="shared" si="6"/>
        <v>-38793</v>
      </c>
      <c r="FZ44" s="100">
        <v>26430.352343397331</v>
      </c>
      <c r="GA44" s="67">
        <v>11810</v>
      </c>
      <c r="GB44" s="58">
        <f t="shared" si="3"/>
        <v>2471</v>
      </c>
      <c r="GC44" s="67">
        <v>2386</v>
      </c>
      <c r="GD44" s="100">
        <v>2503</v>
      </c>
      <c r="GE44" s="100">
        <v>759</v>
      </c>
      <c r="GF44" s="58">
        <f t="shared" si="4"/>
        <v>1744</v>
      </c>
      <c r="GG44" s="100">
        <v>-16742.453000000001</v>
      </c>
      <c r="GH44" s="100">
        <v>-341.76195000000007</v>
      </c>
      <c r="GI44" s="100">
        <v>-9571.9071116975483</v>
      </c>
      <c r="GJ44" s="67">
        <f t="shared" si="7"/>
        <v>30</v>
      </c>
      <c r="GK44" s="67"/>
      <c r="GL44" s="67"/>
      <c r="GM44" s="96"/>
    </row>
    <row r="45" spans="1:195" ht="13.5" customHeight="1" x14ac:dyDescent="0.2">
      <c r="A45" s="74">
        <v>111</v>
      </c>
      <c r="B45" s="75" t="s">
        <v>32</v>
      </c>
      <c r="C45" s="75" t="s">
        <v>32</v>
      </c>
      <c r="D45" s="76"/>
      <c r="E45" s="77" t="s">
        <v>217</v>
      </c>
      <c r="F45" s="78">
        <v>4</v>
      </c>
      <c r="G45" s="79">
        <v>19575</v>
      </c>
      <c r="H45" s="80">
        <v>19453</v>
      </c>
      <c r="I45" s="80">
        <v>5690</v>
      </c>
      <c r="J45" s="80">
        <v>7337</v>
      </c>
      <c r="K45" s="80">
        <v>2717</v>
      </c>
      <c r="L45" s="80">
        <v>3709</v>
      </c>
      <c r="M45" s="80">
        <v>0</v>
      </c>
      <c r="N45" s="80">
        <v>439</v>
      </c>
      <c r="O45" s="80">
        <v>127690</v>
      </c>
      <c r="P45" s="80">
        <v>57358</v>
      </c>
      <c r="Q45" s="80">
        <v>43088</v>
      </c>
      <c r="R45" s="80">
        <v>14270</v>
      </c>
      <c r="S45" s="80">
        <v>11545</v>
      </c>
      <c r="T45" s="80">
        <v>2725</v>
      </c>
      <c r="U45" s="80">
        <v>52303</v>
      </c>
      <c r="V45" s="80">
        <v>7273</v>
      </c>
      <c r="W45" s="80">
        <v>8461</v>
      </c>
      <c r="X45" s="80">
        <v>2295</v>
      </c>
      <c r="Y45" s="80">
        <v>-107798</v>
      </c>
      <c r="Z45" s="80">
        <v>71054</v>
      </c>
      <c r="AA45" s="80">
        <v>61577</v>
      </c>
      <c r="AB45" s="80">
        <v>3517</v>
      </c>
      <c r="AC45" s="80">
        <v>5960</v>
      </c>
      <c r="AD45" s="80">
        <v>37385</v>
      </c>
      <c r="AE45" s="80">
        <v>2546</v>
      </c>
      <c r="AF45" s="80">
        <v>107</v>
      </c>
      <c r="AG45" s="80">
        <v>5134</v>
      </c>
      <c r="AH45" s="80">
        <v>177</v>
      </c>
      <c r="AI45" s="80">
        <v>832</v>
      </c>
      <c r="AJ45" s="80">
        <v>1863</v>
      </c>
      <c r="AK45" s="80">
        <v>3187</v>
      </c>
      <c r="AL45" s="80">
        <v>5487</v>
      </c>
      <c r="AM45" s="80">
        <v>5487</v>
      </c>
      <c r="AN45" s="80">
        <v>0</v>
      </c>
      <c r="AO45" s="80">
        <v>1195</v>
      </c>
      <c r="AP45" s="80">
        <v>1195</v>
      </c>
      <c r="AQ45" s="80">
        <v>0</v>
      </c>
      <c r="AR45" s="80">
        <v>-1105</v>
      </c>
      <c r="AS45" s="80">
        <v>260</v>
      </c>
      <c r="AT45" s="80">
        <v>0</v>
      </c>
      <c r="AU45" s="80">
        <v>0</v>
      </c>
      <c r="AV45" s="80">
        <v>-845</v>
      </c>
      <c r="AW45" s="81"/>
      <c r="AX45" s="80">
        <v>4140</v>
      </c>
      <c r="AY45" s="80">
        <v>3187</v>
      </c>
      <c r="AZ45" s="80">
        <v>1195</v>
      </c>
      <c r="BA45" s="80">
        <v>-242</v>
      </c>
      <c r="BB45" s="80">
        <v>-7214</v>
      </c>
      <c r="BC45" s="80">
        <v>8080</v>
      </c>
      <c r="BD45" s="80">
        <v>345</v>
      </c>
      <c r="BE45" s="80">
        <v>521</v>
      </c>
      <c r="BF45" s="80">
        <v>-3074</v>
      </c>
      <c r="BG45" s="80">
        <v>5503</v>
      </c>
      <c r="BH45" s="80">
        <v>52</v>
      </c>
      <c r="BI45" s="80">
        <v>0</v>
      </c>
      <c r="BJ45" s="80">
        <v>52</v>
      </c>
      <c r="BK45" s="80">
        <v>2713</v>
      </c>
      <c r="BL45" s="80">
        <v>20000</v>
      </c>
      <c r="BM45" s="80">
        <v>13787</v>
      </c>
      <c r="BN45" s="80">
        <v>-3500</v>
      </c>
      <c r="BO45" s="80">
        <v>0</v>
      </c>
      <c r="BP45" s="80">
        <v>2738</v>
      </c>
      <c r="BQ45" s="80">
        <v>173</v>
      </c>
      <c r="BR45" s="80">
        <v>151</v>
      </c>
      <c r="BS45" s="80">
        <v>1215</v>
      </c>
      <c r="BT45" s="80">
        <v>1199</v>
      </c>
      <c r="BU45" s="80">
        <v>2430</v>
      </c>
      <c r="BV45" s="80">
        <v>73218</v>
      </c>
      <c r="BW45" s="80">
        <v>70788</v>
      </c>
      <c r="BX45" s="81"/>
      <c r="BY45" s="80">
        <v>112088</v>
      </c>
      <c r="BZ45" s="80">
        <v>380</v>
      </c>
      <c r="CA45" s="80">
        <v>380</v>
      </c>
      <c r="CB45" s="80">
        <v>0</v>
      </c>
      <c r="CC45" s="80">
        <v>0</v>
      </c>
      <c r="CD45" s="80">
        <v>91045</v>
      </c>
      <c r="CE45" s="80">
        <v>24392</v>
      </c>
      <c r="CF45" s="80">
        <v>46120</v>
      </c>
      <c r="CG45" s="80">
        <v>16055</v>
      </c>
      <c r="CH45" s="80">
        <v>1521</v>
      </c>
      <c r="CI45" s="80">
        <v>311</v>
      </c>
      <c r="CJ45" s="80">
        <v>227</v>
      </c>
      <c r="CK45" s="80">
        <v>2646</v>
      </c>
      <c r="CL45" s="80">
        <v>20663</v>
      </c>
      <c r="CM45" s="80">
        <v>18342</v>
      </c>
      <c r="CN45" s="80">
        <v>7544</v>
      </c>
      <c r="CO45" s="80">
        <v>10798</v>
      </c>
      <c r="CP45" s="80">
        <v>0</v>
      </c>
      <c r="CQ45" s="80">
        <v>2321</v>
      </c>
      <c r="CR45" s="80">
        <v>0</v>
      </c>
      <c r="CS45" s="80">
        <v>129</v>
      </c>
      <c r="CT45" s="80">
        <v>2192</v>
      </c>
      <c r="CU45" s="80">
        <v>0</v>
      </c>
      <c r="CV45" s="80">
        <v>612</v>
      </c>
      <c r="CW45" s="80">
        <v>0</v>
      </c>
      <c r="CX45" s="80">
        <v>612</v>
      </c>
      <c r="CY45" s="80">
        <v>0</v>
      </c>
      <c r="CZ45" s="80">
        <v>79069</v>
      </c>
      <c r="DA45" s="80">
        <v>333</v>
      </c>
      <c r="DB45" s="80">
        <v>0</v>
      </c>
      <c r="DC45" s="80">
        <v>0</v>
      </c>
      <c r="DD45" s="80">
        <v>333</v>
      </c>
      <c r="DE45" s="80">
        <v>0</v>
      </c>
      <c r="DF45" s="80">
        <v>0</v>
      </c>
      <c r="DG45" s="80">
        <v>5518</v>
      </c>
      <c r="DH45" s="80">
        <v>0</v>
      </c>
      <c r="DI45" s="80">
        <v>0</v>
      </c>
      <c r="DJ45" s="80">
        <v>0</v>
      </c>
      <c r="DK45" s="80">
        <v>0</v>
      </c>
      <c r="DL45" s="80">
        <v>0</v>
      </c>
      <c r="DM45" s="80">
        <v>5518</v>
      </c>
      <c r="DN45" s="80">
        <v>3394</v>
      </c>
      <c r="DO45" s="80">
        <v>13</v>
      </c>
      <c r="DP45" s="80">
        <v>935</v>
      </c>
      <c r="DQ45" s="80">
        <v>1176</v>
      </c>
      <c r="DR45" s="80">
        <v>71110</v>
      </c>
      <c r="DS45" s="80">
        <v>70688</v>
      </c>
      <c r="DT45" s="80">
        <v>422</v>
      </c>
      <c r="DU45" s="80">
        <v>0</v>
      </c>
      <c r="DV45" s="80">
        <v>0</v>
      </c>
      <c r="DW45" s="80">
        <v>2108</v>
      </c>
      <c r="DX45" s="80">
        <v>191769</v>
      </c>
      <c r="DY45" s="80">
        <v>121606</v>
      </c>
      <c r="DZ45" s="80">
        <v>89493</v>
      </c>
      <c r="EA45" s="80">
        <v>0</v>
      </c>
      <c r="EB45" s="80">
        <v>15137</v>
      </c>
      <c r="EC45" s="80">
        <v>17820</v>
      </c>
      <c r="ED45" s="80">
        <v>-844</v>
      </c>
      <c r="EE45" s="80">
        <v>950</v>
      </c>
      <c r="EF45" s="80">
        <v>950</v>
      </c>
      <c r="EG45" s="80">
        <v>0</v>
      </c>
      <c r="EH45" s="80">
        <v>150</v>
      </c>
      <c r="EI45" s="80">
        <v>0</v>
      </c>
      <c r="EJ45" s="80">
        <v>150</v>
      </c>
      <c r="EK45" s="80">
        <v>1980</v>
      </c>
      <c r="EL45" s="80">
        <v>24</v>
      </c>
      <c r="EM45" s="80">
        <v>1866</v>
      </c>
      <c r="EN45" s="80">
        <v>90</v>
      </c>
      <c r="EO45" s="80">
        <v>67083</v>
      </c>
      <c r="EP45" s="80">
        <v>33668</v>
      </c>
      <c r="EQ45" s="80">
        <v>0</v>
      </c>
      <c r="ER45" s="80">
        <v>31925</v>
      </c>
      <c r="ES45" s="80">
        <v>18000</v>
      </c>
      <c r="ET45" s="80">
        <v>13925</v>
      </c>
      <c r="EU45" s="80">
        <v>0</v>
      </c>
      <c r="EV45" s="80">
        <v>0</v>
      </c>
      <c r="EW45" s="80">
        <v>0</v>
      </c>
      <c r="EX45" s="80">
        <v>0</v>
      </c>
      <c r="EY45" s="80">
        <v>0</v>
      </c>
      <c r="EZ45" s="80">
        <v>0</v>
      </c>
      <c r="FA45" s="80">
        <v>1743</v>
      </c>
      <c r="FB45" s="80">
        <v>0</v>
      </c>
      <c r="FC45" s="80">
        <v>0</v>
      </c>
      <c r="FD45" s="80">
        <v>33415</v>
      </c>
      <c r="FE45" s="80">
        <v>0</v>
      </c>
      <c r="FF45" s="80">
        <v>16287</v>
      </c>
      <c r="FG45" s="80">
        <v>11000</v>
      </c>
      <c r="FH45" s="80">
        <v>5287</v>
      </c>
      <c r="FI45" s="80">
        <v>0</v>
      </c>
      <c r="FJ45" s="80">
        <v>0</v>
      </c>
      <c r="FK45" s="80">
        <v>0</v>
      </c>
      <c r="FL45" s="80">
        <v>0</v>
      </c>
      <c r="FM45" s="80">
        <v>381</v>
      </c>
      <c r="FN45" s="80">
        <v>6589</v>
      </c>
      <c r="FO45" s="80">
        <v>1088</v>
      </c>
      <c r="FP45" s="80">
        <v>9070</v>
      </c>
      <c r="FQ45" s="80">
        <v>191769</v>
      </c>
      <c r="FR45" s="80">
        <v>4423</v>
      </c>
      <c r="FS45" s="80">
        <v>0</v>
      </c>
      <c r="FT45" s="100">
        <v>68092.187681399431</v>
      </c>
      <c r="FU45" s="100"/>
      <c r="FV45" s="100">
        <v>30673</v>
      </c>
      <c r="FW45" s="67">
        <v>4488</v>
      </c>
      <c r="FX45" s="100">
        <f t="shared" si="5"/>
        <v>-63630</v>
      </c>
      <c r="FY45" s="100">
        <f t="shared" si="6"/>
        <v>-102311</v>
      </c>
      <c r="FZ45" s="100">
        <v>70094.975211600002</v>
      </c>
      <c r="GA45" s="67">
        <v>38681</v>
      </c>
      <c r="GB45" s="58">
        <f t="shared" si="3"/>
        <v>8008</v>
      </c>
      <c r="GC45" s="67">
        <v>5487</v>
      </c>
      <c r="GD45" s="100">
        <v>7346</v>
      </c>
      <c r="GE45" s="100">
        <v>2296</v>
      </c>
      <c r="GF45" s="58">
        <f t="shared" si="4"/>
        <v>5050</v>
      </c>
      <c r="GG45" s="100">
        <v>-36852.341</v>
      </c>
      <c r="GH45" s="100">
        <v>-960.17065000000036</v>
      </c>
      <c r="GI45" s="100">
        <v>-33572.118806903673</v>
      </c>
      <c r="GJ45" s="67">
        <f t="shared" si="7"/>
        <v>999</v>
      </c>
      <c r="GK45" s="67"/>
      <c r="GL45" s="67"/>
      <c r="GM45" s="96"/>
    </row>
    <row r="46" spans="1:195" ht="13.5" customHeight="1" x14ac:dyDescent="0.2">
      <c r="A46" s="74">
        <v>90</v>
      </c>
      <c r="B46" s="75" t="s">
        <v>25</v>
      </c>
      <c r="C46" s="75" t="s">
        <v>25</v>
      </c>
      <c r="D46" s="76"/>
      <c r="E46" s="77" t="s">
        <v>220</v>
      </c>
      <c r="F46" s="78">
        <v>2</v>
      </c>
      <c r="G46" s="79">
        <v>3574</v>
      </c>
      <c r="H46" s="80">
        <v>5157</v>
      </c>
      <c r="I46" s="80">
        <v>2032</v>
      </c>
      <c r="J46" s="80">
        <v>1382</v>
      </c>
      <c r="K46" s="80">
        <v>704</v>
      </c>
      <c r="L46" s="80">
        <v>1039</v>
      </c>
      <c r="M46" s="80">
        <v>0</v>
      </c>
      <c r="N46" s="80">
        <v>0</v>
      </c>
      <c r="O46" s="80">
        <v>29519</v>
      </c>
      <c r="P46" s="80">
        <v>13003</v>
      </c>
      <c r="Q46" s="80">
        <v>9784</v>
      </c>
      <c r="R46" s="80">
        <v>3219</v>
      </c>
      <c r="S46" s="80">
        <v>2675</v>
      </c>
      <c r="T46" s="80">
        <v>544</v>
      </c>
      <c r="U46" s="80">
        <v>13068</v>
      </c>
      <c r="V46" s="80">
        <v>1804</v>
      </c>
      <c r="W46" s="80">
        <v>1403</v>
      </c>
      <c r="X46" s="80">
        <v>241</v>
      </c>
      <c r="Y46" s="80">
        <v>-24362</v>
      </c>
      <c r="Z46" s="80">
        <v>12039</v>
      </c>
      <c r="AA46" s="80">
        <v>8630</v>
      </c>
      <c r="AB46" s="80">
        <v>2182</v>
      </c>
      <c r="AC46" s="80">
        <v>1227</v>
      </c>
      <c r="AD46" s="80">
        <v>13492</v>
      </c>
      <c r="AE46" s="80">
        <v>355</v>
      </c>
      <c r="AF46" s="80">
        <v>141</v>
      </c>
      <c r="AG46" s="80">
        <v>285</v>
      </c>
      <c r="AH46" s="80">
        <v>257</v>
      </c>
      <c r="AI46" s="80">
        <v>71</v>
      </c>
      <c r="AJ46" s="80">
        <v>0</v>
      </c>
      <c r="AK46" s="80">
        <v>1524</v>
      </c>
      <c r="AL46" s="80">
        <v>1677</v>
      </c>
      <c r="AM46" s="80">
        <v>1677</v>
      </c>
      <c r="AN46" s="80">
        <v>0</v>
      </c>
      <c r="AO46" s="80">
        <v>0</v>
      </c>
      <c r="AP46" s="80">
        <v>0</v>
      </c>
      <c r="AQ46" s="80">
        <v>0</v>
      </c>
      <c r="AR46" s="80">
        <v>-153</v>
      </c>
      <c r="AS46" s="80">
        <v>157</v>
      </c>
      <c r="AT46" s="80">
        <v>0</v>
      </c>
      <c r="AU46" s="80">
        <v>0</v>
      </c>
      <c r="AV46" s="80">
        <v>4</v>
      </c>
      <c r="AW46" s="81"/>
      <c r="AX46" s="80">
        <v>1517</v>
      </c>
      <c r="AY46" s="80">
        <v>1524</v>
      </c>
      <c r="AZ46" s="80">
        <v>0</v>
      </c>
      <c r="BA46" s="80">
        <v>-7</v>
      </c>
      <c r="BB46" s="80">
        <v>-1171</v>
      </c>
      <c r="BC46" s="80">
        <v>1199</v>
      </c>
      <c r="BD46" s="80">
        <v>21</v>
      </c>
      <c r="BE46" s="80">
        <v>7</v>
      </c>
      <c r="BF46" s="80">
        <v>346</v>
      </c>
      <c r="BG46" s="80">
        <v>252</v>
      </c>
      <c r="BH46" s="80">
        <v>19</v>
      </c>
      <c r="BI46" s="80">
        <v>0</v>
      </c>
      <c r="BJ46" s="80">
        <v>19</v>
      </c>
      <c r="BK46" s="80">
        <v>449</v>
      </c>
      <c r="BL46" s="80">
        <v>0</v>
      </c>
      <c r="BM46" s="80">
        <v>452</v>
      </c>
      <c r="BN46" s="80">
        <v>901</v>
      </c>
      <c r="BO46" s="80">
        <v>0</v>
      </c>
      <c r="BP46" s="80">
        <v>-216</v>
      </c>
      <c r="BQ46" s="80">
        <v>-26</v>
      </c>
      <c r="BR46" s="80">
        <v>3</v>
      </c>
      <c r="BS46" s="80">
        <v>-117</v>
      </c>
      <c r="BT46" s="80">
        <v>-76</v>
      </c>
      <c r="BU46" s="80">
        <v>597</v>
      </c>
      <c r="BV46" s="80">
        <v>4019</v>
      </c>
      <c r="BW46" s="80">
        <v>3422</v>
      </c>
      <c r="BX46" s="81"/>
      <c r="BY46" s="80">
        <v>26939</v>
      </c>
      <c r="BZ46" s="80">
        <v>33</v>
      </c>
      <c r="CA46" s="80">
        <v>33</v>
      </c>
      <c r="CB46" s="80">
        <v>0</v>
      </c>
      <c r="CC46" s="80">
        <v>0</v>
      </c>
      <c r="CD46" s="80">
        <v>24897</v>
      </c>
      <c r="CE46" s="80">
        <v>2768</v>
      </c>
      <c r="CF46" s="80">
        <v>17613</v>
      </c>
      <c r="CG46" s="80">
        <v>3402</v>
      </c>
      <c r="CH46" s="80">
        <v>406</v>
      </c>
      <c r="CI46" s="80">
        <v>8</v>
      </c>
      <c r="CJ46" s="80">
        <v>8</v>
      </c>
      <c r="CK46" s="80">
        <v>700</v>
      </c>
      <c r="CL46" s="80">
        <v>2009</v>
      </c>
      <c r="CM46" s="80">
        <v>1934</v>
      </c>
      <c r="CN46" s="80">
        <v>468</v>
      </c>
      <c r="CO46" s="80">
        <v>1466</v>
      </c>
      <c r="CP46" s="80">
        <v>0</v>
      </c>
      <c r="CQ46" s="80">
        <v>75</v>
      </c>
      <c r="CR46" s="80">
        <v>0</v>
      </c>
      <c r="CS46" s="80">
        <v>0</v>
      </c>
      <c r="CT46" s="80">
        <v>75</v>
      </c>
      <c r="CU46" s="80">
        <v>0</v>
      </c>
      <c r="CV46" s="80">
        <v>68</v>
      </c>
      <c r="CW46" s="80">
        <v>0</v>
      </c>
      <c r="CX46" s="80">
        <v>0</v>
      </c>
      <c r="CY46" s="80">
        <v>68</v>
      </c>
      <c r="CZ46" s="80">
        <v>5337</v>
      </c>
      <c r="DA46" s="80">
        <v>15</v>
      </c>
      <c r="DB46" s="80">
        <v>15</v>
      </c>
      <c r="DC46" s="80">
        <v>0</v>
      </c>
      <c r="DD46" s="80">
        <v>0</v>
      </c>
      <c r="DE46" s="80">
        <v>0</v>
      </c>
      <c r="DF46" s="80">
        <v>0</v>
      </c>
      <c r="DG46" s="80">
        <v>1303</v>
      </c>
      <c r="DH46" s="80">
        <v>300</v>
      </c>
      <c r="DI46" s="80">
        <v>0</v>
      </c>
      <c r="DJ46" s="80">
        <v>300</v>
      </c>
      <c r="DK46" s="80">
        <v>0</v>
      </c>
      <c r="DL46" s="80">
        <v>0</v>
      </c>
      <c r="DM46" s="80">
        <v>1003</v>
      </c>
      <c r="DN46" s="80">
        <v>601</v>
      </c>
      <c r="DO46" s="80">
        <v>2</v>
      </c>
      <c r="DP46" s="80">
        <v>159</v>
      </c>
      <c r="DQ46" s="80">
        <v>241</v>
      </c>
      <c r="DR46" s="80">
        <v>3809</v>
      </c>
      <c r="DS46" s="80">
        <v>3809</v>
      </c>
      <c r="DT46" s="80">
        <v>0</v>
      </c>
      <c r="DU46" s="80">
        <v>0</v>
      </c>
      <c r="DV46" s="80">
        <v>0</v>
      </c>
      <c r="DW46" s="80">
        <v>210</v>
      </c>
      <c r="DX46" s="80">
        <v>32344</v>
      </c>
      <c r="DY46" s="80">
        <v>11135</v>
      </c>
      <c r="DZ46" s="80">
        <v>9052</v>
      </c>
      <c r="EA46" s="80">
        <v>0</v>
      </c>
      <c r="EB46" s="80">
        <v>0</v>
      </c>
      <c r="EC46" s="80">
        <v>2079</v>
      </c>
      <c r="ED46" s="80">
        <v>4</v>
      </c>
      <c r="EE46" s="80">
        <v>1985</v>
      </c>
      <c r="EF46" s="80">
        <v>1985</v>
      </c>
      <c r="EG46" s="80">
        <v>0</v>
      </c>
      <c r="EH46" s="80">
        <v>0</v>
      </c>
      <c r="EI46" s="80">
        <v>0</v>
      </c>
      <c r="EJ46" s="80">
        <v>0</v>
      </c>
      <c r="EK46" s="80">
        <v>324</v>
      </c>
      <c r="EL46" s="80">
        <v>0</v>
      </c>
      <c r="EM46" s="80">
        <v>282</v>
      </c>
      <c r="EN46" s="80">
        <v>42</v>
      </c>
      <c r="EO46" s="80">
        <v>18900</v>
      </c>
      <c r="EP46" s="80">
        <v>2228</v>
      </c>
      <c r="EQ46" s="80">
        <v>0</v>
      </c>
      <c r="ER46" s="80">
        <v>2228</v>
      </c>
      <c r="ES46" s="80">
        <v>0</v>
      </c>
      <c r="ET46" s="80">
        <v>2228</v>
      </c>
      <c r="EU46" s="80">
        <v>0</v>
      </c>
      <c r="EV46" s="80">
        <v>0</v>
      </c>
      <c r="EW46" s="80">
        <v>0</v>
      </c>
      <c r="EX46" s="80">
        <v>0</v>
      </c>
      <c r="EY46" s="80">
        <v>0</v>
      </c>
      <c r="EZ46" s="80">
        <v>0</v>
      </c>
      <c r="FA46" s="80">
        <v>0</v>
      </c>
      <c r="FB46" s="80">
        <v>0</v>
      </c>
      <c r="FC46" s="80">
        <v>0</v>
      </c>
      <c r="FD46" s="80">
        <v>16672</v>
      </c>
      <c r="FE46" s="80">
        <v>0</v>
      </c>
      <c r="FF46" s="80">
        <v>12752</v>
      </c>
      <c r="FG46" s="80">
        <v>6452</v>
      </c>
      <c r="FH46" s="80">
        <v>6300</v>
      </c>
      <c r="FI46" s="80">
        <v>0</v>
      </c>
      <c r="FJ46" s="80">
        <v>0</v>
      </c>
      <c r="FK46" s="80">
        <v>0</v>
      </c>
      <c r="FL46" s="80">
        <v>0</v>
      </c>
      <c r="FM46" s="80">
        <v>0</v>
      </c>
      <c r="FN46" s="80">
        <v>2033</v>
      </c>
      <c r="FO46" s="80">
        <v>232</v>
      </c>
      <c r="FP46" s="80">
        <v>1655</v>
      </c>
      <c r="FQ46" s="80">
        <v>32344</v>
      </c>
      <c r="FR46" s="80">
        <v>3574</v>
      </c>
      <c r="FS46" s="80">
        <v>0</v>
      </c>
      <c r="FT46" s="100">
        <v>12636.096921761364</v>
      </c>
      <c r="FU46" s="100"/>
      <c r="FV46" s="100">
        <v>6420</v>
      </c>
      <c r="FW46" s="67">
        <v>1622</v>
      </c>
      <c r="FX46" s="100">
        <f t="shared" si="5"/>
        <v>-14181</v>
      </c>
      <c r="FY46" s="100">
        <f t="shared" si="6"/>
        <v>-22685</v>
      </c>
      <c r="FZ46" s="100">
        <v>17960.644716647865</v>
      </c>
      <c r="GA46" s="67">
        <v>8504</v>
      </c>
      <c r="GB46" s="58">
        <f t="shared" si="3"/>
        <v>2084</v>
      </c>
      <c r="GC46" s="67">
        <v>1677</v>
      </c>
      <c r="GD46" s="100">
        <v>1362</v>
      </c>
      <c r="GE46" s="100">
        <v>223</v>
      </c>
      <c r="GF46" s="58">
        <f t="shared" si="4"/>
        <v>1139</v>
      </c>
      <c r="GG46" s="100">
        <v>-5014.576</v>
      </c>
      <c r="GH46" s="100">
        <v>-664.26960000000008</v>
      </c>
      <c r="GI46" s="100">
        <v>-12655.064092533918</v>
      </c>
      <c r="GJ46" s="67">
        <f t="shared" si="7"/>
        <v>55</v>
      </c>
      <c r="GK46" s="67"/>
      <c r="GL46" s="67"/>
      <c r="GM46" s="96"/>
    </row>
    <row r="47" spans="1:195" ht="13.5" customHeight="1" x14ac:dyDescent="0.2">
      <c r="A47" s="74">
        <v>91</v>
      </c>
      <c r="B47" s="75" t="s">
        <v>233</v>
      </c>
      <c r="C47" s="82" t="s">
        <v>233</v>
      </c>
      <c r="D47" s="76"/>
      <c r="E47" s="77" t="s">
        <v>218</v>
      </c>
      <c r="F47" s="78">
        <v>7</v>
      </c>
      <c r="G47" s="79">
        <v>628208</v>
      </c>
      <c r="H47" s="80">
        <v>1041561</v>
      </c>
      <c r="I47" s="80">
        <v>310712</v>
      </c>
      <c r="J47" s="80">
        <v>213374</v>
      </c>
      <c r="K47" s="80">
        <v>116477</v>
      </c>
      <c r="L47" s="80">
        <v>400998</v>
      </c>
      <c r="M47" s="80">
        <v>0</v>
      </c>
      <c r="N47" s="80">
        <v>114807</v>
      </c>
      <c r="O47" s="80">
        <v>4302828</v>
      </c>
      <c r="P47" s="80">
        <v>1837722</v>
      </c>
      <c r="Q47" s="80">
        <v>1374275</v>
      </c>
      <c r="R47" s="80">
        <v>463447</v>
      </c>
      <c r="S47" s="80">
        <v>381266</v>
      </c>
      <c r="T47" s="80">
        <v>82181</v>
      </c>
      <c r="U47" s="80">
        <v>1658468</v>
      </c>
      <c r="V47" s="80">
        <v>185398</v>
      </c>
      <c r="W47" s="80">
        <v>428572</v>
      </c>
      <c r="X47" s="80">
        <v>192668</v>
      </c>
      <c r="Y47" s="80">
        <v>-3146460</v>
      </c>
      <c r="Z47" s="80">
        <v>3067915</v>
      </c>
      <c r="AA47" s="80">
        <v>2480765</v>
      </c>
      <c r="AB47" s="80">
        <v>372493</v>
      </c>
      <c r="AC47" s="80">
        <v>214657</v>
      </c>
      <c r="AD47" s="80">
        <v>273172</v>
      </c>
      <c r="AE47" s="80">
        <v>70488</v>
      </c>
      <c r="AF47" s="80">
        <v>86161</v>
      </c>
      <c r="AG47" s="80">
        <v>18698</v>
      </c>
      <c r="AH47" s="80">
        <v>13576</v>
      </c>
      <c r="AI47" s="80">
        <v>22176</v>
      </c>
      <c r="AJ47" s="80">
        <v>12195</v>
      </c>
      <c r="AK47" s="80">
        <v>265115</v>
      </c>
      <c r="AL47" s="80">
        <v>385696</v>
      </c>
      <c r="AM47" s="80">
        <v>329574</v>
      </c>
      <c r="AN47" s="80">
        <v>56122</v>
      </c>
      <c r="AO47" s="80">
        <v>139182</v>
      </c>
      <c r="AP47" s="80">
        <v>139775</v>
      </c>
      <c r="AQ47" s="80">
        <v>593</v>
      </c>
      <c r="AR47" s="80">
        <v>18601</v>
      </c>
      <c r="AS47" s="80">
        <v>3067</v>
      </c>
      <c r="AT47" s="80">
        <v>-2116</v>
      </c>
      <c r="AU47" s="80">
        <v>9282</v>
      </c>
      <c r="AV47" s="80">
        <v>28834</v>
      </c>
      <c r="AW47" s="81"/>
      <c r="AX47" s="80">
        <v>251180</v>
      </c>
      <c r="AY47" s="80">
        <v>265115</v>
      </c>
      <c r="AZ47" s="80">
        <v>139182</v>
      </c>
      <c r="BA47" s="80">
        <v>-153117</v>
      </c>
      <c r="BB47" s="80">
        <v>-418143</v>
      </c>
      <c r="BC47" s="80">
        <v>571167</v>
      </c>
      <c r="BD47" s="80">
        <v>5267</v>
      </c>
      <c r="BE47" s="80">
        <v>147757</v>
      </c>
      <c r="BF47" s="80">
        <v>-166963</v>
      </c>
      <c r="BG47" s="80">
        <v>99502</v>
      </c>
      <c r="BH47" s="80">
        <v>78223</v>
      </c>
      <c r="BI47" s="80">
        <v>23305</v>
      </c>
      <c r="BJ47" s="80">
        <v>101528</v>
      </c>
      <c r="BK47" s="80">
        <v>3359</v>
      </c>
      <c r="BL47" s="80">
        <v>120000</v>
      </c>
      <c r="BM47" s="80">
        <v>116641</v>
      </c>
      <c r="BN47" s="80">
        <v>0</v>
      </c>
      <c r="BO47" s="80">
        <v>0</v>
      </c>
      <c r="BP47" s="80">
        <v>17920</v>
      </c>
      <c r="BQ47" s="80">
        <v>-13706</v>
      </c>
      <c r="BR47" s="80">
        <v>-331</v>
      </c>
      <c r="BS47" s="80">
        <v>-11382</v>
      </c>
      <c r="BT47" s="80">
        <v>43339</v>
      </c>
      <c r="BU47" s="80">
        <v>-67463</v>
      </c>
      <c r="BV47" s="80">
        <v>940431</v>
      </c>
      <c r="BW47" s="80">
        <v>1007894</v>
      </c>
      <c r="BX47" s="81"/>
      <c r="BY47" s="80">
        <v>11832739</v>
      </c>
      <c r="BZ47" s="80">
        <v>104925</v>
      </c>
      <c r="CA47" s="80">
        <v>19824</v>
      </c>
      <c r="CB47" s="80">
        <v>84037</v>
      </c>
      <c r="CC47" s="80">
        <v>1064</v>
      </c>
      <c r="CD47" s="80">
        <v>6574995</v>
      </c>
      <c r="CE47" s="80">
        <v>3142539</v>
      </c>
      <c r="CF47" s="80">
        <v>1622494</v>
      </c>
      <c r="CG47" s="80">
        <v>1313802</v>
      </c>
      <c r="CH47" s="80">
        <v>172955</v>
      </c>
      <c r="CI47" s="80">
        <v>12056</v>
      </c>
      <c r="CJ47" s="80">
        <v>11687</v>
      </c>
      <c r="CK47" s="80">
        <v>311149</v>
      </c>
      <c r="CL47" s="80">
        <v>5152819</v>
      </c>
      <c r="CM47" s="80">
        <v>3143430</v>
      </c>
      <c r="CN47" s="80">
        <v>428932</v>
      </c>
      <c r="CO47" s="80">
        <v>2714498</v>
      </c>
      <c r="CP47" s="80">
        <v>0</v>
      </c>
      <c r="CQ47" s="80">
        <v>2008843</v>
      </c>
      <c r="CR47" s="80">
        <v>0</v>
      </c>
      <c r="CS47" s="80">
        <v>687282</v>
      </c>
      <c r="CT47" s="80">
        <v>1321561</v>
      </c>
      <c r="CU47" s="80">
        <v>546</v>
      </c>
      <c r="CV47" s="80">
        <v>585826</v>
      </c>
      <c r="CW47" s="80">
        <v>139715</v>
      </c>
      <c r="CX47" s="80">
        <v>4344</v>
      </c>
      <c r="CY47" s="80">
        <v>441767</v>
      </c>
      <c r="CZ47" s="80">
        <v>1183126</v>
      </c>
      <c r="DA47" s="80">
        <v>15213</v>
      </c>
      <c r="DB47" s="80">
        <v>9451</v>
      </c>
      <c r="DC47" s="80">
        <v>5675</v>
      </c>
      <c r="DD47" s="80">
        <v>0</v>
      </c>
      <c r="DE47" s="80">
        <v>87</v>
      </c>
      <c r="DF47" s="80">
        <v>0</v>
      </c>
      <c r="DG47" s="80">
        <v>227482</v>
      </c>
      <c r="DH47" s="80">
        <v>24234</v>
      </c>
      <c r="DI47" s="80">
        <v>65</v>
      </c>
      <c r="DJ47" s="80">
        <v>62</v>
      </c>
      <c r="DK47" s="80">
        <v>24107</v>
      </c>
      <c r="DL47" s="80">
        <v>0</v>
      </c>
      <c r="DM47" s="80">
        <v>203248</v>
      </c>
      <c r="DN47" s="80">
        <v>58020</v>
      </c>
      <c r="DO47" s="80">
        <v>429</v>
      </c>
      <c r="DP47" s="80">
        <v>40478</v>
      </c>
      <c r="DQ47" s="80">
        <v>104321</v>
      </c>
      <c r="DR47" s="80">
        <v>494560</v>
      </c>
      <c r="DS47" s="80">
        <v>0</v>
      </c>
      <c r="DT47" s="80">
        <v>474560</v>
      </c>
      <c r="DU47" s="80">
        <v>20000</v>
      </c>
      <c r="DV47" s="80">
        <v>0</v>
      </c>
      <c r="DW47" s="80">
        <v>445871</v>
      </c>
      <c r="DX47" s="80">
        <v>13601691</v>
      </c>
      <c r="DY47" s="80">
        <v>10503824</v>
      </c>
      <c r="DZ47" s="80">
        <v>2972407</v>
      </c>
      <c r="EA47" s="80">
        <v>1808364</v>
      </c>
      <c r="EB47" s="80">
        <v>1243800</v>
      </c>
      <c r="EC47" s="80">
        <v>4450419</v>
      </c>
      <c r="ED47" s="80">
        <v>28834</v>
      </c>
      <c r="EE47" s="80">
        <v>70307</v>
      </c>
      <c r="EF47" s="80">
        <v>52195</v>
      </c>
      <c r="EG47" s="80">
        <v>18112</v>
      </c>
      <c r="EH47" s="80">
        <v>138101</v>
      </c>
      <c r="EI47" s="80">
        <v>138101</v>
      </c>
      <c r="EJ47" s="80">
        <v>0</v>
      </c>
      <c r="EK47" s="80">
        <v>564144</v>
      </c>
      <c r="EL47" s="80">
        <v>140636</v>
      </c>
      <c r="EM47" s="80">
        <v>4344</v>
      </c>
      <c r="EN47" s="80">
        <v>419164</v>
      </c>
      <c r="EO47" s="80">
        <v>2325315</v>
      </c>
      <c r="EP47" s="80">
        <v>1275647</v>
      </c>
      <c r="EQ47" s="80">
        <v>0</v>
      </c>
      <c r="ER47" s="80">
        <v>1253826</v>
      </c>
      <c r="ES47" s="80">
        <v>0</v>
      </c>
      <c r="ET47" s="80">
        <v>467233</v>
      </c>
      <c r="EU47" s="80">
        <v>68</v>
      </c>
      <c r="EV47" s="80">
        <v>786525</v>
      </c>
      <c r="EW47" s="80">
        <v>0</v>
      </c>
      <c r="EX47" s="80">
        <v>7438</v>
      </c>
      <c r="EY47" s="80">
        <v>13118</v>
      </c>
      <c r="EZ47" s="80">
        <v>1160</v>
      </c>
      <c r="FA47" s="80">
        <v>105</v>
      </c>
      <c r="FB47" s="80">
        <v>6</v>
      </c>
      <c r="FC47" s="80">
        <v>0</v>
      </c>
      <c r="FD47" s="80">
        <v>1049668</v>
      </c>
      <c r="FE47" s="80">
        <v>0</v>
      </c>
      <c r="FF47" s="80">
        <v>320728</v>
      </c>
      <c r="FG47" s="80">
        <v>0</v>
      </c>
      <c r="FH47" s="80">
        <v>258023</v>
      </c>
      <c r="FI47" s="80">
        <v>45</v>
      </c>
      <c r="FJ47" s="80">
        <v>62660</v>
      </c>
      <c r="FK47" s="80">
        <v>0</v>
      </c>
      <c r="FL47" s="80">
        <v>0</v>
      </c>
      <c r="FM47" s="80">
        <v>11582</v>
      </c>
      <c r="FN47" s="80">
        <v>135063</v>
      </c>
      <c r="FO47" s="80">
        <v>169677</v>
      </c>
      <c r="FP47" s="80">
        <v>412618</v>
      </c>
      <c r="FQ47" s="80">
        <v>13601691</v>
      </c>
      <c r="FR47" s="80">
        <v>343986</v>
      </c>
      <c r="FS47" s="80">
        <v>266274</v>
      </c>
      <c r="FT47" s="100">
        <v>2897758.4043836971</v>
      </c>
      <c r="FU47" s="100"/>
      <c r="FV47" s="100">
        <v>1616635</v>
      </c>
      <c r="FW47" s="67">
        <v>377742</v>
      </c>
      <c r="FX47" s="100">
        <f t="shared" si="5"/>
        <v>-822949</v>
      </c>
      <c r="FY47" s="100">
        <f t="shared" si="6"/>
        <v>-2760764</v>
      </c>
      <c r="FZ47" s="100">
        <v>1971104.0882720407</v>
      </c>
      <c r="GA47" s="67">
        <v>1937815</v>
      </c>
      <c r="GB47" s="58">
        <f t="shared" si="3"/>
        <v>321180</v>
      </c>
      <c r="GC47" s="67">
        <v>385620</v>
      </c>
      <c r="GD47" s="100">
        <v>219959</v>
      </c>
      <c r="GE47" s="100">
        <v>102277</v>
      </c>
      <c r="GF47" s="58">
        <f t="shared" si="4"/>
        <v>117682</v>
      </c>
      <c r="GG47" s="100">
        <v>-1649499.3309999998</v>
      </c>
      <c r="GH47" s="100">
        <v>-133517.46425000008</v>
      </c>
      <c r="GI47" s="100">
        <v>-168386.06222199422</v>
      </c>
      <c r="GJ47" s="67">
        <f t="shared" si="7"/>
        <v>7878</v>
      </c>
      <c r="GK47" s="67"/>
      <c r="GL47" s="67"/>
      <c r="GM47" s="96"/>
    </row>
    <row r="48" spans="1:195" ht="13.5" customHeight="1" x14ac:dyDescent="0.2">
      <c r="A48" s="74">
        <v>97</v>
      </c>
      <c r="B48" s="75" t="s">
        <v>26</v>
      </c>
      <c r="C48" s="75" t="s">
        <v>26</v>
      </c>
      <c r="D48" s="76"/>
      <c r="E48" s="77" t="s">
        <v>220</v>
      </c>
      <c r="F48" s="78">
        <v>2</v>
      </c>
      <c r="G48" s="79">
        <v>2290</v>
      </c>
      <c r="H48" s="80">
        <v>3001</v>
      </c>
      <c r="I48" s="80">
        <v>924</v>
      </c>
      <c r="J48" s="80">
        <v>571</v>
      </c>
      <c r="K48" s="80">
        <v>136</v>
      </c>
      <c r="L48" s="80">
        <v>1370</v>
      </c>
      <c r="M48" s="80">
        <v>0</v>
      </c>
      <c r="N48" s="80">
        <v>0</v>
      </c>
      <c r="O48" s="80">
        <v>16518</v>
      </c>
      <c r="P48" s="80">
        <v>3803</v>
      </c>
      <c r="Q48" s="80">
        <v>2754</v>
      </c>
      <c r="R48" s="80">
        <v>1049</v>
      </c>
      <c r="S48" s="80">
        <v>901</v>
      </c>
      <c r="T48" s="80">
        <v>148</v>
      </c>
      <c r="U48" s="80">
        <v>11250</v>
      </c>
      <c r="V48" s="80">
        <v>898</v>
      </c>
      <c r="W48" s="80">
        <v>205</v>
      </c>
      <c r="X48" s="80">
        <v>362</v>
      </c>
      <c r="Y48" s="80">
        <v>-13517</v>
      </c>
      <c r="Z48" s="80">
        <v>7439</v>
      </c>
      <c r="AA48" s="80">
        <v>5421</v>
      </c>
      <c r="AB48" s="80">
        <v>872</v>
      </c>
      <c r="AC48" s="80">
        <v>1146</v>
      </c>
      <c r="AD48" s="80">
        <v>7056</v>
      </c>
      <c r="AE48" s="80">
        <v>175</v>
      </c>
      <c r="AF48" s="80">
        <v>0</v>
      </c>
      <c r="AG48" s="80">
        <v>176</v>
      </c>
      <c r="AH48" s="80">
        <v>170</v>
      </c>
      <c r="AI48" s="80">
        <v>1</v>
      </c>
      <c r="AJ48" s="80">
        <v>0</v>
      </c>
      <c r="AK48" s="80">
        <v>1153</v>
      </c>
      <c r="AL48" s="80">
        <v>816</v>
      </c>
      <c r="AM48" s="80">
        <v>816</v>
      </c>
      <c r="AN48" s="80">
        <v>0</v>
      </c>
      <c r="AO48" s="80">
        <v>0</v>
      </c>
      <c r="AP48" s="80">
        <v>0</v>
      </c>
      <c r="AQ48" s="80">
        <v>0</v>
      </c>
      <c r="AR48" s="80">
        <v>337</v>
      </c>
      <c r="AS48" s="80">
        <v>0</v>
      </c>
      <c r="AT48" s="80">
        <v>0</v>
      </c>
      <c r="AU48" s="80">
        <v>0</v>
      </c>
      <c r="AV48" s="80">
        <v>337</v>
      </c>
      <c r="AW48" s="81"/>
      <c r="AX48" s="80">
        <v>1129</v>
      </c>
      <c r="AY48" s="80">
        <v>1153</v>
      </c>
      <c r="AZ48" s="80">
        <v>0</v>
      </c>
      <c r="BA48" s="80">
        <v>-24</v>
      </c>
      <c r="BB48" s="80">
        <v>-625</v>
      </c>
      <c r="BC48" s="80">
        <v>727</v>
      </c>
      <c r="BD48" s="80">
        <v>71</v>
      </c>
      <c r="BE48" s="80">
        <v>31</v>
      </c>
      <c r="BF48" s="80">
        <v>504</v>
      </c>
      <c r="BG48" s="80">
        <v>-242</v>
      </c>
      <c r="BH48" s="80">
        <v>-21</v>
      </c>
      <c r="BI48" s="80">
        <v>21</v>
      </c>
      <c r="BJ48" s="80">
        <v>0</v>
      </c>
      <c r="BK48" s="80">
        <v>-133</v>
      </c>
      <c r="BL48" s="80">
        <v>0</v>
      </c>
      <c r="BM48" s="80">
        <v>133</v>
      </c>
      <c r="BN48" s="80">
        <v>0</v>
      </c>
      <c r="BO48" s="80">
        <v>0</v>
      </c>
      <c r="BP48" s="80">
        <v>-88</v>
      </c>
      <c r="BQ48" s="80">
        <v>0</v>
      </c>
      <c r="BR48" s="80">
        <v>0</v>
      </c>
      <c r="BS48" s="80">
        <v>8</v>
      </c>
      <c r="BT48" s="80">
        <v>-96</v>
      </c>
      <c r="BU48" s="80">
        <v>260</v>
      </c>
      <c r="BV48" s="80">
        <v>6254</v>
      </c>
      <c r="BW48" s="80">
        <v>5994</v>
      </c>
      <c r="BX48" s="81"/>
      <c r="BY48" s="80">
        <v>10940</v>
      </c>
      <c r="BZ48" s="80">
        <v>33</v>
      </c>
      <c r="CA48" s="80">
        <v>0</v>
      </c>
      <c r="CB48" s="80">
        <v>33</v>
      </c>
      <c r="CC48" s="80">
        <v>0</v>
      </c>
      <c r="CD48" s="80">
        <v>8975</v>
      </c>
      <c r="CE48" s="80">
        <v>2151</v>
      </c>
      <c r="CF48" s="80">
        <v>2525</v>
      </c>
      <c r="CG48" s="80">
        <v>3748</v>
      </c>
      <c r="CH48" s="80">
        <v>112</v>
      </c>
      <c r="CI48" s="80">
        <v>0</v>
      </c>
      <c r="CJ48" s="80">
        <v>0</v>
      </c>
      <c r="CK48" s="80">
        <v>439</v>
      </c>
      <c r="CL48" s="80">
        <v>1932</v>
      </c>
      <c r="CM48" s="80">
        <v>1681</v>
      </c>
      <c r="CN48" s="80">
        <v>987</v>
      </c>
      <c r="CO48" s="80">
        <v>694</v>
      </c>
      <c r="CP48" s="80">
        <v>0</v>
      </c>
      <c r="CQ48" s="80">
        <v>38</v>
      </c>
      <c r="CR48" s="80">
        <v>0</v>
      </c>
      <c r="CS48" s="80">
        <v>0</v>
      </c>
      <c r="CT48" s="80">
        <v>38</v>
      </c>
      <c r="CU48" s="80">
        <v>213</v>
      </c>
      <c r="CV48" s="80">
        <v>0</v>
      </c>
      <c r="CW48" s="80">
        <v>0</v>
      </c>
      <c r="CX48" s="80">
        <v>0</v>
      </c>
      <c r="CY48" s="80">
        <v>0</v>
      </c>
      <c r="CZ48" s="80">
        <v>6725</v>
      </c>
      <c r="DA48" s="80">
        <v>4</v>
      </c>
      <c r="DB48" s="80">
        <v>3</v>
      </c>
      <c r="DC48" s="80">
        <v>0</v>
      </c>
      <c r="DD48" s="80">
        <v>1</v>
      </c>
      <c r="DE48" s="80">
        <v>0</v>
      </c>
      <c r="DF48" s="80">
        <v>0</v>
      </c>
      <c r="DG48" s="80">
        <v>466</v>
      </c>
      <c r="DH48" s="80">
        <v>0</v>
      </c>
      <c r="DI48" s="80">
        <v>0</v>
      </c>
      <c r="DJ48" s="80">
        <v>0</v>
      </c>
      <c r="DK48" s="80">
        <v>0</v>
      </c>
      <c r="DL48" s="80">
        <v>0</v>
      </c>
      <c r="DM48" s="80">
        <v>466</v>
      </c>
      <c r="DN48" s="80">
        <v>196</v>
      </c>
      <c r="DO48" s="80">
        <v>0</v>
      </c>
      <c r="DP48" s="80">
        <v>226</v>
      </c>
      <c r="DQ48" s="80">
        <v>44</v>
      </c>
      <c r="DR48" s="80">
        <v>2613</v>
      </c>
      <c r="DS48" s="80">
        <v>950</v>
      </c>
      <c r="DT48" s="80">
        <v>0</v>
      </c>
      <c r="DU48" s="80">
        <v>0</v>
      </c>
      <c r="DV48" s="80">
        <v>1663</v>
      </c>
      <c r="DW48" s="80">
        <v>3642</v>
      </c>
      <c r="DX48" s="80">
        <v>17665</v>
      </c>
      <c r="DY48" s="80">
        <v>13165</v>
      </c>
      <c r="DZ48" s="80">
        <v>7068</v>
      </c>
      <c r="EA48" s="80">
        <v>0</v>
      </c>
      <c r="EB48" s="80">
        <v>1673</v>
      </c>
      <c r="EC48" s="80">
        <v>4087</v>
      </c>
      <c r="ED48" s="80">
        <v>337</v>
      </c>
      <c r="EE48" s="80">
        <v>1165</v>
      </c>
      <c r="EF48" s="80">
        <v>0</v>
      </c>
      <c r="EG48" s="80">
        <v>1165</v>
      </c>
      <c r="EH48" s="80">
        <v>441</v>
      </c>
      <c r="EI48" s="80">
        <v>0</v>
      </c>
      <c r="EJ48" s="80">
        <v>441</v>
      </c>
      <c r="EK48" s="80">
        <v>32</v>
      </c>
      <c r="EL48" s="80">
        <v>0</v>
      </c>
      <c r="EM48" s="80">
        <v>32</v>
      </c>
      <c r="EN48" s="80">
        <v>0</v>
      </c>
      <c r="EO48" s="80">
        <v>2862</v>
      </c>
      <c r="EP48" s="80">
        <v>1213</v>
      </c>
      <c r="EQ48" s="80">
        <v>0</v>
      </c>
      <c r="ER48" s="80">
        <v>567</v>
      </c>
      <c r="ES48" s="80">
        <v>0</v>
      </c>
      <c r="ET48" s="80">
        <v>567</v>
      </c>
      <c r="EU48" s="80">
        <v>0</v>
      </c>
      <c r="EV48" s="80">
        <v>0</v>
      </c>
      <c r="EW48" s="80">
        <v>0</v>
      </c>
      <c r="EX48" s="80">
        <v>0</v>
      </c>
      <c r="EY48" s="80">
        <v>5</v>
      </c>
      <c r="EZ48" s="80">
        <v>0</v>
      </c>
      <c r="FA48" s="80">
        <v>641</v>
      </c>
      <c r="FB48" s="80">
        <v>0</v>
      </c>
      <c r="FC48" s="80">
        <v>0</v>
      </c>
      <c r="FD48" s="80">
        <v>1649</v>
      </c>
      <c r="FE48" s="80">
        <v>0</v>
      </c>
      <c r="FF48" s="80">
        <v>133</v>
      </c>
      <c r="FG48" s="80">
        <v>0</v>
      </c>
      <c r="FH48" s="80">
        <v>133</v>
      </c>
      <c r="FI48" s="80">
        <v>0</v>
      </c>
      <c r="FJ48" s="80">
        <v>0</v>
      </c>
      <c r="FK48" s="80">
        <v>0</v>
      </c>
      <c r="FL48" s="80">
        <v>0</v>
      </c>
      <c r="FM48" s="80">
        <v>4</v>
      </c>
      <c r="FN48" s="80">
        <v>836</v>
      </c>
      <c r="FO48" s="80">
        <v>77</v>
      </c>
      <c r="FP48" s="80">
        <v>599</v>
      </c>
      <c r="FQ48" s="80">
        <v>17665</v>
      </c>
      <c r="FR48" s="80">
        <v>5232</v>
      </c>
      <c r="FS48" s="80">
        <v>951</v>
      </c>
      <c r="FT48" s="100">
        <v>8029.0682198323857</v>
      </c>
      <c r="FU48" s="100"/>
      <c r="FV48" s="100">
        <v>3475</v>
      </c>
      <c r="FW48" s="67">
        <v>816</v>
      </c>
      <c r="FX48" s="100">
        <f t="shared" si="5"/>
        <v>-8962</v>
      </c>
      <c r="FY48" s="100">
        <f t="shared" si="6"/>
        <v>-12701</v>
      </c>
      <c r="FZ48" s="100">
        <v>8745.9215553908398</v>
      </c>
      <c r="GA48" s="67">
        <v>3739</v>
      </c>
      <c r="GB48" s="58">
        <f t="shared" si="3"/>
        <v>264</v>
      </c>
      <c r="GC48" s="67">
        <v>816</v>
      </c>
      <c r="GD48" s="100">
        <v>147</v>
      </c>
      <c r="GE48" s="100">
        <v>147</v>
      </c>
      <c r="GF48" s="58">
        <f t="shared" si="4"/>
        <v>0</v>
      </c>
      <c r="GG48" s="100">
        <v>-3345.134</v>
      </c>
      <c r="GH48" s="100">
        <v>-267.24855000000014</v>
      </c>
      <c r="GI48" s="100">
        <v>-5253.8822871709972</v>
      </c>
      <c r="GJ48" s="67">
        <f t="shared" si="7"/>
        <v>0</v>
      </c>
      <c r="GK48" s="67"/>
      <c r="GL48" s="67"/>
      <c r="GM48" s="96"/>
    </row>
    <row r="49" spans="1:195" ht="13.5" customHeight="1" x14ac:dyDescent="0.2">
      <c r="A49" s="74">
        <v>98</v>
      </c>
      <c r="B49" s="75" t="s">
        <v>27</v>
      </c>
      <c r="C49" s="75" t="s">
        <v>27</v>
      </c>
      <c r="D49" s="76">
        <v>1</v>
      </c>
      <c r="E49" s="77" t="s">
        <v>217</v>
      </c>
      <c r="F49" s="78">
        <v>5</v>
      </c>
      <c r="G49" s="79">
        <v>23915</v>
      </c>
      <c r="H49" s="79">
        <v>97725</v>
      </c>
      <c r="I49" s="79">
        <v>78284</v>
      </c>
      <c r="J49" s="79">
        <v>12600</v>
      </c>
      <c r="K49" s="79">
        <v>2529</v>
      </c>
      <c r="L49" s="79">
        <v>4312</v>
      </c>
      <c r="M49" s="79">
        <v>0</v>
      </c>
      <c r="N49" s="79">
        <v>160</v>
      </c>
      <c r="O49" s="79">
        <v>213651</v>
      </c>
      <c r="P49" s="79">
        <v>81883</v>
      </c>
      <c r="Q49" s="79">
        <v>63967</v>
      </c>
      <c r="R49" s="79">
        <v>17916</v>
      </c>
      <c r="S49" s="79">
        <v>14466</v>
      </c>
      <c r="T49" s="79">
        <v>3450</v>
      </c>
      <c r="U49" s="79">
        <v>101894</v>
      </c>
      <c r="V49" s="79">
        <v>8181</v>
      </c>
      <c r="W49" s="79">
        <v>12060</v>
      </c>
      <c r="X49" s="79">
        <v>9633</v>
      </c>
      <c r="Y49" s="79">
        <v>-115766</v>
      </c>
      <c r="Z49" s="79">
        <v>90519</v>
      </c>
      <c r="AA49" s="79">
        <v>81689</v>
      </c>
      <c r="AB49" s="79">
        <v>3578</v>
      </c>
      <c r="AC49" s="79">
        <v>5252</v>
      </c>
      <c r="AD49" s="79">
        <v>31957</v>
      </c>
      <c r="AE49" s="79">
        <v>528</v>
      </c>
      <c r="AF49" s="79">
        <v>3</v>
      </c>
      <c r="AG49" s="79">
        <v>1612</v>
      </c>
      <c r="AH49" s="79">
        <v>1555</v>
      </c>
      <c r="AI49" s="79">
        <v>757</v>
      </c>
      <c r="AJ49" s="79">
        <v>330</v>
      </c>
      <c r="AK49" s="79">
        <v>7238</v>
      </c>
      <c r="AL49" s="79">
        <v>10851</v>
      </c>
      <c r="AM49" s="79">
        <v>10851</v>
      </c>
      <c r="AN49" s="79">
        <v>0</v>
      </c>
      <c r="AO49" s="79">
        <v>0</v>
      </c>
      <c r="AP49" s="79">
        <v>0</v>
      </c>
      <c r="AQ49" s="79">
        <v>0</v>
      </c>
      <c r="AR49" s="79">
        <v>-3613</v>
      </c>
      <c r="AS49" s="79">
        <v>5</v>
      </c>
      <c r="AT49" s="79">
        <v>0</v>
      </c>
      <c r="AU49" s="79">
        <v>0</v>
      </c>
      <c r="AV49" s="79">
        <v>-3608</v>
      </c>
      <c r="AW49" s="79"/>
      <c r="AX49" s="79">
        <v>7043</v>
      </c>
      <c r="AY49" s="79">
        <v>7238</v>
      </c>
      <c r="AZ49" s="79">
        <v>0</v>
      </c>
      <c r="BA49" s="79">
        <v>-195</v>
      </c>
      <c r="BB49" s="79">
        <v>-14381</v>
      </c>
      <c r="BC49" s="79">
        <v>15301</v>
      </c>
      <c r="BD49" s="79">
        <v>217</v>
      </c>
      <c r="BE49" s="79">
        <v>703</v>
      </c>
      <c r="BF49" s="79">
        <v>-7338</v>
      </c>
      <c r="BG49" s="79">
        <v>5292</v>
      </c>
      <c r="BH49" s="79">
        <v>104</v>
      </c>
      <c r="BI49" s="79">
        <v>172</v>
      </c>
      <c r="BJ49" s="79">
        <v>276</v>
      </c>
      <c r="BK49" s="79">
        <v>1838</v>
      </c>
      <c r="BL49" s="79">
        <v>10000</v>
      </c>
      <c r="BM49" s="79">
        <v>8162</v>
      </c>
      <c r="BN49" s="79">
        <v>0</v>
      </c>
      <c r="BO49" s="79">
        <v>0</v>
      </c>
      <c r="BP49" s="79">
        <v>3350</v>
      </c>
      <c r="BQ49" s="79">
        <v>-57</v>
      </c>
      <c r="BR49" s="79">
        <v>-9</v>
      </c>
      <c r="BS49" s="79">
        <v>653</v>
      </c>
      <c r="BT49" s="79">
        <v>2763</v>
      </c>
      <c r="BU49" s="79">
        <v>-2046</v>
      </c>
      <c r="BV49" s="79">
        <v>23368</v>
      </c>
      <c r="BW49" s="79">
        <v>25414</v>
      </c>
      <c r="BX49" s="79"/>
      <c r="BY49" s="79">
        <v>142828</v>
      </c>
      <c r="BZ49" s="79">
        <v>220</v>
      </c>
      <c r="CA49" s="79">
        <v>48</v>
      </c>
      <c r="CB49" s="79">
        <v>172</v>
      </c>
      <c r="CC49" s="79">
        <v>0</v>
      </c>
      <c r="CD49" s="79">
        <v>127412</v>
      </c>
      <c r="CE49" s="79">
        <v>23028</v>
      </c>
      <c r="CF49" s="79">
        <v>56778</v>
      </c>
      <c r="CG49" s="79">
        <v>34786</v>
      </c>
      <c r="CH49" s="79">
        <v>1089</v>
      </c>
      <c r="CI49" s="79">
        <v>28</v>
      </c>
      <c r="CJ49" s="79">
        <v>28</v>
      </c>
      <c r="CK49" s="79">
        <v>11703</v>
      </c>
      <c r="CL49" s="79">
        <v>15196</v>
      </c>
      <c r="CM49" s="79">
        <v>14633</v>
      </c>
      <c r="CN49" s="79">
        <v>11142</v>
      </c>
      <c r="CO49" s="79">
        <v>3491</v>
      </c>
      <c r="CP49" s="79">
        <v>0</v>
      </c>
      <c r="CQ49" s="79">
        <v>563</v>
      </c>
      <c r="CR49" s="79">
        <v>0</v>
      </c>
      <c r="CS49" s="79">
        <v>0</v>
      </c>
      <c r="CT49" s="79">
        <v>563</v>
      </c>
      <c r="CU49" s="79">
        <v>0</v>
      </c>
      <c r="CV49" s="79">
        <v>72</v>
      </c>
      <c r="CW49" s="79">
        <v>0</v>
      </c>
      <c r="CX49" s="79">
        <v>72</v>
      </c>
      <c r="CY49" s="79">
        <v>0</v>
      </c>
      <c r="CZ49" s="79">
        <v>34000</v>
      </c>
      <c r="DA49" s="79">
        <v>17</v>
      </c>
      <c r="DB49" s="79">
        <v>0</v>
      </c>
      <c r="DC49" s="79">
        <v>0</v>
      </c>
      <c r="DD49" s="79">
        <v>17</v>
      </c>
      <c r="DE49" s="79">
        <v>0</v>
      </c>
      <c r="DF49" s="79">
        <v>0</v>
      </c>
      <c r="DG49" s="79">
        <v>10615</v>
      </c>
      <c r="DH49" s="79">
        <v>2095</v>
      </c>
      <c r="DI49" s="79">
        <v>0</v>
      </c>
      <c r="DJ49" s="79">
        <v>0</v>
      </c>
      <c r="DK49" s="79">
        <v>2095</v>
      </c>
      <c r="DL49" s="79">
        <v>0</v>
      </c>
      <c r="DM49" s="79">
        <v>8520</v>
      </c>
      <c r="DN49" s="79">
        <v>3191</v>
      </c>
      <c r="DO49" s="79">
        <v>0</v>
      </c>
      <c r="DP49" s="79">
        <v>2430</v>
      </c>
      <c r="DQ49" s="79">
        <v>2899</v>
      </c>
      <c r="DR49" s="79">
        <v>0</v>
      </c>
      <c r="DS49" s="79">
        <v>0</v>
      </c>
      <c r="DT49" s="79">
        <v>0</v>
      </c>
      <c r="DU49" s="79">
        <v>0</v>
      </c>
      <c r="DV49" s="79">
        <v>0</v>
      </c>
      <c r="DW49" s="79">
        <v>23368</v>
      </c>
      <c r="DX49" s="79">
        <v>176900</v>
      </c>
      <c r="DY49" s="79">
        <v>78459</v>
      </c>
      <c r="DZ49" s="79">
        <v>65882</v>
      </c>
      <c r="EA49" s="79">
        <v>0</v>
      </c>
      <c r="EB49" s="79">
        <v>0</v>
      </c>
      <c r="EC49" s="79">
        <v>16185</v>
      </c>
      <c r="ED49" s="79">
        <v>-3608</v>
      </c>
      <c r="EE49" s="79">
        <v>40</v>
      </c>
      <c r="EF49" s="79">
        <v>40</v>
      </c>
      <c r="EG49" s="79">
        <v>0</v>
      </c>
      <c r="EH49" s="79">
        <v>0</v>
      </c>
      <c r="EI49" s="79">
        <v>0</v>
      </c>
      <c r="EJ49" s="79">
        <v>0</v>
      </c>
      <c r="EK49" s="79">
        <v>152</v>
      </c>
      <c r="EL49" s="79">
        <v>51</v>
      </c>
      <c r="EM49" s="79">
        <v>101</v>
      </c>
      <c r="EN49" s="79">
        <v>0</v>
      </c>
      <c r="EO49" s="79">
        <v>98249</v>
      </c>
      <c r="EP49" s="79">
        <v>64396</v>
      </c>
      <c r="EQ49" s="79">
        <v>0</v>
      </c>
      <c r="ER49" s="79">
        <v>54007</v>
      </c>
      <c r="ES49" s="79">
        <v>801</v>
      </c>
      <c r="ET49" s="79">
        <v>53206</v>
      </c>
      <c r="EU49" s="79">
        <v>0</v>
      </c>
      <c r="EV49" s="79">
        <v>0</v>
      </c>
      <c r="EW49" s="79">
        <v>20</v>
      </c>
      <c r="EX49" s="79">
        <v>0</v>
      </c>
      <c r="EY49" s="79">
        <v>0</v>
      </c>
      <c r="EZ49" s="79">
        <v>0</v>
      </c>
      <c r="FA49" s="79">
        <v>9380</v>
      </c>
      <c r="FB49" s="79">
        <v>0</v>
      </c>
      <c r="FC49" s="79">
        <v>989</v>
      </c>
      <c r="FD49" s="79">
        <v>33853</v>
      </c>
      <c r="FE49" s="79">
        <v>0</v>
      </c>
      <c r="FF49" s="79">
        <v>9002</v>
      </c>
      <c r="FG49" s="79">
        <v>629</v>
      </c>
      <c r="FH49" s="79">
        <v>8373</v>
      </c>
      <c r="FI49" s="79">
        <v>0</v>
      </c>
      <c r="FJ49" s="79">
        <v>0</v>
      </c>
      <c r="FK49" s="79">
        <v>33</v>
      </c>
      <c r="FL49" s="79">
        <v>0</v>
      </c>
      <c r="FM49" s="79">
        <v>40</v>
      </c>
      <c r="FN49" s="79">
        <v>8597</v>
      </c>
      <c r="FO49" s="79">
        <v>1709</v>
      </c>
      <c r="FP49" s="79">
        <v>14472</v>
      </c>
      <c r="FQ49" s="79">
        <v>176900</v>
      </c>
      <c r="FR49" s="79">
        <v>10844</v>
      </c>
      <c r="FS49" s="79">
        <v>511</v>
      </c>
      <c r="FT49" s="100">
        <v>86494.421008034959</v>
      </c>
      <c r="FU49" s="100"/>
      <c r="FV49" s="100">
        <v>40933</v>
      </c>
      <c r="FW49" s="67">
        <v>10755</v>
      </c>
      <c r="FX49" s="100">
        <f t="shared" si="5"/>
        <v>12893</v>
      </c>
      <c r="FY49" s="100">
        <f t="shared" si="6"/>
        <v>-104915</v>
      </c>
      <c r="FZ49" s="100">
        <v>71448.448374665546</v>
      </c>
      <c r="GA49" s="67">
        <v>117808</v>
      </c>
      <c r="GB49" s="58">
        <f t="shared" si="3"/>
        <v>76875</v>
      </c>
      <c r="GC49" s="67">
        <v>10851</v>
      </c>
      <c r="GD49" s="100">
        <v>12630</v>
      </c>
      <c r="GE49" s="100">
        <v>2957</v>
      </c>
      <c r="GF49" s="58">
        <f t="shared" si="4"/>
        <v>9673</v>
      </c>
      <c r="GG49" s="100">
        <v>-47459.387999999999</v>
      </c>
      <c r="GH49" s="100">
        <v>-859.1600500000003</v>
      </c>
      <c r="GI49" s="100">
        <v>-23291.377321112996</v>
      </c>
      <c r="GJ49" s="67">
        <f t="shared" si="7"/>
        <v>96</v>
      </c>
      <c r="GK49" s="67"/>
      <c r="GL49" s="67"/>
      <c r="GM49" s="96"/>
    </row>
    <row r="50" spans="1:195" ht="13.5" customHeight="1" x14ac:dyDescent="0.2">
      <c r="A50" s="74">
        <v>99</v>
      </c>
      <c r="B50" s="75" t="s">
        <v>28</v>
      </c>
      <c r="C50" s="75" t="s">
        <v>28</v>
      </c>
      <c r="D50" s="76"/>
      <c r="E50" s="77" t="s">
        <v>224</v>
      </c>
      <c r="F50" s="78">
        <v>1</v>
      </c>
      <c r="G50" s="79">
        <v>1793</v>
      </c>
      <c r="H50" s="80">
        <v>7538</v>
      </c>
      <c r="I50" s="80">
        <v>6282</v>
      </c>
      <c r="J50" s="80">
        <v>586</v>
      </c>
      <c r="K50" s="80">
        <v>150</v>
      </c>
      <c r="L50" s="80">
        <v>520</v>
      </c>
      <c r="M50" s="80">
        <v>0</v>
      </c>
      <c r="N50" s="80">
        <v>0</v>
      </c>
      <c r="O50" s="80">
        <v>17481</v>
      </c>
      <c r="P50" s="80">
        <v>7834</v>
      </c>
      <c r="Q50" s="80">
        <v>5885</v>
      </c>
      <c r="R50" s="80">
        <v>1949</v>
      </c>
      <c r="S50" s="80">
        <v>1531</v>
      </c>
      <c r="T50" s="80">
        <v>418</v>
      </c>
      <c r="U50" s="80">
        <v>8551</v>
      </c>
      <c r="V50" s="80">
        <v>535</v>
      </c>
      <c r="W50" s="80">
        <v>457</v>
      </c>
      <c r="X50" s="80">
        <v>104</v>
      </c>
      <c r="Y50" s="80">
        <v>-9943</v>
      </c>
      <c r="Z50" s="80">
        <v>6008</v>
      </c>
      <c r="AA50" s="80">
        <v>4560</v>
      </c>
      <c r="AB50" s="80">
        <v>951</v>
      </c>
      <c r="AC50" s="80">
        <v>497</v>
      </c>
      <c r="AD50" s="80">
        <v>4392</v>
      </c>
      <c r="AE50" s="80">
        <v>-46</v>
      </c>
      <c r="AF50" s="80">
        <v>0</v>
      </c>
      <c r="AG50" s="80">
        <v>9</v>
      </c>
      <c r="AH50" s="80">
        <v>1</v>
      </c>
      <c r="AI50" s="80">
        <v>53</v>
      </c>
      <c r="AJ50" s="80">
        <v>2</v>
      </c>
      <c r="AK50" s="80">
        <v>411</v>
      </c>
      <c r="AL50" s="80">
        <v>354</v>
      </c>
      <c r="AM50" s="80">
        <v>354</v>
      </c>
      <c r="AN50" s="80">
        <v>0</v>
      </c>
      <c r="AO50" s="80">
        <v>0</v>
      </c>
      <c r="AP50" s="80">
        <v>0</v>
      </c>
      <c r="AQ50" s="80">
        <v>0</v>
      </c>
      <c r="AR50" s="80">
        <v>57</v>
      </c>
      <c r="AS50" s="80">
        <v>5</v>
      </c>
      <c r="AT50" s="80">
        <v>0</v>
      </c>
      <c r="AU50" s="80">
        <v>0</v>
      </c>
      <c r="AV50" s="80">
        <v>62</v>
      </c>
      <c r="AW50" s="81"/>
      <c r="AX50" s="80">
        <v>381</v>
      </c>
      <c r="AY50" s="80">
        <v>411</v>
      </c>
      <c r="AZ50" s="80">
        <v>0</v>
      </c>
      <c r="BA50" s="80">
        <v>-30</v>
      </c>
      <c r="BB50" s="80">
        <v>-135</v>
      </c>
      <c r="BC50" s="80">
        <v>200</v>
      </c>
      <c r="BD50" s="80">
        <v>3</v>
      </c>
      <c r="BE50" s="80">
        <v>62</v>
      </c>
      <c r="BF50" s="80">
        <v>246</v>
      </c>
      <c r="BG50" s="80">
        <v>-631</v>
      </c>
      <c r="BH50" s="80">
        <v>0</v>
      </c>
      <c r="BI50" s="80">
        <v>0</v>
      </c>
      <c r="BJ50" s="80">
        <v>0</v>
      </c>
      <c r="BK50" s="80">
        <v>-560</v>
      </c>
      <c r="BL50" s="80">
        <v>0</v>
      </c>
      <c r="BM50" s="80">
        <v>429</v>
      </c>
      <c r="BN50" s="80">
        <v>-131</v>
      </c>
      <c r="BO50" s="80">
        <v>0</v>
      </c>
      <c r="BP50" s="80">
        <v>-71</v>
      </c>
      <c r="BQ50" s="80">
        <v>0</v>
      </c>
      <c r="BR50" s="80">
        <v>0</v>
      </c>
      <c r="BS50" s="80">
        <v>128</v>
      </c>
      <c r="BT50" s="80">
        <v>-199</v>
      </c>
      <c r="BU50" s="80">
        <v>-385</v>
      </c>
      <c r="BV50" s="80">
        <v>12</v>
      </c>
      <c r="BW50" s="80">
        <v>397</v>
      </c>
      <c r="BX50" s="81"/>
      <c r="BY50" s="80">
        <v>8044</v>
      </c>
      <c r="BZ50" s="80">
        <v>94</v>
      </c>
      <c r="CA50" s="80">
        <v>0</v>
      </c>
      <c r="CB50" s="80">
        <v>94</v>
      </c>
      <c r="CC50" s="80">
        <v>0</v>
      </c>
      <c r="CD50" s="80">
        <v>6617</v>
      </c>
      <c r="CE50" s="80">
        <v>766</v>
      </c>
      <c r="CF50" s="80">
        <v>4282</v>
      </c>
      <c r="CG50" s="80">
        <v>1397</v>
      </c>
      <c r="CH50" s="80">
        <v>35</v>
      </c>
      <c r="CI50" s="80">
        <v>17</v>
      </c>
      <c r="CJ50" s="80">
        <v>0</v>
      </c>
      <c r="CK50" s="80">
        <v>120</v>
      </c>
      <c r="CL50" s="80">
        <v>1333</v>
      </c>
      <c r="CM50" s="80">
        <v>1314</v>
      </c>
      <c r="CN50" s="80">
        <v>1009</v>
      </c>
      <c r="CO50" s="80">
        <v>305</v>
      </c>
      <c r="CP50" s="80">
        <v>0</v>
      </c>
      <c r="CQ50" s="80">
        <v>1</v>
      </c>
      <c r="CR50" s="80">
        <v>0</v>
      </c>
      <c r="CS50" s="80">
        <v>0</v>
      </c>
      <c r="CT50" s="80">
        <v>1</v>
      </c>
      <c r="CU50" s="80">
        <v>18</v>
      </c>
      <c r="CV50" s="80">
        <v>9</v>
      </c>
      <c r="CW50" s="80">
        <v>0</v>
      </c>
      <c r="CX50" s="80">
        <v>9</v>
      </c>
      <c r="CY50" s="80">
        <v>0</v>
      </c>
      <c r="CZ50" s="80">
        <v>843</v>
      </c>
      <c r="DA50" s="80">
        <v>13</v>
      </c>
      <c r="DB50" s="80">
        <v>0</v>
      </c>
      <c r="DC50" s="80">
        <v>0</v>
      </c>
      <c r="DD50" s="80">
        <v>13</v>
      </c>
      <c r="DE50" s="80">
        <v>0</v>
      </c>
      <c r="DF50" s="80">
        <v>0</v>
      </c>
      <c r="DG50" s="80">
        <v>818</v>
      </c>
      <c r="DH50" s="80">
        <v>0</v>
      </c>
      <c r="DI50" s="80">
        <v>0</v>
      </c>
      <c r="DJ50" s="80">
        <v>0</v>
      </c>
      <c r="DK50" s="80">
        <v>0</v>
      </c>
      <c r="DL50" s="80">
        <v>0</v>
      </c>
      <c r="DM50" s="80">
        <v>818</v>
      </c>
      <c r="DN50" s="80">
        <v>406</v>
      </c>
      <c r="DO50" s="80">
        <v>0</v>
      </c>
      <c r="DP50" s="80">
        <v>76</v>
      </c>
      <c r="DQ50" s="80">
        <v>336</v>
      </c>
      <c r="DR50" s="80">
        <v>0</v>
      </c>
      <c r="DS50" s="80">
        <v>0</v>
      </c>
      <c r="DT50" s="80">
        <v>0</v>
      </c>
      <c r="DU50" s="80">
        <v>0</v>
      </c>
      <c r="DV50" s="80">
        <v>0</v>
      </c>
      <c r="DW50" s="80">
        <v>12</v>
      </c>
      <c r="DX50" s="80">
        <v>8896</v>
      </c>
      <c r="DY50" s="80">
        <v>3145</v>
      </c>
      <c r="DZ50" s="80">
        <v>4692</v>
      </c>
      <c r="EA50" s="80">
        <v>0</v>
      </c>
      <c r="EB50" s="80">
        <v>0</v>
      </c>
      <c r="EC50" s="80">
        <v>-1609</v>
      </c>
      <c r="ED50" s="80">
        <v>62</v>
      </c>
      <c r="EE50" s="80">
        <v>216</v>
      </c>
      <c r="EF50" s="80">
        <v>216</v>
      </c>
      <c r="EG50" s="80">
        <v>0</v>
      </c>
      <c r="EH50" s="80">
        <v>0</v>
      </c>
      <c r="EI50" s="80">
        <v>0</v>
      </c>
      <c r="EJ50" s="80">
        <v>0</v>
      </c>
      <c r="EK50" s="80">
        <v>9</v>
      </c>
      <c r="EL50" s="80">
        <v>0</v>
      </c>
      <c r="EM50" s="80">
        <v>9</v>
      </c>
      <c r="EN50" s="80">
        <v>0</v>
      </c>
      <c r="EO50" s="80">
        <v>5526</v>
      </c>
      <c r="EP50" s="80">
        <v>2532</v>
      </c>
      <c r="EQ50" s="80">
        <v>0</v>
      </c>
      <c r="ER50" s="80">
        <v>1688</v>
      </c>
      <c r="ES50" s="80">
        <v>100</v>
      </c>
      <c r="ET50" s="80">
        <v>1588</v>
      </c>
      <c r="EU50" s="80">
        <v>0</v>
      </c>
      <c r="EV50" s="80">
        <v>0</v>
      </c>
      <c r="EW50" s="80">
        <v>644</v>
      </c>
      <c r="EX50" s="80">
        <v>0</v>
      </c>
      <c r="EY50" s="80">
        <v>0</v>
      </c>
      <c r="EZ50" s="80">
        <v>0</v>
      </c>
      <c r="FA50" s="80">
        <v>200</v>
      </c>
      <c r="FB50" s="80">
        <v>0</v>
      </c>
      <c r="FC50" s="80">
        <v>0</v>
      </c>
      <c r="FD50" s="80">
        <v>2994</v>
      </c>
      <c r="FE50" s="80">
        <v>0</v>
      </c>
      <c r="FF50" s="80">
        <v>550</v>
      </c>
      <c r="FG50" s="80">
        <v>284</v>
      </c>
      <c r="FH50" s="80">
        <v>266</v>
      </c>
      <c r="FI50" s="80">
        <v>0</v>
      </c>
      <c r="FJ50" s="80">
        <v>0</v>
      </c>
      <c r="FK50" s="80">
        <v>45</v>
      </c>
      <c r="FL50" s="80">
        <v>0</v>
      </c>
      <c r="FM50" s="80">
        <v>0</v>
      </c>
      <c r="FN50" s="80">
        <v>1127</v>
      </c>
      <c r="FO50" s="80">
        <v>126</v>
      </c>
      <c r="FP50" s="80">
        <v>1146</v>
      </c>
      <c r="FQ50" s="80">
        <v>8896</v>
      </c>
      <c r="FR50" s="80">
        <v>1841</v>
      </c>
      <c r="FS50" s="80">
        <v>1666</v>
      </c>
      <c r="FT50" s="100">
        <v>11335.387352909667</v>
      </c>
      <c r="FU50" s="100"/>
      <c r="FV50" s="100">
        <v>8151</v>
      </c>
      <c r="FW50" s="67">
        <v>350</v>
      </c>
      <c r="FX50" s="100">
        <f t="shared" si="5"/>
        <v>-1300</v>
      </c>
      <c r="FY50" s="100">
        <f t="shared" si="6"/>
        <v>-9589</v>
      </c>
      <c r="FZ50" s="100">
        <v>6528.6086378797754</v>
      </c>
      <c r="GA50" s="67">
        <v>8289</v>
      </c>
      <c r="GB50" s="58">
        <f t="shared" si="3"/>
        <v>138</v>
      </c>
      <c r="GC50" s="67">
        <v>354</v>
      </c>
      <c r="GD50" s="100">
        <v>586</v>
      </c>
      <c r="GE50" s="100">
        <v>586</v>
      </c>
      <c r="GF50" s="58">
        <f t="shared" si="4"/>
        <v>0</v>
      </c>
      <c r="GG50" s="100">
        <v>-2521.5740000000001</v>
      </c>
      <c r="GH50" s="100">
        <v>-267.19070000000011</v>
      </c>
      <c r="GI50" s="100">
        <v>-3712.4208020036945</v>
      </c>
      <c r="GJ50" s="67">
        <f t="shared" si="7"/>
        <v>4</v>
      </c>
      <c r="GK50" s="67"/>
      <c r="GL50" s="67"/>
      <c r="GM50" s="96"/>
    </row>
    <row r="51" spans="1:195" ht="13.5" customHeight="1" x14ac:dyDescent="0.2">
      <c r="A51" s="74">
        <v>102</v>
      </c>
      <c r="B51" s="75" t="s">
        <v>29</v>
      </c>
      <c r="C51" s="75" t="s">
        <v>29</v>
      </c>
      <c r="D51" s="76"/>
      <c r="E51" s="77" t="s">
        <v>224</v>
      </c>
      <c r="F51" s="78">
        <v>4</v>
      </c>
      <c r="G51" s="79">
        <v>10473</v>
      </c>
      <c r="H51" s="80">
        <v>15766</v>
      </c>
      <c r="I51" s="80">
        <v>7968</v>
      </c>
      <c r="J51" s="80">
        <v>4303</v>
      </c>
      <c r="K51" s="80">
        <v>1236</v>
      </c>
      <c r="L51" s="80">
        <v>2259</v>
      </c>
      <c r="M51" s="80">
        <v>0</v>
      </c>
      <c r="N51" s="80">
        <v>4</v>
      </c>
      <c r="O51" s="80">
        <v>69031</v>
      </c>
      <c r="P51" s="80">
        <v>34672</v>
      </c>
      <c r="Q51" s="80">
        <v>26385</v>
      </c>
      <c r="R51" s="80">
        <v>8287</v>
      </c>
      <c r="S51" s="80">
        <v>6683</v>
      </c>
      <c r="T51" s="80">
        <v>1604</v>
      </c>
      <c r="U51" s="80">
        <v>26594</v>
      </c>
      <c r="V51" s="80">
        <v>4093</v>
      </c>
      <c r="W51" s="80">
        <v>2787</v>
      </c>
      <c r="X51" s="80">
        <v>885</v>
      </c>
      <c r="Y51" s="80">
        <v>-53261</v>
      </c>
      <c r="Z51" s="80">
        <v>32997</v>
      </c>
      <c r="AA51" s="80">
        <v>29159</v>
      </c>
      <c r="AB51" s="80">
        <v>1789</v>
      </c>
      <c r="AC51" s="80">
        <v>2049</v>
      </c>
      <c r="AD51" s="80">
        <v>25202</v>
      </c>
      <c r="AE51" s="80">
        <v>-159</v>
      </c>
      <c r="AF51" s="80">
        <v>11</v>
      </c>
      <c r="AG51" s="80">
        <v>59</v>
      </c>
      <c r="AH51" s="80">
        <v>39</v>
      </c>
      <c r="AI51" s="80">
        <v>227</v>
      </c>
      <c r="AJ51" s="80">
        <v>2</v>
      </c>
      <c r="AK51" s="80">
        <v>4779</v>
      </c>
      <c r="AL51" s="80">
        <v>3485</v>
      </c>
      <c r="AM51" s="80">
        <v>3485</v>
      </c>
      <c r="AN51" s="80">
        <v>0</v>
      </c>
      <c r="AO51" s="80">
        <v>0</v>
      </c>
      <c r="AP51" s="80">
        <v>0</v>
      </c>
      <c r="AQ51" s="80">
        <v>0</v>
      </c>
      <c r="AR51" s="80">
        <v>1294</v>
      </c>
      <c r="AS51" s="80">
        <v>29</v>
      </c>
      <c r="AT51" s="80">
        <v>0</v>
      </c>
      <c r="AU51" s="80">
        <v>0</v>
      </c>
      <c r="AV51" s="80">
        <v>1323</v>
      </c>
      <c r="AW51" s="81"/>
      <c r="AX51" s="80">
        <v>4172</v>
      </c>
      <c r="AY51" s="80">
        <v>4779</v>
      </c>
      <c r="AZ51" s="80">
        <v>0</v>
      </c>
      <c r="BA51" s="80">
        <v>-607</v>
      </c>
      <c r="BB51" s="80">
        <v>-7523</v>
      </c>
      <c r="BC51" s="80">
        <v>8391</v>
      </c>
      <c r="BD51" s="80">
        <v>36</v>
      </c>
      <c r="BE51" s="80">
        <v>832</v>
      </c>
      <c r="BF51" s="80">
        <v>-3351</v>
      </c>
      <c r="BG51" s="80">
        <v>771</v>
      </c>
      <c r="BH51" s="80">
        <v>-9</v>
      </c>
      <c r="BI51" s="80">
        <v>9</v>
      </c>
      <c r="BJ51" s="80">
        <v>0</v>
      </c>
      <c r="BK51" s="80">
        <v>1647</v>
      </c>
      <c r="BL51" s="80">
        <v>4000</v>
      </c>
      <c r="BM51" s="80">
        <v>2353</v>
      </c>
      <c r="BN51" s="80">
        <v>0</v>
      </c>
      <c r="BO51" s="80">
        <v>-1</v>
      </c>
      <c r="BP51" s="80">
        <v>-866</v>
      </c>
      <c r="BQ51" s="80">
        <v>-5</v>
      </c>
      <c r="BR51" s="80">
        <v>-1</v>
      </c>
      <c r="BS51" s="80">
        <v>316</v>
      </c>
      <c r="BT51" s="80">
        <v>-1176</v>
      </c>
      <c r="BU51" s="80">
        <v>-2580</v>
      </c>
      <c r="BV51" s="80">
        <v>3331</v>
      </c>
      <c r="BW51" s="80">
        <v>5911</v>
      </c>
      <c r="BX51" s="81"/>
      <c r="BY51" s="80">
        <v>65779</v>
      </c>
      <c r="BZ51" s="80">
        <v>81</v>
      </c>
      <c r="CA51" s="80">
        <v>0</v>
      </c>
      <c r="CB51" s="80">
        <v>81</v>
      </c>
      <c r="CC51" s="80">
        <v>0</v>
      </c>
      <c r="CD51" s="80">
        <v>54587</v>
      </c>
      <c r="CE51" s="80">
        <v>5996</v>
      </c>
      <c r="CF51" s="80">
        <v>33600</v>
      </c>
      <c r="CG51" s="80">
        <v>8358</v>
      </c>
      <c r="CH51" s="80">
        <v>482</v>
      </c>
      <c r="CI51" s="80">
        <v>104</v>
      </c>
      <c r="CJ51" s="80">
        <v>0</v>
      </c>
      <c r="CK51" s="80">
        <v>6047</v>
      </c>
      <c r="CL51" s="80">
        <v>11111</v>
      </c>
      <c r="CM51" s="80">
        <v>10968</v>
      </c>
      <c r="CN51" s="80">
        <v>4505</v>
      </c>
      <c r="CO51" s="80">
        <v>6463</v>
      </c>
      <c r="CP51" s="80">
        <v>0</v>
      </c>
      <c r="CQ51" s="80">
        <v>0</v>
      </c>
      <c r="CR51" s="80">
        <v>0</v>
      </c>
      <c r="CS51" s="80">
        <v>0</v>
      </c>
      <c r="CT51" s="80">
        <v>0</v>
      </c>
      <c r="CU51" s="80">
        <v>143</v>
      </c>
      <c r="CV51" s="80">
        <v>1167</v>
      </c>
      <c r="CW51" s="80">
        <v>0</v>
      </c>
      <c r="CX51" s="80">
        <v>1167</v>
      </c>
      <c r="CY51" s="80">
        <v>0</v>
      </c>
      <c r="CZ51" s="80">
        <v>7745</v>
      </c>
      <c r="DA51" s="80">
        <v>235</v>
      </c>
      <c r="DB51" s="80">
        <v>96</v>
      </c>
      <c r="DC51" s="80">
        <v>0</v>
      </c>
      <c r="DD51" s="80">
        <v>139</v>
      </c>
      <c r="DE51" s="80">
        <v>0</v>
      </c>
      <c r="DF51" s="80">
        <v>0</v>
      </c>
      <c r="DG51" s="80">
        <v>4179</v>
      </c>
      <c r="DH51" s="80">
        <v>374</v>
      </c>
      <c r="DI51" s="80">
        <v>0</v>
      </c>
      <c r="DJ51" s="80">
        <v>0</v>
      </c>
      <c r="DK51" s="80">
        <v>226</v>
      </c>
      <c r="DL51" s="80">
        <v>148</v>
      </c>
      <c r="DM51" s="80">
        <v>3805</v>
      </c>
      <c r="DN51" s="80">
        <v>1950</v>
      </c>
      <c r="DO51" s="80">
        <v>0</v>
      </c>
      <c r="DP51" s="80">
        <v>486</v>
      </c>
      <c r="DQ51" s="80">
        <v>1369</v>
      </c>
      <c r="DR51" s="80">
        <v>0</v>
      </c>
      <c r="DS51" s="80">
        <v>0</v>
      </c>
      <c r="DT51" s="80">
        <v>0</v>
      </c>
      <c r="DU51" s="80">
        <v>0</v>
      </c>
      <c r="DV51" s="80">
        <v>0</v>
      </c>
      <c r="DW51" s="80">
        <v>3331</v>
      </c>
      <c r="DX51" s="80">
        <v>74691</v>
      </c>
      <c r="DY51" s="80">
        <v>41480</v>
      </c>
      <c r="DZ51" s="80">
        <v>33284</v>
      </c>
      <c r="EA51" s="80">
        <v>72</v>
      </c>
      <c r="EB51" s="80">
        <v>61</v>
      </c>
      <c r="EC51" s="80">
        <v>6740</v>
      </c>
      <c r="ED51" s="80">
        <v>1323</v>
      </c>
      <c r="EE51" s="80">
        <v>284</v>
      </c>
      <c r="EF51" s="80">
        <v>284</v>
      </c>
      <c r="EG51" s="80">
        <v>0</v>
      </c>
      <c r="EH51" s="80">
        <v>0</v>
      </c>
      <c r="EI51" s="80">
        <v>0</v>
      </c>
      <c r="EJ51" s="80">
        <v>0</v>
      </c>
      <c r="EK51" s="80">
        <v>1178</v>
      </c>
      <c r="EL51" s="80">
        <v>14</v>
      </c>
      <c r="EM51" s="80">
        <v>1158</v>
      </c>
      <c r="EN51" s="80">
        <v>6</v>
      </c>
      <c r="EO51" s="80">
        <v>31749</v>
      </c>
      <c r="EP51" s="80">
        <v>18625</v>
      </c>
      <c r="EQ51" s="80">
        <v>0</v>
      </c>
      <c r="ER51" s="80">
        <v>16555</v>
      </c>
      <c r="ES51" s="80">
        <v>845</v>
      </c>
      <c r="ET51" s="80">
        <v>15710</v>
      </c>
      <c r="EU51" s="80">
        <v>0</v>
      </c>
      <c r="EV51" s="80">
        <v>0</v>
      </c>
      <c r="EW51" s="80">
        <v>1222</v>
      </c>
      <c r="EX51" s="80">
        <v>0</v>
      </c>
      <c r="EY51" s="80">
        <v>0</v>
      </c>
      <c r="EZ51" s="80">
        <v>0</v>
      </c>
      <c r="FA51" s="80">
        <v>848</v>
      </c>
      <c r="FB51" s="80">
        <v>0</v>
      </c>
      <c r="FC51" s="80">
        <v>0</v>
      </c>
      <c r="FD51" s="80">
        <v>13124</v>
      </c>
      <c r="FE51" s="80">
        <v>0</v>
      </c>
      <c r="FF51" s="80">
        <v>2387</v>
      </c>
      <c r="FG51" s="80">
        <v>340</v>
      </c>
      <c r="FH51" s="80">
        <v>2047</v>
      </c>
      <c r="FI51" s="80">
        <v>0</v>
      </c>
      <c r="FJ51" s="80">
        <v>0</v>
      </c>
      <c r="FK51" s="80">
        <v>197</v>
      </c>
      <c r="FL51" s="80">
        <v>0</v>
      </c>
      <c r="FM51" s="80">
        <v>310</v>
      </c>
      <c r="FN51" s="80">
        <v>4581</v>
      </c>
      <c r="FO51" s="80">
        <v>567</v>
      </c>
      <c r="FP51" s="80">
        <v>5082</v>
      </c>
      <c r="FQ51" s="80">
        <v>74691</v>
      </c>
      <c r="FR51" s="80">
        <v>13767</v>
      </c>
      <c r="FS51" s="80">
        <v>300</v>
      </c>
      <c r="FT51" s="100">
        <v>39899.073131374636</v>
      </c>
      <c r="FU51" s="100"/>
      <c r="FV51" s="100">
        <v>21518</v>
      </c>
      <c r="FW51" s="67">
        <v>3389</v>
      </c>
      <c r="FX51" s="100">
        <f t="shared" si="5"/>
        <v>-23443</v>
      </c>
      <c r="FY51" s="100">
        <f t="shared" si="6"/>
        <v>-49776</v>
      </c>
      <c r="FZ51" s="100">
        <v>35171.004156380062</v>
      </c>
      <c r="GA51" s="67">
        <v>26333</v>
      </c>
      <c r="GB51" s="58">
        <f t="shared" si="3"/>
        <v>4815</v>
      </c>
      <c r="GC51" s="67">
        <v>3476</v>
      </c>
      <c r="GD51" s="100">
        <v>4329</v>
      </c>
      <c r="GE51" s="100">
        <v>1574</v>
      </c>
      <c r="GF51" s="58">
        <f t="shared" si="4"/>
        <v>2755</v>
      </c>
      <c r="GG51" s="100">
        <v>-16998.065999999999</v>
      </c>
      <c r="GH51" s="100">
        <v>-556.5450000000003</v>
      </c>
      <c r="GI51" s="100">
        <v>-17679.436307707529</v>
      </c>
      <c r="GJ51" s="67">
        <f t="shared" si="7"/>
        <v>87</v>
      </c>
      <c r="GK51" s="67"/>
      <c r="GL51" s="67"/>
      <c r="GM51" s="96"/>
    </row>
    <row r="52" spans="1:195" ht="13.5" customHeight="1" x14ac:dyDescent="0.2">
      <c r="A52" s="74">
        <v>103</v>
      </c>
      <c r="B52" s="75" t="s">
        <v>30</v>
      </c>
      <c r="C52" s="75" t="s">
        <v>30</v>
      </c>
      <c r="D52" s="76"/>
      <c r="E52" s="77" t="s">
        <v>226</v>
      </c>
      <c r="F52" s="78">
        <v>2</v>
      </c>
      <c r="G52" s="79">
        <v>2388</v>
      </c>
      <c r="H52" s="80">
        <v>1527</v>
      </c>
      <c r="I52" s="80">
        <v>736</v>
      </c>
      <c r="J52" s="80">
        <v>146</v>
      </c>
      <c r="K52" s="80">
        <v>167</v>
      </c>
      <c r="L52" s="80">
        <v>478</v>
      </c>
      <c r="M52" s="80">
        <v>0</v>
      </c>
      <c r="N52" s="80">
        <v>0</v>
      </c>
      <c r="O52" s="80">
        <v>14546</v>
      </c>
      <c r="P52" s="80">
        <v>3806</v>
      </c>
      <c r="Q52" s="80">
        <v>2865</v>
      </c>
      <c r="R52" s="80">
        <v>941</v>
      </c>
      <c r="S52" s="80">
        <v>830</v>
      </c>
      <c r="T52" s="80">
        <v>111</v>
      </c>
      <c r="U52" s="80">
        <v>9488</v>
      </c>
      <c r="V52" s="80">
        <v>800</v>
      </c>
      <c r="W52" s="80">
        <v>347</v>
      </c>
      <c r="X52" s="80">
        <v>105</v>
      </c>
      <c r="Y52" s="80">
        <v>-13019</v>
      </c>
      <c r="Z52" s="80">
        <v>7559</v>
      </c>
      <c r="AA52" s="80">
        <v>6755</v>
      </c>
      <c r="AB52" s="80">
        <v>402</v>
      </c>
      <c r="AC52" s="80">
        <v>402</v>
      </c>
      <c r="AD52" s="80">
        <v>6157</v>
      </c>
      <c r="AE52" s="80">
        <v>-15</v>
      </c>
      <c r="AF52" s="80">
        <v>18</v>
      </c>
      <c r="AG52" s="80">
        <v>12</v>
      </c>
      <c r="AH52" s="80">
        <v>6</v>
      </c>
      <c r="AI52" s="80">
        <v>45</v>
      </c>
      <c r="AJ52" s="80">
        <v>0</v>
      </c>
      <c r="AK52" s="80">
        <v>682</v>
      </c>
      <c r="AL52" s="80">
        <v>424</v>
      </c>
      <c r="AM52" s="80">
        <v>416</v>
      </c>
      <c r="AN52" s="80">
        <v>8</v>
      </c>
      <c r="AO52" s="80">
        <v>0</v>
      </c>
      <c r="AP52" s="80">
        <v>0</v>
      </c>
      <c r="AQ52" s="80">
        <v>0</v>
      </c>
      <c r="AR52" s="80">
        <v>258</v>
      </c>
      <c r="AS52" s="80">
        <v>2</v>
      </c>
      <c r="AT52" s="80">
        <v>0</v>
      </c>
      <c r="AU52" s="80">
        <v>0</v>
      </c>
      <c r="AV52" s="80">
        <v>260</v>
      </c>
      <c r="AW52" s="81"/>
      <c r="AX52" s="80">
        <v>623</v>
      </c>
      <c r="AY52" s="80">
        <v>682</v>
      </c>
      <c r="AZ52" s="80">
        <v>0</v>
      </c>
      <c r="BA52" s="80">
        <v>-59</v>
      </c>
      <c r="BB52" s="80">
        <v>-346</v>
      </c>
      <c r="BC52" s="80">
        <v>418</v>
      </c>
      <c r="BD52" s="80">
        <v>0</v>
      </c>
      <c r="BE52" s="80">
        <v>72</v>
      </c>
      <c r="BF52" s="80">
        <v>277</v>
      </c>
      <c r="BG52" s="80">
        <v>-553</v>
      </c>
      <c r="BH52" s="80">
        <v>0</v>
      </c>
      <c r="BI52" s="80">
        <v>0</v>
      </c>
      <c r="BJ52" s="80">
        <v>0</v>
      </c>
      <c r="BK52" s="80">
        <v>-65</v>
      </c>
      <c r="BL52" s="80">
        <v>1500</v>
      </c>
      <c r="BM52" s="80">
        <v>865</v>
      </c>
      <c r="BN52" s="80">
        <v>-700</v>
      </c>
      <c r="BO52" s="80">
        <v>0</v>
      </c>
      <c r="BP52" s="80">
        <v>-488</v>
      </c>
      <c r="BQ52" s="80">
        <v>0</v>
      </c>
      <c r="BR52" s="80">
        <v>0</v>
      </c>
      <c r="BS52" s="80">
        <v>-88</v>
      </c>
      <c r="BT52" s="80">
        <v>-400</v>
      </c>
      <c r="BU52" s="80">
        <v>-276</v>
      </c>
      <c r="BV52" s="80">
        <v>222</v>
      </c>
      <c r="BW52" s="80">
        <v>498</v>
      </c>
      <c r="BX52" s="81"/>
      <c r="BY52" s="80">
        <v>10318</v>
      </c>
      <c r="BZ52" s="80">
        <v>174</v>
      </c>
      <c r="CA52" s="80">
        <v>0</v>
      </c>
      <c r="CB52" s="80">
        <v>174</v>
      </c>
      <c r="CC52" s="80">
        <v>0</v>
      </c>
      <c r="CD52" s="80">
        <v>7193</v>
      </c>
      <c r="CE52" s="80">
        <v>1897</v>
      </c>
      <c r="CF52" s="80">
        <v>3456</v>
      </c>
      <c r="CG52" s="80">
        <v>1594</v>
      </c>
      <c r="CH52" s="80">
        <v>28</v>
      </c>
      <c r="CI52" s="80">
        <v>0</v>
      </c>
      <c r="CJ52" s="80">
        <v>0</v>
      </c>
      <c r="CK52" s="80">
        <v>218</v>
      </c>
      <c r="CL52" s="80">
        <v>2951</v>
      </c>
      <c r="CM52" s="80">
        <v>2525</v>
      </c>
      <c r="CN52" s="80">
        <v>1788</v>
      </c>
      <c r="CO52" s="80">
        <v>737</v>
      </c>
      <c r="CP52" s="80">
        <v>0</v>
      </c>
      <c r="CQ52" s="80">
        <v>426</v>
      </c>
      <c r="CR52" s="80">
        <v>0</v>
      </c>
      <c r="CS52" s="80">
        <v>0</v>
      </c>
      <c r="CT52" s="80">
        <v>426</v>
      </c>
      <c r="CU52" s="80">
        <v>0</v>
      </c>
      <c r="CV52" s="80">
        <v>0</v>
      </c>
      <c r="CW52" s="80">
        <v>0</v>
      </c>
      <c r="CX52" s="80">
        <v>0</v>
      </c>
      <c r="CY52" s="80">
        <v>0</v>
      </c>
      <c r="CZ52" s="80">
        <v>1203</v>
      </c>
      <c r="DA52" s="80">
        <v>0</v>
      </c>
      <c r="DB52" s="80">
        <v>0</v>
      </c>
      <c r="DC52" s="80">
        <v>0</v>
      </c>
      <c r="DD52" s="80">
        <v>0</v>
      </c>
      <c r="DE52" s="80">
        <v>0</v>
      </c>
      <c r="DF52" s="80">
        <v>0</v>
      </c>
      <c r="DG52" s="80">
        <v>981</v>
      </c>
      <c r="DH52" s="80">
        <v>563</v>
      </c>
      <c r="DI52" s="80">
        <v>0</v>
      </c>
      <c r="DJ52" s="80">
        <v>563</v>
      </c>
      <c r="DK52" s="80">
        <v>0</v>
      </c>
      <c r="DL52" s="80">
        <v>0</v>
      </c>
      <c r="DM52" s="80">
        <v>418</v>
      </c>
      <c r="DN52" s="80">
        <v>249</v>
      </c>
      <c r="DO52" s="80">
        <v>44</v>
      </c>
      <c r="DP52" s="80">
        <v>50</v>
      </c>
      <c r="DQ52" s="80">
        <v>75</v>
      </c>
      <c r="DR52" s="80">
        <v>14</v>
      </c>
      <c r="DS52" s="80">
        <v>14</v>
      </c>
      <c r="DT52" s="80">
        <v>0</v>
      </c>
      <c r="DU52" s="80">
        <v>0</v>
      </c>
      <c r="DV52" s="80">
        <v>0</v>
      </c>
      <c r="DW52" s="80">
        <v>208</v>
      </c>
      <c r="DX52" s="80">
        <v>11521</v>
      </c>
      <c r="DY52" s="80">
        <v>6528</v>
      </c>
      <c r="DZ52" s="80">
        <v>6549</v>
      </c>
      <c r="EA52" s="80">
        <v>0</v>
      </c>
      <c r="EB52" s="80">
        <v>0</v>
      </c>
      <c r="EC52" s="80">
        <v>-282</v>
      </c>
      <c r="ED52" s="80">
        <v>261</v>
      </c>
      <c r="EE52" s="80">
        <v>75</v>
      </c>
      <c r="EF52" s="80">
        <v>75</v>
      </c>
      <c r="EG52" s="80">
        <v>0</v>
      </c>
      <c r="EH52" s="80">
        <v>42</v>
      </c>
      <c r="EI52" s="80">
        <v>0</v>
      </c>
      <c r="EJ52" s="80">
        <v>42</v>
      </c>
      <c r="EK52" s="80">
        <v>0</v>
      </c>
      <c r="EL52" s="80">
        <v>0</v>
      </c>
      <c r="EM52" s="80">
        <v>0</v>
      </c>
      <c r="EN52" s="80">
        <v>0</v>
      </c>
      <c r="EO52" s="80">
        <v>4876</v>
      </c>
      <c r="EP52" s="80">
        <v>1787</v>
      </c>
      <c r="EQ52" s="80">
        <v>0</v>
      </c>
      <c r="ER52" s="80">
        <v>1575</v>
      </c>
      <c r="ES52" s="80">
        <v>0</v>
      </c>
      <c r="ET52" s="80">
        <v>1575</v>
      </c>
      <c r="EU52" s="80">
        <v>0</v>
      </c>
      <c r="EV52" s="80">
        <v>0</v>
      </c>
      <c r="EW52" s="80">
        <v>60</v>
      </c>
      <c r="EX52" s="80">
        <v>0</v>
      </c>
      <c r="EY52" s="80">
        <v>0</v>
      </c>
      <c r="EZ52" s="80">
        <v>0</v>
      </c>
      <c r="FA52" s="80">
        <v>152</v>
      </c>
      <c r="FB52" s="80">
        <v>0</v>
      </c>
      <c r="FC52" s="80">
        <v>0</v>
      </c>
      <c r="FD52" s="80">
        <v>3089</v>
      </c>
      <c r="FE52" s="80">
        <v>0</v>
      </c>
      <c r="FF52" s="80">
        <v>1850</v>
      </c>
      <c r="FG52" s="80">
        <v>0</v>
      </c>
      <c r="FH52" s="80">
        <v>1850</v>
      </c>
      <c r="FI52" s="80">
        <v>0</v>
      </c>
      <c r="FJ52" s="80">
        <v>0</v>
      </c>
      <c r="FK52" s="80">
        <v>120</v>
      </c>
      <c r="FL52" s="80">
        <v>0</v>
      </c>
      <c r="FM52" s="80">
        <v>43</v>
      </c>
      <c r="FN52" s="80">
        <v>520</v>
      </c>
      <c r="FO52" s="80">
        <v>109</v>
      </c>
      <c r="FP52" s="80">
        <v>447</v>
      </c>
      <c r="FQ52" s="80">
        <v>11521</v>
      </c>
      <c r="FR52" s="80">
        <v>1875</v>
      </c>
      <c r="FS52" s="80">
        <v>195</v>
      </c>
      <c r="FT52" s="100">
        <v>7533.7343374361717</v>
      </c>
      <c r="FU52" s="100"/>
      <c r="FV52" s="100">
        <v>2708</v>
      </c>
      <c r="FW52" s="67">
        <v>422</v>
      </c>
      <c r="FX52" s="100">
        <f t="shared" si="5"/>
        <v>-9839</v>
      </c>
      <c r="FY52" s="100">
        <f t="shared" si="6"/>
        <v>-12595</v>
      </c>
      <c r="FZ52" s="100">
        <v>8050.9963977284706</v>
      </c>
      <c r="GA52" s="67">
        <v>2756</v>
      </c>
      <c r="GB52" s="58">
        <f t="shared" si="3"/>
        <v>48</v>
      </c>
      <c r="GC52" s="67">
        <v>424</v>
      </c>
      <c r="GD52" s="100">
        <v>146</v>
      </c>
      <c r="GE52" s="100">
        <v>146</v>
      </c>
      <c r="GF52" s="58">
        <f t="shared" si="4"/>
        <v>0</v>
      </c>
      <c r="GG52" s="100">
        <v>-3661.7260000000001</v>
      </c>
      <c r="GH52" s="100">
        <v>-132.73175000000006</v>
      </c>
      <c r="GI52" s="100">
        <v>-4415.8974418055077</v>
      </c>
      <c r="GJ52" s="67">
        <f t="shared" si="7"/>
        <v>2</v>
      </c>
      <c r="GK52" s="67"/>
      <c r="GM52" s="96"/>
    </row>
    <row r="53" spans="1:195" ht="13.5" customHeight="1" x14ac:dyDescent="0.2">
      <c r="A53" s="74">
        <v>105</v>
      </c>
      <c r="B53" s="75" t="s">
        <v>31</v>
      </c>
      <c r="C53" s="75" t="s">
        <v>31</v>
      </c>
      <c r="D53" s="76"/>
      <c r="E53" s="77" t="s">
        <v>234</v>
      </c>
      <c r="F53" s="78">
        <v>2</v>
      </c>
      <c r="G53" s="79">
        <v>2422</v>
      </c>
      <c r="H53" s="80">
        <v>2171</v>
      </c>
      <c r="I53" s="80">
        <v>1010</v>
      </c>
      <c r="J53" s="80">
        <v>138</v>
      </c>
      <c r="K53" s="80">
        <v>199</v>
      </c>
      <c r="L53" s="80">
        <v>824</v>
      </c>
      <c r="M53" s="80">
        <v>0</v>
      </c>
      <c r="N53" s="80">
        <v>0</v>
      </c>
      <c r="O53" s="80">
        <v>20030</v>
      </c>
      <c r="P53" s="80">
        <v>4574</v>
      </c>
      <c r="Q53" s="80">
        <v>3192</v>
      </c>
      <c r="R53" s="80">
        <v>1382</v>
      </c>
      <c r="S53" s="80">
        <v>1237</v>
      </c>
      <c r="T53" s="80">
        <v>145</v>
      </c>
      <c r="U53" s="80">
        <v>13723</v>
      </c>
      <c r="V53" s="80">
        <v>1028</v>
      </c>
      <c r="W53" s="80">
        <v>344</v>
      </c>
      <c r="X53" s="80">
        <v>361</v>
      </c>
      <c r="Y53" s="80">
        <v>-17859</v>
      </c>
      <c r="Z53" s="80">
        <v>8278</v>
      </c>
      <c r="AA53" s="80">
        <v>6711</v>
      </c>
      <c r="AB53" s="80">
        <v>763</v>
      </c>
      <c r="AC53" s="80">
        <v>804</v>
      </c>
      <c r="AD53" s="80">
        <v>10303</v>
      </c>
      <c r="AE53" s="80">
        <v>-33</v>
      </c>
      <c r="AF53" s="80">
        <v>3</v>
      </c>
      <c r="AG53" s="80">
        <v>10</v>
      </c>
      <c r="AH53" s="80">
        <v>1</v>
      </c>
      <c r="AI53" s="80">
        <v>43</v>
      </c>
      <c r="AJ53" s="80">
        <v>3</v>
      </c>
      <c r="AK53" s="80">
        <v>689</v>
      </c>
      <c r="AL53" s="80">
        <v>535</v>
      </c>
      <c r="AM53" s="80">
        <v>535</v>
      </c>
      <c r="AN53" s="80">
        <v>0</v>
      </c>
      <c r="AO53" s="80">
        <v>0</v>
      </c>
      <c r="AP53" s="80">
        <v>0</v>
      </c>
      <c r="AQ53" s="80">
        <v>0</v>
      </c>
      <c r="AR53" s="80">
        <v>154</v>
      </c>
      <c r="AS53" s="80">
        <v>54</v>
      </c>
      <c r="AT53" s="80">
        <v>0</v>
      </c>
      <c r="AU53" s="80">
        <v>0</v>
      </c>
      <c r="AV53" s="80">
        <v>208</v>
      </c>
      <c r="AW53" s="81"/>
      <c r="AX53" s="80">
        <v>689</v>
      </c>
      <c r="AY53" s="80">
        <v>689</v>
      </c>
      <c r="AZ53" s="80">
        <v>0</v>
      </c>
      <c r="BA53" s="80">
        <v>0</v>
      </c>
      <c r="BB53" s="80">
        <v>-166</v>
      </c>
      <c r="BC53" s="80">
        <v>189</v>
      </c>
      <c r="BD53" s="80">
        <v>23</v>
      </c>
      <c r="BE53" s="80">
        <v>0</v>
      </c>
      <c r="BF53" s="80">
        <v>523</v>
      </c>
      <c r="BG53" s="80">
        <v>-367</v>
      </c>
      <c r="BH53" s="80">
        <v>0</v>
      </c>
      <c r="BI53" s="80">
        <v>0</v>
      </c>
      <c r="BJ53" s="80">
        <v>0</v>
      </c>
      <c r="BK53" s="80">
        <v>-792</v>
      </c>
      <c r="BL53" s="80">
        <v>0</v>
      </c>
      <c r="BM53" s="80">
        <v>792</v>
      </c>
      <c r="BN53" s="80">
        <v>0</v>
      </c>
      <c r="BO53" s="80">
        <v>0</v>
      </c>
      <c r="BP53" s="80">
        <v>425</v>
      </c>
      <c r="BQ53" s="80">
        <v>0</v>
      </c>
      <c r="BR53" s="80">
        <v>0</v>
      </c>
      <c r="BS53" s="80">
        <v>535</v>
      </c>
      <c r="BT53" s="80">
        <v>-110</v>
      </c>
      <c r="BU53" s="80">
        <v>156</v>
      </c>
      <c r="BV53" s="80">
        <v>1149</v>
      </c>
      <c r="BW53" s="80">
        <v>993</v>
      </c>
      <c r="BX53" s="81"/>
      <c r="BY53" s="80">
        <v>15043</v>
      </c>
      <c r="BZ53" s="80">
        <v>148</v>
      </c>
      <c r="CA53" s="80">
        <v>0</v>
      </c>
      <c r="CB53" s="80">
        <v>148</v>
      </c>
      <c r="CC53" s="80">
        <v>0</v>
      </c>
      <c r="CD53" s="80">
        <v>9492</v>
      </c>
      <c r="CE53" s="80">
        <v>2053</v>
      </c>
      <c r="CF53" s="80">
        <v>6328</v>
      </c>
      <c r="CG53" s="80">
        <v>588</v>
      </c>
      <c r="CH53" s="80">
        <v>210</v>
      </c>
      <c r="CI53" s="80">
        <v>9</v>
      </c>
      <c r="CJ53" s="80">
        <v>9</v>
      </c>
      <c r="CK53" s="80">
        <v>304</v>
      </c>
      <c r="CL53" s="80">
        <v>5403</v>
      </c>
      <c r="CM53" s="80">
        <v>5403</v>
      </c>
      <c r="CN53" s="80">
        <v>567</v>
      </c>
      <c r="CO53" s="80">
        <v>4836</v>
      </c>
      <c r="CP53" s="80">
        <v>0</v>
      </c>
      <c r="CQ53" s="80">
        <v>0</v>
      </c>
      <c r="CR53" s="80">
        <v>0</v>
      </c>
      <c r="CS53" s="80">
        <v>0</v>
      </c>
      <c r="CT53" s="80">
        <v>0</v>
      </c>
      <c r="CU53" s="80">
        <v>0</v>
      </c>
      <c r="CV53" s="80">
        <v>9</v>
      </c>
      <c r="CW53" s="80">
        <v>0</v>
      </c>
      <c r="CX53" s="80">
        <v>9</v>
      </c>
      <c r="CY53" s="80">
        <v>0</v>
      </c>
      <c r="CZ53" s="80">
        <v>1814</v>
      </c>
      <c r="DA53" s="80">
        <v>0</v>
      </c>
      <c r="DB53" s="80">
        <v>0</v>
      </c>
      <c r="DC53" s="80">
        <v>0</v>
      </c>
      <c r="DD53" s="80">
        <v>0</v>
      </c>
      <c r="DE53" s="80">
        <v>0</v>
      </c>
      <c r="DF53" s="80">
        <v>0</v>
      </c>
      <c r="DG53" s="80">
        <v>664</v>
      </c>
      <c r="DH53" s="80">
        <v>334</v>
      </c>
      <c r="DI53" s="80">
        <v>0</v>
      </c>
      <c r="DJ53" s="80">
        <v>334</v>
      </c>
      <c r="DK53" s="80">
        <v>0</v>
      </c>
      <c r="DL53" s="80">
        <v>0</v>
      </c>
      <c r="DM53" s="80">
        <v>330</v>
      </c>
      <c r="DN53" s="80">
        <v>174</v>
      </c>
      <c r="DO53" s="80">
        <v>0</v>
      </c>
      <c r="DP53" s="80">
        <v>80</v>
      </c>
      <c r="DQ53" s="80">
        <v>76</v>
      </c>
      <c r="DR53" s="80">
        <v>0</v>
      </c>
      <c r="DS53" s="80">
        <v>0</v>
      </c>
      <c r="DT53" s="80">
        <v>0</v>
      </c>
      <c r="DU53" s="80">
        <v>0</v>
      </c>
      <c r="DV53" s="80">
        <v>0</v>
      </c>
      <c r="DW53" s="80">
        <v>1150</v>
      </c>
      <c r="DX53" s="80">
        <v>16866</v>
      </c>
      <c r="DY53" s="80">
        <v>9016</v>
      </c>
      <c r="DZ53" s="80">
        <v>10129</v>
      </c>
      <c r="EA53" s="80">
        <v>0</v>
      </c>
      <c r="EB53" s="80">
        <v>0</v>
      </c>
      <c r="EC53" s="80">
        <v>-1320</v>
      </c>
      <c r="ED53" s="80">
        <v>207</v>
      </c>
      <c r="EE53" s="80">
        <v>928</v>
      </c>
      <c r="EF53" s="80">
        <v>928</v>
      </c>
      <c r="EG53" s="80">
        <v>0</v>
      </c>
      <c r="EH53" s="80">
        <v>0</v>
      </c>
      <c r="EI53" s="80">
        <v>0</v>
      </c>
      <c r="EJ53" s="80">
        <v>0</v>
      </c>
      <c r="EK53" s="80">
        <v>9</v>
      </c>
      <c r="EL53" s="80">
        <v>0</v>
      </c>
      <c r="EM53" s="80">
        <v>9</v>
      </c>
      <c r="EN53" s="80">
        <v>0</v>
      </c>
      <c r="EO53" s="80">
        <v>6913</v>
      </c>
      <c r="EP53" s="80">
        <v>2815</v>
      </c>
      <c r="EQ53" s="80">
        <v>0</v>
      </c>
      <c r="ER53" s="80">
        <v>2815</v>
      </c>
      <c r="ES53" s="80">
        <v>0</v>
      </c>
      <c r="ET53" s="80">
        <v>2815</v>
      </c>
      <c r="EU53" s="80">
        <v>0</v>
      </c>
      <c r="EV53" s="80">
        <v>0</v>
      </c>
      <c r="EW53" s="80">
        <v>0</v>
      </c>
      <c r="EX53" s="80">
        <v>0</v>
      </c>
      <c r="EY53" s="80">
        <v>0</v>
      </c>
      <c r="EZ53" s="80">
        <v>0</v>
      </c>
      <c r="FA53" s="80">
        <v>0</v>
      </c>
      <c r="FB53" s="80">
        <v>0</v>
      </c>
      <c r="FC53" s="80">
        <v>0</v>
      </c>
      <c r="FD53" s="80">
        <v>4098</v>
      </c>
      <c r="FE53" s="80">
        <v>0</v>
      </c>
      <c r="FF53" s="80">
        <v>2604</v>
      </c>
      <c r="FG53" s="80">
        <v>148</v>
      </c>
      <c r="FH53" s="80">
        <v>2456</v>
      </c>
      <c r="FI53" s="80">
        <v>0</v>
      </c>
      <c r="FJ53" s="80">
        <v>0</v>
      </c>
      <c r="FK53" s="80">
        <v>0</v>
      </c>
      <c r="FL53" s="80">
        <v>0</v>
      </c>
      <c r="FM53" s="80">
        <v>0</v>
      </c>
      <c r="FN53" s="80">
        <v>390</v>
      </c>
      <c r="FO53" s="80">
        <v>78</v>
      </c>
      <c r="FP53" s="80">
        <v>1026</v>
      </c>
      <c r="FQ53" s="80">
        <v>16866</v>
      </c>
      <c r="FR53" s="80">
        <v>4006</v>
      </c>
      <c r="FS53" s="80">
        <v>0</v>
      </c>
      <c r="FT53" s="100">
        <v>9044.5067672284385</v>
      </c>
      <c r="FU53" s="100"/>
      <c r="FV53" s="100">
        <v>3519</v>
      </c>
      <c r="FW53" s="67">
        <v>535</v>
      </c>
      <c r="FX53" s="100">
        <f t="shared" si="5"/>
        <v>-13790</v>
      </c>
      <c r="FY53" s="100">
        <f t="shared" si="6"/>
        <v>-17324</v>
      </c>
      <c r="FZ53" s="100">
        <v>11527.49239683489</v>
      </c>
      <c r="GA53" s="67">
        <v>3534</v>
      </c>
      <c r="GB53" s="58">
        <f t="shared" si="3"/>
        <v>15</v>
      </c>
      <c r="GC53" s="67">
        <v>535</v>
      </c>
      <c r="GD53" s="100">
        <v>138</v>
      </c>
      <c r="GE53" s="100">
        <v>138</v>
      </c>
      <c r="GF53" s="58">
        <f t="shared" si="4"/>
        <v>0</v>
      </c>
      <c r="GG53" s="100">
        <v>-3595.3519999999999</v>
      </c>
      <c r="GH53" s="100">
        <v>-228.08380000000005</v>
      </c>
      <c r="GI53" s="100">
        <v>-8033.7390108633108</v>
      </c>
      <c r="GJ53" s="67">
        <f t="shared" si="7"/>
        <v>0</v>
      </c>
      <c r="GK53" s="67"/>
      <c r="GL53" s="83"/>
      <c r="GM53" s="96"/>
    </row>
    <row r="54" spans="1:195" ht="13.5" customHeight="1" x14ac:dyDescent="0.2">
      <c r="A54" s="74">
        <v>106</v>
      </c>
      <c r="B54" s="75" t="s">
        <v>235</v>
      </c>
      <c r="C54" s="82" t="s">
        <v>235</v>
      </c>
      <c r="D54" s="76"/>
      <c r="E54" s="77" t="s">
        <v>218</v>
      </c>
      <c r="F54" s="78">
        <v>5</v>
      </c>
      <c r="G54" s="79">
        <v>46463</v>
      </c>
      <c r="H54" s="80">
        <v>51070</v>
      </c>
      <c r="I54" s="80">
        <v>19680</v>
      </c>
      <c r="J54" s="80">
        <v>14602</v>
      </c>
      <c r="K54" s="80">
        <v>5015</v>
      </c>
      <c r="L54" s="80">
        <v>11773</v>
      </c>
      <c r="M54" s="80">
        <v>0</v>
      </c>
      <c r="N54" s="80">
        <v>7527</v>
      </c>
      <c r="O54" s="80">
        <v>284673</v>
      </c>
      <c r="P54" s="80">
        <v>122108</v>
      </c>
      <c r="Q54" s="80">
        <v>92600</v>
      </c>
      <c r="R54" s="80">
        <v>29508</v>
      </c>
      <c r="S54" s="80">
        <v>24395</v>
      </c>
      <c r="T54" s="80">
        <v>5113</v>
      </c>
      <c r="U54" s="80">
        <v>120530</v>
      </c>
      <c r="V54" s="80">
        <v>14127</v>
      </c>
      <c r="W54" s="80">
        <v>20691</v>
      </c>
      <c r="X54" s="80">
        <v>7217</v>
      </c>
      <c r="Y54" s="80">
        <v>-226076</v>
      </c>
      <c r="Z54" s="80">
        <v>195453</v>
      </c>
      <c r="AA54" s="80">
        <v>168042</v>
      </c>
      <c r="AB54" s="80">
        <v>14262</v>
      </c>
      <c r="AC54" s="80">
        <v>13149</v>
      </c>
      <c r="AD54" s="80">
        <v>46981</v>
      </c>
      <c r="AE54" s="80">
        <v>-1254</v>
      </c>
      <c r="AF54" s="80">
        <v>125</v>
      </c>
      <c r="AG54" s="80">
        <v>878</v>
      </c>
      <c r="AH54" s="80">
        <v>300</v>
      </c>
      <c r="AI54" s="80">
        <v>2200</v>
      </c>
      <c r="AJ54" s="80">
        <v>57</v>
      </c>
      <c r="AK54" s="80">
        <v>15104</v>
      </c>
      <c r="AL54" s="80">
        <v>19721</v>
      </c>
      <c r="AM54" s="80">
        <v>19721</v>
      </c>
      <c r="AN54" s="80">
        <v>0</v>
      </c>
      <c r="AO54" s="80">
        <v>0</v>
      </c>
      <c r="AP54" s="80">
        <v>0</v>
      </c>
      <c r="AQ54" s="80">
        <v>0</v>
      </c>
      <c r="AR54" s="80">
        <v>-4617</v>
      </c>
      <c r="AS54" s="80">
        <v>0</v>
      </c>
      <c r="AT54" s="80">
        <v>0</v>
      </c>
      <c r="AU54" s="80">
        <v>0</v>
      </c>
      <c r="AV54" s="80">
        <v>-4617</v>
      </c>
      <c r="AW54" s="81"/>
      <c r="AX54" s="80">
        <v>11006</v>
      </c>
      <c r="AY54" s="80">
        <v>15104</v>
      </c>
      <c r="AZ54" s="80">
        <v>0</v>
      </c>
      <c r="BA54" s="80">
        <v>-4098</v>
      </c>
      <c r="BB54" s="80">
        <v>-11185</v>
      </c>
      <c r="BC54" s="80">
        <v>17156</v>
      </c>
      <c r="BD54" s="80">
        <v>1179</v>
      </c>
      <c r="BE54" s="80">
        <v>4792</v>
      </c>
      <c r="BF54" s="80">
        <v>-179</v>
      </c>
      <c r="BG54" s="80">
        <v>-631</v>
      </c>
      <c r="BH54" s="80">
        <v>15</v>
      </c>
      <c r="BI54" s="80">
        <v>15</v>
      </c>
      <c r="BJ54" s="80">
        <v>30</v>
      </c>
      <c r="BK54" s="80">
        <v>-4945</v>
      </c>
      <c r="BL54" s="80">
        <v>10000</v>
      </c>
      <c r="BM54" s="80">
        <v>14945</v>
      </c>
      <c r="BN54" s="80">
        <v>0</v>
      </c>
      <c r="BO54" s="80">
        <v>1299</v>
      </c>
      <c r="BP54" s="80">
        <v>3000</v>
      </c>
      <c r="BQ54" s="80">
        <v>-698</v>
      </c>
      <c r="BR54" s="80">
        <v>4</v>
      </c>
      <c r="BS54" s="80">
        <v>2646</v>
      </c>
      <c r="BT54" s="80">
        <v>1048</v>
      </c>
      <c r="BU54" s="80">
        <v>-808</v>
      </c>
      <c r="BV54" s="80">
        <v>27694</v>
      </c>
      <c r="BW54" s="80">
        <v>28502</v>
      </c>
      <c r="BX54" s="81"/>
      <c r="BY54" s="80">
        <v>294993</v>
      </c>
      <c r="BZ54" s="80">
        <v>2213</v>
      </c>
      <c r="CA54" s="80">
        <v>2098</v>
      </c>
      <c r="CB54" s="80">
        <v>115</v>
      </c>
      <c r="CC54" s="80">
        <v>0</v>
      </c>
      <c r="CD54" s="80">
        <v>235983</v>
      </c>
      <c r="CE54" s="80">
        <v>40371</v>
      </c>
      <c r="CF54" s="80">
        <v>114461</v>
      </c>
      <c r="CG54" s="80">
        <v>73481</v>
      </c>
      <c r="CH54" s="80">
        <v>2684</v>
      </c>
      <c r="CI54" s="80">
        <v>514</v>
      </c>
      <c r="CJ54" s="80">
        <v>514</v>
      </c>
      <c r="CK54" s="80">
        <v>4472</v>
      </c>
      <c r="CL54" s="80">
        <v>56797</v>
      </c>
      <c r="CM54" s="80">
        <v>52613</v>
      </c>
      <c r="CN54" s="80">
        <v>14154</v>
      </c>
      <c r="CO54" s="80">
        <v>38459</v>
      </c>
      <c r="CP54" s="80">
        <v>0</v>
      </c>
      <c r="CQ54" s="80">
        <v>3334</v>
      </c>
      <c r="CR54" s="80">
        <v>0</v>
      </c>
      <c r="CS54" s="80">
        <v>0</v>
      </c>
      <c r="CT54" s="80">
        <v>3334</v>
      </c>
      <c r="CU54" s="80">
        <v>850</v>
      </c>
      <c r="CV54" s="80">
        <v>0</v>
      </c>
      <c r="CW54" s="80">
        <v>0</v>
      </c>
      <c r="CX54" s="80">
        <v>0</v>
      </c>
      <c r="CY54" s="80">
        <v>0</v>
      </c>
      <c r="CZ54" s="80">
        <v>43413</v>
      </c>
      <c r="DA54" s="80">
        <v>38</v>
      </c>
      <c r="DB54" s="80">
        <v>38</v>
      </c>
      <c r="DC54" s="80">
        <v>0</v>
      </c>
      <c r="DD54" s="80">
        <v>0</v>
      </c>
      <c r="DE54" s="80">
        <v>0</v>
      </c>
      <c r="DF54" s="80">
        <v>0</v>
      </c>
      <c r="DG54" s="80">
        <v>15681</v>
      </c>
      <c r="DH54" s="80">
        <v>4642</v>
      </c>
      <c r="DI54" s="80">
        <v>0</v>
      </c>
      <c r="DJ54" s="80">
        <v>2756</v>
      </c>
      <c r="DK54" s="80">
        <v>1486</v>
      </c>
      <c r="DL54" s="80">
        <v>400</v>
      </c>
      <c r="DM54" s="80">
        <v>11039</v>
      </c>
      <c r="DN54" s="80">
        <v>4374</v>
      </c>
      <c r="DO54" s="80">
        <v>1899</v>
      </c>
      <c r="DP54" s="80">
        <v>3400</v>
      </c>
      <c r="DQ54" s="80">
        <v>1366</v>
      </c>
      <c r="DR54" s="80">
        <v>0</v>
      </c>
      <c r="DS54" s="80">
        <v>0</v>
      </c>
      <c r="DT54" s="80">
        <v>0</v>
      </c>
      <c r="DU54" s="80">
        <v>0</v>
      </c>
      <c r="DV54" s="80">
        <v>0</v>
      </c>
      <c r="DW54" s="80">
        <v>27694</v>
      </c>
      <c r="DX54" s="80">
        <v>338406</v>
      </c>
      <c r="DY54" s="80">
        <v>179934</v>
      </c>
      <c r="DZ54" s="80">
        <v>151019</v>
      </c>
      <c r="EA54" s="80">
        <v>0</v>
      </c>
      <c r="EB54" s="80">
        <v>3362</v>
      </c>
      <c r="EC54" s="80">
        <v>30169</v>
      </c>
      <c r="ED54" s="80">
        <v>-4616</v>
      </c>
      <c r="EE54" s="80">
        <v>0</v>
      </c>
      <c r="EF54" s="80">
        <v>0</v>
      </c>
      <c r="EG54" s="80">
        <v>0</v>
      </c>
      <c r="EH54" s="80">
        <v>298</v>
      </c>
      <c r="EI54" s="80">
        <v>27</v>
      </c>
      <c r="EJ54" s="80">
        <v>271</v>
      </c>
      <c r="EK54" s="80">
        <v>1003</v>
      </c>
      <c r="EL54" s="80">
        <v>0</v>
      </c>
      <c r="EM54" s="80">
        <v>931</v>
      </c>
      <c r="EN54" s="80">
        <v>72</v>
      </c>
      <c r="EO54" s="80">
        <v>157171</v>
      </c>
      <c r="EP54" s="80">
        <v>109515</v>
      </c>
      <c r="EQ54" s="80">
        <v>0</v>
      </c>
      <c r="ER54" s="80">
        <v>103496</v>
      </c>
      <c r="ES54" s="80">
        <v>52321</v>
      </c>
      <c r="ET54" s="80">
        <v>51175</v>
      </c>
      <c r="EU54" s="80">
        <v>0</v>
      </c>
      <c r="EV54" s="80">
        <v>0</v>
      </c>
      <c r="EW54" s="80">
        <v>0</v>
      </c>
      <c r="EX54" s="80">
        <v>0</v>
      </c>
      <c r="EY54" s="80">
        <v>0</v>
      </c>
      <c r="EZ54" s="80">
        <v>0</v>
      </c>
      <c r="FA54" s="80">
        <v>6015</v>
      </c>
      <c r="FB54" s="80">
        <v>0</v>
      </c>
      <c r="FC54" s="80">
        <v>4</v>
      </c>
      <c r="FD54" s="80">
        <v>47656</v>
      </c>
      <c r="FE54" s="80">
        <v>0</v>
      </c>
      <c r="FF54" s="80">
        <v>10128</v>
      </c>
      <c r="FG54" s="80">
        <v>2679</v>
      </c>
      <c r="FH54" s="80">
        <v>7449</v>
      </c>
      <c r="FI54" s="80">
        <v>0</v>
      </c>
      <c r="FJ54" s="80">
        <v>0</v>
      </c>
      <c r="FK54" s="80">
        <v>857</v>
      </c>
      <c r="FL54" s="80">
        <v>0</v>
      </c>
      <c r="FM54" s="80">
        <v>1198</v>
      </c>
      <c r="FN54" s="80">
        <v>11910</v>
      </c>
      <c r="FO54" s="80">
        <v>6770</v>
      </c>
      <c r="FP54" s="80">
        <v>16793</v>
      </c>
      <c r="FQ54" s="80">
        <v>338406</v>
      </c>
      <c r="FR54" s="80">
        <v>72261</v>
      </c>
      <c r="FS54" s="80">
        <v>6488</v>
      </c>
      <c r="FT54" s="100">
        <v>163943.57462877739</v>
      </c>
      <c r="FU54" s="100"/>
      <c r="FV54" s="100">
        <v>79377</v>
      </c>
      <c r="FW54" s="67">
        <v>19521</v>
      </c>
      <c r="FX54" s="100">
        <f t="shared" si="5"/>
        <v>-97628</v>
      </c>
      <c r="FY54" s="100">
        <f t="shared" si="6"/>
        <v>-206355</v>
      </c>
      <c r="FZ54" s="100">
        <v>146047.49177091438</v>
      </c>
      <c r="GA54" s="67">
        <v>108727</v>
      </c>
      <c r="GB54" s="58">
        <f t="shared" si="3"/>
        <v>29350</v>
      </c>
      <c r="GC54" s="67">
        <v>19721</v>
      </c>
      <c r="GD54" s="100">
        <v>14630</v>
      </c>
      <c r="GE54" s="100">
        <v>5589</v>
      </c>
      <c r="GF54" s="58">
        <f t="shared" si="4"/>
        <v>9041</v>
      </c>
      <c r="GG54" s="100">
        <v>-104267.068</v>
      </c>
      <c r="GH54" s="100">
        <v>-3564.9159000000018</v>
      </c>
      <c r="GI54" s="100">
        <v>-37813.202137945336</v>
      </c>
      <c r="GJ54" s="67">
        <f t="shared" si="7"/>
        <v>200</v>
      </c>
      <c r="GK54" s="67"/>
      <c r="GM54" s="96"/>
    </row>
    <row r="55" spans="1:195" ht="13.5" customHeight="1" x14ac:dyDescent="0.2">
      <c r="A55" s="74">
        <v>224</v>
      </c>
      <c r="B55" s="75" t="s">
        <v>256</v>
      </c>
      <c r="C55" s="82" t="s">
        <v>256</v>
      </c>
      <c r="D55" s="76"/>
      <c r="E55" s="77" t="s">
        <v>218</v>
      </c>
      <c r="F55" s="78">
        <v>3</v>
      </c>
      <c r="G55" s="79">
        <v>8969</v>
      </c>
      <c r="H55" s="80">
        <v>7018</v>
      </c>
      <c r="I55" s="80">
        <v>2765</v>
      </c>
      <c r="J55" s="80">
        <v>698</v>
      </c>
      <c r="K55" s="80">
        <v>1309</v>
      </c>
      <c r="L55" s="80">
        <v>2246</v>
      </c>
      <c r="M55" s="80">
        <v>0</v>
      </c>
      <c r="N55" s="80">
        <v>0</v>
      </c>
      <c r="O55" s="80">
        <v>52106</v>
      </c>
      <c r="P55" s="80">
        <v>13496</v>
      </c>
      <c r="Q55" s="80">
        <v>9598</v>
      </c>
      <c r="R55" s="80">
        <v>3898</v>
      </c>
      <c r="S55" s="80">
        <v>3417</v>
      </c>
      <c r="T55" s="80">
        <v>481</v>
      </c>
      <c r="U55" s="80">
        <v>34750</v>
      </c>
      <c r="V55" s="80">
        <v>1912</v>
      </c>
      <c r="W55" s="80">
        <v>1304</v>
      </c>
      <c r="X55" s="80">
        <v>644</v>
      </c>
      <c r="Y55" s="80">
        <v>-45088</v>
      </c>
      <c r="Z55" s="80">
        <v>31856</v>
      </c>
      <c r="AA55" s="80">
        <v>28524</v>
      </c>
      <c r="AB55" s="80">
        <v>1262</v>
      </c>
      <c r="AC55" s="80">
        <v>2070</v>
      </c>
      <c r="AD55" s="80">
        <v>16514</v>
      </c>
      <c r="AE55" s="80">
        <v>-330</v>
      </c>
      <c r="AF55" s="80">
        <v>2</v>
      </c>
      <c r="AG55" s="80">
        <v>134</v>
      </c>
      <c r="AH55" s="80">
        <v>15</v>
      </c>
      <c r="AI55" s="80">
        <v>462</v>
      </c>
      <c r="AJ55" s="80">
        <v>4</v>
      </c>
      <c r="AK55" s="80">
        <v>2952</v>
      </c>
      <c r="AL55" s="80">
        <v>2011</v>
      </c>
      <c r="AM55" s="80">
        <v>2011</v>
      </c>
      <c r="AN55" s="80">
        <v>0</v>
      </c>
      <c r="AO55" s="80">
        <v>-32</v>
      </c>
      <c r="AP55" s="80">
        <v>8</v>
      </c>
      <c r="AQ55" s="80">
        <v>40</v>
      </c>
      <c r="AR55" s="80">
        <v>909</v>
      </c>
      <c r="AS55" s="80">
        <v>0</v>
      </c>
      <c r="AT55" s="80">
        <v>0</v>
      </c>
      <c r="AU55" s="80">
        <v>0</v>
      </c>
      <c r="AV55" s="80">
        <v>909</v>
      </c>
      <c r="AW55" s="81"/>
      <c r="AX55" s="80">
        <v>2550</v>
      </c>
      <c r="AY55" s="80">
        <v>2952</v>
      </c>
      <c r="AZ55" s="80">
        <v>-32</v>
      </c>
      <c r="BA55" s="80">
        <v>-370</v>
      </c>
      <c r="BB55" s="80">
        <v>-6868</v>
      </c>
      <c r="BC55" s="80">
        <v>9608</v>
      </c>
      <c r="BD55" s="80">
        <v>2169</v>
      </c>
      <c r="BE55" s="80">
        <v>571</v>
      </c>
      <c r="BF55" s="80">
        <v>-4318</v>
      </c>
      <c r="BG55" s="80">
        <v>6224</v>
      </c>
      <c r="BH55" s="80">
        <v>0</v>
      </c>
      <c r="BI55" s="80">
        <v>0</v>
      </c>
      <c r="BJ55" s="80">
        <v>0</v>
      </c>
      <c r="BK55" s="80">
        <v>7670</v>
      </c>
      <c r="BL55" s="80">
        <v>14250</v>
      </c>
      <c r="BM55" s="80">
        <v>4080</v>
      </c>
      <c r="BN55" s="80">
        <v>-2500</v>
      </c>
      <c r="BO55" s="80">
        <v>0</v>
      </c>
      <c r="BP55" s="80">
        <v>-1446</v>
      </c>
      <c r="BQ55" s="80">
        <v>0</v>
      </c>
      <c r="BR55" s="80">
        <v>1</v>
      </c>
      <c r="BS55" s="80">
        <v>-1049</v>
      </c>
      <c r="BT55" s="80">
        <v>-398</v>
      </c>
      <c r="BU55" s="80">
        <v>1905</v>
      </c>
      <c r="BV55" s="80">
        <v>2301</v>
      </c>
      <c r="BW55" s="80">
        <v>396</v>
      </c>
      <c r="BX55" s="81"/>
      <c r="BY55" s="80">
        <v>55963</v>
      </c>
      <c r="BZ55" s="80">
        <v>242</v>
      </c>
      <c r="CA55" s="80">
        <v>82</v>
      </c>
      <c r="CB55" s="80">
        <v>160</v>
      </c>
      <c r="CC55" s="80">
        <v>0</v>
      </c>
      <c r="CD55" s="80">
        <v>44223</v>
      </c>
      <c r="CE55" s="80">
        <v>8936</v>
      </c>
      <c r="CF55" s="80">
        <v>24800</v>
      </c>
      <c r="CG55" s="80">
        <v>7828</v>
      </c>
      <c r="CH55" s="80">
        <v>1191</v>
      </c>
      <c r="CI55" s="80">
        <v>6</v>
      </c>
      <c r="CJ55" s="80">
        <v>6</v>
      </c>
      <c r="CK55" s="80">
        <v>1462</v>
      </c>
      <c r="CL55" s="80">
        <v>11498</v>
      </c>
      <c r="CM55" s="80">
        <v>11498</v>
      </c>
      <c r="CN55" s="80">
        <v>5797</v>
      </c>
      <c r="CO55" s="80">
        <v>5701</v>
      </c>
      <c r="CP55" s="80">
        <v>0</v>
      </c>
      <c r="CQ55" s="80">
        <v>0</v>
      </c>
      <c r="CR55" s="80">
        <v>0</v>
      </c>
      <c r="CS55" s="80">
        <v>0</v>
      </c>
      <c r="CT55" s="80">
        <v>0</v>
      </c>
      <c r="CU55" s="80">
        <v>0</v>
      </c>
      <c r="CV55" s="80">
        <v>21</v>
      </c>
      <c r="CW55" s="80">
        <v>0</v>
      </c>
      <c r="CX55" s="80">
        <v>21</v>
      </c>
      <c r="CY55" s="80">
        <v>0</v>
      </c>
      <c r="CZ55" s="80">
        <v>6152</v>
      </c>
      <c r="DA55" s="80">
        <v>5</v>
      </c>
      <c r="DB55" s="80">
        <v>5</v>
      </c>
      <c r="DC55" s="80">
        <v>0</v>
      </c>
      <c r="DD55" s="80">
        <v>0</v>
      </c>
      <c r="DE55" s="80">
        <v>0</v>
      </c>
      <c r="DF55" s="80">
        <v>0</v>
      </c>
      <c r="DG55" s="80">
        <v>3846</v>
      </c>
      <c r="DH55" s="80">
        <v>2142</v>
      </c>
      <c r="DI55" s="80">
        <v>0</v>
      </c>
      <c r="DJ55" s="80">
        <v>0</v>
      </c>
      <c r="DK55" s="80">
        <v>2142</v>
      </c>
      <c r="DL55" s="80">
        <v>0</v>
      </c>
      <c r="DM55" s="80">
        <v>1704</v>
      </c>
      <c r="DN55" s="80">
        <v>446</v>
      </c>
      <c r="DO55" s="80">
        <v>0</v>
      </c>
      <c r="DP55" s="80">
        <v>566</v>
      </c>
      <c r="DQ55" s="80">
        <v>692</v>
      </c>
      <c r="DR55" s="80">
        <v>36</v>
      </c>
      <c r="DS55" s="80">
        <v>0</v>
      </c>
      <c r="DT55" s="80">
        <v>36</v>
      </c>
      <c r="DU55" s="80">
        <v>0</v>
      </c>
      <c r="DV55" s="80">
        <v>0</v>
      </c>
      <c r="DW55" s="80">
        <v>2265</v>
      </c>
      <c r="DX55" s="80">
        <v>62136</v>
      </c>
      <c r="DY55" s="80">
        <v>7851</v>
      </c>
      <c r="DZ55" s="80">
        <v>7347</v>
      </c>
      <c r="EA55" s="80">
        <v>0</v>
      </c>
      <c r="EB55" s="80">
        <v>4</v>
      </c>
      <c r="EC55" s="80">
        <v>-409</v>
      </c>
      <c r="ED55" s="80">
        <v>909</v>
      </c>
      <c r="EE55" s="80">
        <v>0</v>
      </c>
      <c r="EF55" s="80">
        <v>0</v>
      </c>
      <c r="EG55" s="80">
        <v>0</v>
      </c>
      <c r="EH55" s="80">
        <v>0</v>
      </c>
      <c r="EI55" s="80">
        <v>0</v>
      </c>
      <c r="EJ55" s="80">
        <v>0</v>
      </c>
      <c r="EK55" s="80">
        <v>38</v>
      </c>
      <c r="EL55" s="80">
        <v>0</v>
      </c>
      <c r="EM55" s="80">
        <v>21</v>
      </c>
      <c r="EN55" s="80">
        <v>17</v>
      </c>
      <c r="EO55" s="80">
        <v>54247</v>
      </c>
      <c r="EP55" s="80">
        <v>30281</v>
      </c>
      <c r="EQ55" s="80">
        <v>0</v>
      </c>
      <c r="ER55" s="80">
        <v>29770</v>
      </c>
      <c r="ES55" s="80">
        <v>0</v>
      </c>
      <c r="ET55" s="80">
        <v>29770</v>
      </c>
      <c r="EU55" s="80">
        <v>0</v>
      </c>
      <c r="EV55" s="80">
        <v>0</v>
      </c>
      <c r="EW55" s="80">
        <v>0</v>
      </c>
      <c r="EX55" s="80">
        <v>0</v>
      </c>
      <c r="EY55" s="80">
        <v>0</v>
      </c>
      <c r="EZ55" s="80">
        <v>0</v>
      </c>
      <c r="FA55" s="80">
        <v>511</v>
      </c>
      <c r="FB55" s="80">
        <v>0</v>
      </c>
      <c r="FC55" s="80">
        <v>0</v>
      </c>
      <c r="FD55" s="80">
        <v>23966</v>
      </c>
      <c r="FE55" s="80">
        <v>0</v>
      </c>
      <c r="FF55" s="80">
        <v>20540</v>
      </c>
      <c r="FG55" s="80">
        <v>0</v>
      </c>
      <c r="FH55" s="80">
        <v>20540</v>
      </c>
      <c r="FI55" s="80">
        <v>0</v>
      </c>
      <c r="FJ55" s="80">
        <v>0</v>
      </c>
      <c r="FK55" s="80">
        <v>0</v>
      </c>
      <c r="FL55" s="80">
        <v>0</v>
      </c>
      <c r="FM55" s="80">
        <v>13</v>
      </c>
      <c r="FN55" s="80">
        <v>1434</v>
      </c>
      <c r="FO55" s="80">
        <v>273</v>
      </c>
      <c r="FP55" s="80">
        <v>1706</v>
      </c>
      <c r="FQ55" s="80">
        <v>62136</v>
      </c>
      <c r="FR55" s="80">
        <v>89</v>
      </c>
      <c r="FS55" s="80">
        <v>311</v>
      </c>
      <c r="FT55" s="100">
        <v>28361.640571178865</v>
      </c>
      <c r="FU55" s="100"/>
      <c r="FV55" s="100">
        <v>13338</v>
      </c>
      <c r="FW55" s="67">
        <v>2013</v>
      </c>
      <c r="FX55" s="100">
        <f t="shared" si="5"/>
        <v>-29279</v>
      </c>
      <c r="FY55" s="100">
        <f t="shared" si="6"/>
        <v>-43077</v>
      </c>
      <c r="FZ55" s="100">
        <v>29912.227380406774</v>
      </c>
      <c r="GA55" s="67">
        <v>13798</v>
      </c>
      <c r="GB55" s="58">
        <f t="shared" si="3"/>
        <v>460</v>
      </c>
      <c r="GC55" s="67">
        <v>2013</v>
      </c>
      <c r="GD55" s="100">
        <v>699</v>
      </c>
      <c r="GE55" s="100">
        <v>699</v>
      </c>
      <c r="GF55" s="58">
        <f t="shared" si="4"/>
        <v>0</v>
      </c>
      <c r="GG55" s="100">
        <v>-16721.689999999999</v>
      </c>
      <c r="GH55" s="100">
        <v>-370.55730000000011</v>
      </c>
      <c r="GI55" s="100">
        <v>-12781.251004253223</v>
      </c>
      <c r="GJ55" s="67">
        <f t="shared" si="7"/>
        <v>0</v>
      </c>
      <c r="GK55" s="67"/>
      <c r="GL55" s="83"/>
      <c r="GM55" s="96"/>
    </row>
    <row r="56" spans="1:195" ht="13.5" customHeight="1" x14ac:dyDescent="0.2">
      <c r="A56" s="74">
        <v>140</v>
      </c>
      <c r="B56" s="75" t="s">
        <v>238</v>
      </c>
      <c r="C56" s="82" t="s">
        <v>238</v>
      </c>
      <c r="D56" s="76"/>
      <c r="E56" s="77" t="s">
        <v>239</v>
      </c>
      <c r="F56" s="78">
        <v>5</v>
      </c>
      <c r="G56" s="79">
        <v>21945</v>
      </c>
      <c r="H56" s="80">
        <v>28348</v>
      </c>
      <c r="I56" s="80">
        <v>17768</v>
      </c>
      <c r="J56" s="80">
        <v>3840</v>
      </c>
      <c r="K56" s="80">
        <v>1504</v>
      </c>
      <c r="L56" s="80">
        <v>5236</v>
      </c>
      <c r="M56" s="80">
        <v>0</v>
      </c>
      <c r="N56" s="80">
        <v>0</v>
      </c>
      <c r="O56" s="80">
        <v>143578</v>
      </c>
      <c r="P56" s="80">
        <v>44340</v>
      </c>
      <c r="Q56" s="80">
        <v>32156</v>
      </c>
      <c r="R56" s="80">
        <v>12184</v>
      </c>
      <c r="S56" s="80">
        <v>10164</v>
      </c>
      <c r="T56" s="80">
        <v>2020</v>
      </c>
      <c r="U56" s="80">
        <v>86987</v>
      </c>
      <c r="V56" s="80">
        <v>6506</v>
      </c>
      <c r="W56" s="80">
        <v>4386</v>
      </c>
      <c r="X56" s="80">
        <v>1359</v>
      </c>
      <c r="Y56" s="80">
        <v>-115230</v>
      </c>
      <c r="Z56" s="80">
        <v>77806</v>
      </c>
      <c r="AA56" s="80">
        <v>65900</v>
      </c>
      <c r="AB56" s="80">
        <v>6100</v>
      </c>
      <c r="AC56" s="80">
        <v>5806</v>
      </c>
      <c r="AD56" s="80">
        <v>44894</v>
      </c>
      <c r="AE56" s="80">
        <v>1161</v>
      </c>
      <c r="AF56" s="80">
        <v>30</v>
      </c>
      <c r="AG56" s="80">
        <v>2343</v>
      </c>
      <c r="AH56" s="80">
        <v>563</v>
      </c>
      <c r="AI56" s="80">
        <v>248</v>
      </c>
      <c r="AJ56" s="80">
        <v>964</v>
      </c>
      <c r="AK56" s="80">
        <v>8631</v>
      </c>
      <c r="AL56" s="80">
        <v>7199</v>
      </c>
      <c r="AM56" s="80">
        <v>7199</v>
      </c>
      <c r="AN56" s="80">
        <v>0</v>
      </c>
      <c r="AO56" s="80">
        <v>0</v>
      </c>
      <c r="AP56" s="80">
        <v>0</v>
      </c>
      <c r="AQ56" s="80">
        <v>0</v>
      </c>
      <c r="AR56" s="80">
        <v>1432</v>
      </c>
      <c r="AS56" s="80">
        <v>68</v>
      </c>
      <c r="AT56" s="80">
        <v>0</v>
      </c>
      <c r="AU56" s="80">
        <v>499</v>
      </c>
      <c r="AV56" s="80">
        <v>1999</v>
      </c>
      <c r="AW56" s="81"/>
      <c r="AX56" s="80">
        <v>8119</v>
      </c>
      <c r="AY56" s="80">
        <v>8631</v>
      </c>
      <c r="AZ56" s="80">
        <v>0</v>
      </c>
      <c r="BA56" s="80">
        <v>-512</v>
      </c>
      <c r="BB56" s="80">
        <v>-7937</v>
      </c>
      <c r="BC56" s="80">
        <v>8818</v>
      </c>
      <c r="BD56" s="80">
        <v>226</v>
      </c>
      <c r="BE56" s="80">
        <v>655</v>
      </c>
      <c r="BF56" s="80">
        <v>182</v>
      </c>
      <c r="BG56" s="80">
        <v>-5682</v>
      </c>
      <c r="BH56" s="80">
        <v>47</v>
      </c>
      <c r="BI56" s="80">
        <v>40</v>
      </c>
      <c r="BJ56" s="80">
        <v>87</v>
      </c>
      <c r="BK56" s="80">
        <v>-6210</v>
      </c>
      <c r="BL56" s="80">
        <v>0</v>
      </c>
      <c r="BM56" s="80">
        <v>6210</v>
      </c>
      <c r="BN56" s="80">
        <v>0</v>
      </c>
      <c r="BO56" s="80">
        <v>0</v>
      </c>
      <c r="BP56" s="80">
        <v>481</v>
      </c>
      <c r="BQ56" s="80">
        <v>21</v>
      </c>
      <c r="BR56" s="80">
        <v>0</v>
      </c>
      <c r="BS56" s="80">
        <v>92</v>
      </c>
      <c r="BT56" s="80">
        <v>368</v>
      </c>
      <c r="BU56" s="80">
        <v>-5500</v>
      </c>
      <c r="BV56" s="80">
        <v>18774</v>
      </c>
      <c r="BW56" s="80">
        <v>24274</v>
      </c>
      <c r="BX56" s="81"/>
      <c r="BY56" s="80">
        <v>113766</v>
      </c>
      <c r="BZ56" s="80">
        <v>114</v>
      </c>
      <c r="CA56" s="80">
        <v>34</v>
      </c>
      <c r="CB56" s="80">
        <v>80</v>
      </c>
      <c r="CC56" s="80">
        <v>0</v>
      </c>
      <c r="CD56" s="80">
        <v>79394</v>
      </c>
      <c r="CE56" s="80">
        <v>12115</v>
      </c>
      <c r="CF56" s="80">
        <v>35905</v>
      </c>
      <c r="CG56" s="80">
        <v>26686</v>
      </c>
      <c r="CH56" s="80">
        <v>1281</v>
      </c>
      <c r="CI56" s="80">
        <v>176</v>
      </c>
      <c r="CJ56" s="80">
        <v>176</v>
      </c>
      <c r="CK56" s="80">
        <v>3231</v>
      </c>
      <c r="CL56" s="80">
        <v>34258</v>
      </c>
      <c r="CM56" s="80">
        <v>32010</v>
      </c>
      <c r="CN56" s="80">
        <v>16118</v>
      </c>
      <c r="CO56" s="80">
        <v>15892</v>
      </c>
      <c r="CP56" s="80">
        <v>0</v>
      </c>
      <c r="CQ56" s="80">
        <v>2181</v>
      </c>
      <c r="CR56" s="80">
        <v>0</v>
      </c>
      <c r="CS56" s="80">
        <v>0</v>
      </c>
      <c r="CT56" s="80">
        <v>2181</v>
      </c>
      <c r="CU56" s="80">
        <v>67</v>
      </c>
      <c r="CV56" s="80">
        <v>2945</v>
      </c>
      <c r="CW56" s="80">
        <v>26</v>
      </c>
      <c r="CX56" s="80">
        <v>2919</v>
      </c>
      <c r="CY56" s="80">
        <v>0</v>
      </c>
      <c r="CZ56" s="80">
        <v>23610</v>
      </c>
      <c r="DA56" s="80">
        <v>0</v>
      </c>
      <c r="DB56" s="80">
        <v>0</v>
      </c>
      <c r="DC56" s="80">
        <v>0</v>
      </c>
      <c r="DD56" s="80">
        <v>0</v>
      </c>
      <c r="DE56" s="80">
        <v>0</v>
      </c>
      <c r="DF56" s="80">
        <v>0</v>
      </c>
      <c r="DG56" s="80">
        <v>4836</v>
      </c>
      <c r="DH56" s="80">
        <v>1221</v>
      </c>
      <c r="DI56" s="80">
        <v>0</v>
      </c>
      <c r="DJ56" s="80">
        <v>0</v>
      </c>
      <c r="DK56" s="80">
        <v>1221</v>
      </c>
      <c r="DL56" s="80">
        <v>0</v>
      </c>
      <c r="DM56" s="80">
        <v>3615</v>
      </c>
      <c r="DN56" s="80">
        <v>1542</v>
      </c>
      <c r="DO56" s="80">
        <v>0</v>
      </c>
      <c r="DP56" s="80">
        <v>1845</v>
      </c>
      <c r="DQ56" s="80">
        <v>228</v>
      </c>
      <c r="DR56" s="80">
        <v>16006</v>
      </c>
      <c r="DS56" s="80">
        <v>4</v>
      </c>
      <c r="DT56" s="80">
        <v>0</v>
      </c>
      <c r="DU56" s="80">
        <v>0</v>
      </c>
      <c r="DV56" s="80">
        <v>16002</v>
      </c>
      <c r="DW56" s="80">
        <v>2768</v>
      </c>
      <c r="DX56" s="80">
        <v>140321</v>
      </c>
      <c r="DY56" s="80">
        <v>82198</v>
      </c>
      <c r="DZ56" s="80">
        <v>63789</v>
      </c>
      <c r="EA56" s="80">
        <v>0</v>
      </c>
      <c r="EB56" s="80">
        <v>12968</v>
      </c>
      <c r="EC56" s="80">
        <v>3442</v>
      </c>
      <c r="ED56" s="80">
        <v>1999</v>
      </c>
      <c r="EE56" s="80">
        <v>5950</v>
      </c>
      <c r="EF56" s="80">
        <v>5950</v>
      </c>
      <c r="EG56" s="80">
        <v>0</v>
      </c>
      <c r="EH56" s="80">
        <v>17</v>
      </c>
      <c r="EI56" s="80">
        <v>17</v>
      </c>
      <c r="EJ56" s="80">
        <v>0</v>
      </c>
      <c r="EK56" s="80">
        <v>3435</v>
      </c>
      <c r="EL56" s="80">
        <v>23</v>
      </c>
      <c r="EM56" s="80">
        <v>3401</v>
      </c>
      <c r="EN56" s="80">
        <v>11</v>
      </c>
      <c r="EO56" s="80">
        <v>48721</v>
      </c>
      <c r="EP56" s="80">
        <v>31101</v>
      </c>
      <c r="EQ56" s="80">
        <v>0</v>
      </c>
      <c r="ER56" s="80">
        <v>29817</v>
      </c>
      <c r="ES56" s="80">
        <v>0</v>
      </c>
      <c r="ET56" s="80">
        <v>29817</v>
      </c>
      <c r="EU56" s="80">
        <v>0</v>
      </c>
      <c r="EV56" s="80">
        <v>0</v>
      </c>
      <c r="EW56" s="80">
        <v>0</v>
      </c>
      <c r="EX56" s="80">
        <v>0</v>
      </c>
      <c r="EY56" s="80">
        <v>296</v>
      </c>
      <c r="EZ56" s="80">
        <v>0</v>
      </c>
      <c r="FA56" s="80">
        <v>988</v>
      </c>
      <c r="FB56" s="80">
        <v>0</v>
      </c>
      <c r="FC56" s="80">
        <v>0</v>
      </c>
      <c r="FD56" s="80">
        <v>17620</v>
      </c>
      <c r="FE56" s="80">
        <v>0</v>
      </c>
      <c r="FF56" s="80">
        <v>6210</v>
      </c>
      <c r="FG56" s="80">
        <v>0</v>
      </c>
      <c r="FH56" s="80">
        <v>6210</v>
      </c>
      <c r="FI56" s="80">
        <v>0</v>
      </c>
      <c r="FJ56" s="80">
        <v>0</v>
      </c>
      <c r="FK56" s="80">
        <v>0</v>
      </c>
      <c r="FL56" s="80">
        <v>0</v>
      </c>
      <c r="FM56" s="80">
        <v>389</v>
      </c>
      <c r="FN56" s="80">
        <v>3689</v>
      </c>
      <c r="FO56" s="80">
        <v>871</v>
      </c>
      <c r="FP56" s="80">
        <v>6461</v>
      </c>
      <c r="FQ56" s="80">
        <v>140321</v>
      </c>
      <c r="FR56" s="80">
        <v>27637</v>
      </c>
      <c r="FS56" s="80">
        <v>2490</v>
      </c>
      <c r="FT56" s="100">
        <v>83997.96655784233</v>
      </c>
      <c r="FU56" s="100"/>
      <c r="FV56" s="100">
        <v>42880</v>
      </c>
      <c r="FW56" s="67">
        <v>7199</v>
      </c>
      <c r="FX56" s="100">
        <f t="shared" si="5"/>
        <v>-64682</v>
      </c>
      <c r="FY56" s="100">
        <f t="shared" si="6"/>
        <v>-108031</v>
      </c>
      <c r="FZ56" s="100">
        <v>74685.110954462667</v>
      </c>
      <c r="GA56" s="67">
        <v>43349</v>
      </c>
      <c r="GB56" s="58">
        <f t="shared" si="3"/>
        <v>469</v>
      </c>
      <c r="GC56" s="67">
        <v>7199</v>
      </c>
      <c r="GD56" s="100">
        <v>3902</v>
      </c>
      <c r="GE56" s="100">
        <v>3902</v>
      </c>
      <c r="GF56" s="58">
        <f t="shared" si="4"/>
        <v>0</v>
      </c>
      <c r="GG56" s="100">
        <v>-38644.451999999997</v>
      </c>
      <c r="GH56" s="100">
        <v>-1433.9349500000008</v>
      </c>
      <c r="GI56" s="100">
        <v>-35028.36832508153</v>
      </c>
      <c r="GJ56" s="67">
        <f t="shared" si="7"/>
        <v>0</v>
      </c>
      <c r="GK56" s="67"/>
      <c r="GM56" s="96"/>
    </row>
    <row r="57" spans="1:195" ht="13.5" customHeight="1" x14ac:dyDescent="0.2">
      <c r="A57" s="74">
        <v>139</v>
      </c>
      <c r="B57" s="75" t="s">
        <v>33</v>
      </c>
      <c r="C57" s="75" t="s">
        <v>33</v>
      </c>
      <c r="D57" s="76"/>
      <c r="E57" s="77" t="s">
        <v>216</v>
      </c>
      <c r="F57" s="78">
        <v>3</v>
      </c>
      <c r="G57" s="79">
        <v>9663</v>
      </c>
      <c r="H57" s="80">
        <v>6757</v>
      </c>
      <c r="I57" s="80">
        <v>3510</v>
      </c>
      <c r="J57" s="80">
        <v>751</v>
      </c>
      <c r="K57" s="80">
        <v>626</v>
      </c>
      <c r="L57" s="80">
        <v>1870</v>
      </c>
      <c r="M57" s="80">
        <v>0</v>
      </c>
      <c r="N57" s="80">
        <v>8</v>
      </c>
      <c r="O57" s="80">
        <v>61209</v>
      </c>
      <c r="P57" s="80">
        <v>18106</v>
      </c>
      <c r="Q57" s="80">
        <v>13566</v>
      </c>
      <c r="R57" s="80">
        <v>4540</v>
      </c>
      <c r="S57" s="80">
        <v>3812</v>
      </c>
      <c r="T57" s="80">
        <v>728</v>
      </c>
      <c r="U57" s="80">
        <v>36862</v>
      </c>
      <c r="V57" s="80">
        <v>3326</v>
      </c>
      <c r="W57" s="80">
        <v>1664</v>
      </c>
      <c r="X57" s="80">
        <v>1251</v>
      </c>
      <c r="Y57" s="80">
        <v>-54444</v>
      </c>
      <c r="Z57" s="80">
        <v>31633</v>
      </c>
      <c r="AA57" s="80">
        <v>27149</v>
      </c>
      <c r="AB57" s="80">
        <v>1429</v>
      </c>
      <c r="AC57" s="80">
        <v>3055</v>
      </c>
      <c r="AD57" s="80">
        <v>26315</v>
      </c>
      <c r="AE57" s="80">
        <v>-418</v>
      </c>
      <c r="AF57" s="80">
        <v>0</v>
      </c>
      <c r="AG57" s="80">
        <v>42</v>
      </c>
      <c r="AH57" s="80">
        <v>10</v>
      </c>
      <c r="AI57" s="80">
        <v>457</v>
      </c>
      <c r="AJ57" s="80">
        <v>3</v>
      </c>
      <c r="AK57" s="80">
        <v>3086</v>
      </c>
      <c r="AL57" s="80">
        <v>2603</v>
      </c>
      <c r="AM57" s="80">
        <v>2405</v>
      </c>
      <c r="AN57" s="80">
        <v>198</v>
      </c>
      <c r="AO57" s="80">
        <v>0</v>
      </c>
      <c r="AP57" s="80">
        <v>0</v>
      </c>
      <c r="AQ57" s="80">
        <v>0</v>
      </c>
      <c r="AR57" s="80">
        <v>483</v>
      </c>
      <c r="AS57" s="80">
        <v>79</v>
      </c>
      <c r="AT57" s="80">
        <v>-473</v>
      </c>
      <c r="AU57" s="80">
        <v>0</v>
      </c>
      <c r="AV57" s="80">
        <v>89</v>
      </c>
      <c r="AW57" s="81"/>
      <c r="AX57" s="80">
        <v>3031</v>
      </c>
      <c r="AY57" s="80">
        <v>3086</v>
      </c>
      <c r="AZ57" s="80">
        <v>0</v>
      </c>
      <c r="BA57" s="80">
        <v>-55</v>
      </c>
      <c r="BB57" s="80">
        <v>-6056</v>
      </c>
      <c r="BC57" s="80">
        <v>7034</v>
      </c>
      <c r="BD57" s="80">
        <v>897</v>
      </c>
      <c r="BE57" s="80">
        <v>81</v>
      </c>
      <c r="BF57" s="80">
        <v>-3025</v>
      </c>
      <c r="BG57" s="80">
        <v>3503</v>
      </c>
      <c r="BH57" s="80">
        <v>0</v>
      </c>
      <c r="BI57" s="80">
        <v>0</v>
      </c>
      <c r="BJ57" s="80">
        <v>0</v>
      </c>
      <c r="BK57" s="80">
        <v>2694</v>
      </c>
      <c r="BL57" s="80">
        <v>5000</v>
      </c>
      <c r="BM57" s="80">
        <v>4369</v>
      </c>
      <c r="BN57" s="80">
        <v>2063</v>
      </c>
      <c r="BO57" s="80">
        <v>0</v>
      </c>
      <c r="BP57" s="80">
        <v>809</v>
      </c>
      <c r="BQ57" s="80">
        <v>5</v>
      </c>
      <c r="BR57" s="80">
        <v>-2</v>
      </c>
      <c r="BS57" s="80">
        <v>317</v>
      </c>
      <c r="BT57" s="80">
        <v>489</v>
      </c>
      <c r="BU57" s="80">
        <v>478</v>
      </c>
      <c r="BV57" s="80">
        <v>4020</v>
      </c>
      <c r="BW57" s="80">
        <v>3542</v>
      </c>
      <c r="BX57" s="81"/>
      <c r="BY57" s="80">
        <v>66704</v>
      </c>
      <c r="BZ57" s="80">
        <v>6475</v>
      </c>
      <c r="CA57" s="80">
        <v>0</v>
      </c>
      <c r="CB57" s="80">
        <v>6475</v>
      </c>
      <c r="CC57" s="80">
        <v>0</v>
      </c>
      <c r="CD57" s="80">
        <v>45580</v>
      </c>
      <c r="CE57" s="80">
        <v>6351</v>
      </c>
      <c r="CF57" s="80">
        <v>25038</v>
      </c>
      <c r="CG57" s="80">
        <v>12151</v>
      </c>
      <c r="CH57" s="80">
        <v>986</v>
      </c>
      <c r="CI57" s="80">
        <v>34</v>
      </c>
      <c r="CJ57" s="80">
        <v>34</v>
      </c>
      <c r="CK57" s="80">
        <v>1020</v>
      </c>
      <c r="CL57" s="80">
        <v>14649</v>
      </c>
      <c r="CM57" s="80">
        <v>13759</v>
      </c>
      <c r="CN57" s="80">
        <v>6556</v>
      </c>
      <c r="CO57" s="80">
        <v>7203</v>
      </c>
      <c r="CP57" s="80">
        <v>0</v>
      </c>
      <c r="CQ57" s="80">
        <v>890</v>
      </c>
      <c r="CR57" s="80">
        <v>0</v>
      </c>
      <c r="CS57" s="80">
        <v>0</v>
      </c>
      <c r="CT57" s="80">
        <v>890</v>
      </c>
      <c r="CU57" s="80">
        <v>0</v>
      </c>
      <c r="CV57" s="80">
        <v>60</v>
      </c>
      <c r="CW57" s="80">
        <v>48</v>
      </c>
      <c r="CX57" s="80">
        <v>12</v>
      </c>
      <c r="CY57" s="80">
        <v>0</v>
      </c>
      <c r="CZ57" s="80">
        <v>6238</v>
      </c>
      <c r="DA57" s="80">
        <v>37</v>
      </c>
      <c r="DB57" s="80">
        <v>37</v>
      </c>
      <c r="DC57" s="80">
        <v>0</v>
      </c>
      <c r="DD57" s="80">
        <v>0</v>
      </c>
      <c r="DE57" s="80">
        <v>0</v>
      </c>
      <c r="DF57" s="80">
        <v>0</v>
      </c>
      <c r="DG57" s="80">
        <v>2181</v>
      </c>
      <c r="DH57" s="80">
        <v>235</v>
      </c>
      <c r="DI57" s="80">
        <v>0</v>
      </c>
      <c r="DJ57" s="80">
        <v>235</v>
      </c>
      <c r="DK57" s="80">
        <v>0</v>
      </c>
      <c r="DL57" s="80">
        <v>0</v>
      </c>
      <c r="DM57" s="80">
        <v>1946</v>
      </c>
      <c r="DN57" s="80">
        <v>550</v>
      </c>
      <c r="DO57" s="80">
        <v>0</v>
      </c>
      <c r="DP57" s="80">
        <v>387</v>
      </c>
      <c r="DQ57" s="80">
        <v>1009</v>
      </c>
      <c r="DR57" s="80">
        <v>0</v>
      </c>
      <c r="DS57" s="80">
        <v>0</v>
      </c>
      <c r="DT57" s="80">
        <v>0</v>
      </c>
      <c r="DU57" s="80">
        <v>0</v>
      </c>
      <c r="DV57" s="80">
        <v>0</v>
      </c>
      <c r="DW57" s="80">
        <v>4020</v>
      </c>
      <c r="DX57" s="80">
        <v>73002</v>
      </c>
      <c r="DY57" s="80">
        <v>32874</v>
      </c>
      <c r="DZ57" s="80">
        <v>22094</v>
      </c>
      <c r="EA57" s="80">
        <v>4655</v>
      </c>
      <c r="EB57" s="80">
        <v>577</v>
      </c>
      <c r="EC57" s="80">
        <v>5459</v>
      </c>
      <c r="ED57" s="80">
        <v>89</v>
      </c>
      <c r="EE57" s="80">
        <v>1675</v>
      </c>
      <c r="EF57" s="80">
        <v>766</v>
      </c>
      <c r="EG57" s="80">
        <v>909</v>
      </c>
      <c r="EH57" s="80">
        <v>1473</v>
      </c>
      <c r="EI57" s="80">
        <v>0</v>
      </c>
      <c r="EJ57" s="80">
        <v>1473</v>
      </c>
      <c r="EK57" s="80">
        <v>155</v>
      </c>
      <c r="EL57" s="80">
        <v>48</v>
      </c>
      <c r="EM57" s="80">
        <v>12</v>
      </c>
      <c r="EN57" s="80">
        <v>95</v>
      </c>
      <c r="EO57" s="80">
        <v>36825</v>
      </c>
      <c r="EP57" s="80">
        <v>20629</v>
      </c>
      <c r="EQ57" s="80">
        <v>0</v>
      </c>
      <c r="ER57" s="80">
        <v>18218</v>
      </c>
      <c r="ES57" s="80">
        <v>7250</v>
      </c>
      <c r="ET57" s="80">
        <v>10968</v>
      </c>
      <c r="EU57" s="80">
        <v>0</v>
      </c>
      <c r="EV57" s="80">
        <v>0</v>
      </c>
      <c r="EW57" s="80">
        <v>0</v>
      </c>
      <c r="EX57" s="80">
        <v>0</v>
      </c>
      <c r="EY57" s="80">
        <v>0</v>
      </c>
      <c r="EZ57" s="80">
        <v>0</v>
      </c>
      <c r="FA57" s="80">
        <v>2411</v>
      </c>
      <c r="FB57" s="80">
        <v>0</v>
      </c>
      <c r="FC57" s="80">
        <v>0</v>
      </c>
      <c r="FD57" s="80">
        <v>16196</v>
      </c>
      <c r="FE57" s="80">
        <v>0</v>
      </c>
      <c r="FF57" s="80">
        <v>9369</v>
      </c>
      <c r="FG57" s="80">
        <v>6295</v>
      </c>
      <c r="FH57" s="80">
        <v>3074</v>
      </c>
      <c r="FI57" s="80">
        <v>0</v>
      </c>
      <c r="FJ57" s="80">
        <v>0</v>
      </c>
      <c r="FK57" s="80">
        <v>0</v>
      </c>
      <c r="FL57" s="80">
        <v>0</v>
      </c>
      <c r="FM57" s="80">
        <v>130</v>
      </c>
      <c r="FN57" s="80">
        <v>1857</v>
      </c>
      <c r="FO57" s="80">
        <v>296</v>
      </c>
      <c r="FP57" s="80">
        <v>4544</v>
      </c>
      <c r="FQ57" s="80">
        <v>73002</v>
      </c>
      <c r="FR57" s="80">
        <v>7408</v>
      </c>
      <c r="FS57" s="80">
        <v>1000</v>
      </c>
      <c r="FT57" s="100">
        <v>38405.48833655499</v>
      </c>
      <c r="FU57" s="100"/>
      <c r="FV57" s="100">
        <v>14104</v>
      </c>
      <c r="FW57" s="67">
        <v>2538</v>
      </c>
      <c r="FX57" s="100">
        <f t="shared" si="5"/>
        <v>-37737</v>
      </c>
      <c r="FY57" s="100">
        <f t="shared" si="6"/>
        <v>-51841</v>
      </c>
      <c r="FZ57" s="100">
        <v>31514.634120067592</v>
      </c>
      <c r="GA57" s="67">
        <v>14104</v>
      </c>
      <c r="GB57" s="58">
        <f t="shared" si="3"/>
        <v>0</v>
      </c>
      <c r="GC57" s="67">
        <v>2603</v>
      </c>
      <c r="GD57" s="100">
        <v>751</v>
      </c>
      <c r="GE57" s="100">
        <v>751</v>
      </c>
      <c r="GF57" s="58">
        <f t="shared" si="4"/>
        <v>0</v>
      </c>
      <c r="GG57" s="100">
        <v>-14909.387000000001</v>
      </c>
      <c r="GH57" s="100">
        <v>-437.06685000000022</v>
      </c>
      <c r="GI57" s="100">
        <v>-16347.628202394093</v>
      </c>
      <c r="GJ57" s="67">
        <f t="shared" si="7"/>
        <v>65</v>
      </c>
      <c r="GK57" s="67"/>
      <c r="GM57" s="96"/>
    </row>
    <row r="58" spans="1:195" ht="13.5" customHeight="1" x14ac:dyDescent="0.2">
      <c r="A58" s="74">
        <v>142</v>
      </c>
      <c r="B58" s="75" t="s">
        <v>34</v>
      </c>
      <c r="C58" s="75" t="s">
        <v>34</v>
      </c>
      <c r="D58" s="76"/>
      <c r="E58" s="77" t="s">
        <v>230</v>
      </c>
      <c r="F58" s="78">
        <v>3</v>
      </c>
      <c r="G58" s="79">
        <v>6910</v>
      </c>
      <c r="H58" s="80">
        <v>3610</v>
      </c>
      <c r="I58" s="80">
        <v>1286</v>
      </c>
      <c r="J58" s="80">
        <v>423</v>
      </c>
      <c r="K58" s="80">
        <v>158</v>
      </c>
      <c r="L58" s="80">
        <v>1743</v>
      </c>
      <c r="M58" s="80">
        <v>0</v>
      </c>
      <c r="N58" s="80">
        <v>0</v>
      </c>
      <c r="O58" s="80">
        <v>39978</v>
      </c>
      <c r="P58" s="80">
        <v>9718</v>
      </c>
      <c r="Q58" s="80">
        <v>7171</v>
      </c>
      <c r="R58" s="80">
        <v>2547</v>
      </c>
      <c r="S58" s="80">
        <v>2362</v>
      </c>
      <c r="T58" s="80">
        <v>185</v>
      </c>
      <c r="U58" s="80">
        <v>27682</v>
      </c>
      <c r="V58" s="80">
        <v>1601</v>
      </c>
      <c r="W58" s="80">
        <v>784</v>
      </c>
      <c r="X58" s="80">
        <v>193</v>
      </c>
      <c r="Y58" s="80">
        <v>-36368</v>
      </c>
      <c r="Z58" s="80">
        <v>23519</v>
      </c>
      <c r="AA58" s="80">
        <v>19743</v>
      </c>
      <c r="AB58" s="80">
        <v>1280</v>
      </c>
      <c r="AC58" s="80">
        <v>2496</v>
      </c>
      <c r="AD58" s="80">
        <v>15033</v>
      </c>
      <c r="AE58" s="80">
        <v>-67</v>
      </c>
      <c r="AF58" s="80">
        <v>16</v>
      </c>
      <c r="AG58" s="80">
        <v>42</v>
      </c>
      <c r="AH58" s="80">
        <v>18</v>
      </c>
      <c r="AI58" s="80">
        <v>113</v>
      </c>
      <c r="AJ58" s="80">
        <v>12</v>
      </c>
      <c r="AK58" s="80">
        <v>2117</v>
      </c>
      <c r="AL58" s="80">
        <v>1810</v>
      </c>
      <c r="AM58" s="80">
        <v>1810</v>
      </c>
      <c r="AN58" s="80">
        <v>0</v>
      </c>
      <c r="AO58" s="80">
        <v>110</v>
      </c>
      <c r="AP58" s="80">
        <v>110</v>
      </c>
      <c r="AQ58" s="80">
        <v>0</v>
      </c>
      <c r="AR58" s="80">
        <v>417</v>
      </c>
      <c r="AS58" s="80">
        <v>70</v>
      </c>
      <c r="AT58" s="80">
        <v>0</v>
      </c>
      <c r="AU58" s="80">
        <v>0</v>
      </c>
      <c r="AV58" s="80">
        <v>487</v>
      </c>
      <c r="AW58" s="81"/>
      <c r="AX58" s="80">
        <v>1960</v>
      </c>
      <c r="AY58" s="80">
        <v>2117</v>
      </c>
      <c r="AZ58" s="80">
        <v>110</v>
      </c>
      <c r="BA58" s="80">
        <v>-267</v>
      </c>
      <c r="BB58" s="80">
        <v>-1102</v>
      </c>
      <c r="BC58" s="80">
        <v>1742</v>
      </c>
      <c r="BD58" s="80">
        <v>0</v>
      </c>
      <c r="BE58" s="80">
        <v>640</v>
      </c>
      <c r="BF58" s="80">
        <v>858</v>
      </c>
      <c r="BG58" s="80">
        <v>465</v>
      </c>
      <c r="BH58" s="80">
        <v>0</v>
      </c>
      <c r="BI58" s="80">
        <v>0</v>
      </c>
      <c r="BJ58" s="80">
        <v>0</v>
      </c>
      <c r="BK58" s="80">
        <v>-1188</v>
      </c>
      <c r="BL58" s="80">
        <v>149</v>
      </c>
      <c r="BM58" s="80">
        <v>1337</v>
      </c>
      <c r="BN58" s="80">
        <v>0</v>
      </c>
      <c r="BO58" s="80">
        <v>0</v>
      </c>
      <c r="BP58" s="80">
        <v>1653</v>
      </c>
      <c r="BQ58" s="80">
        <v>60</v>
      </c>
      <c r="BR58" s="80">
        <v>0</v>
      </c>
      <c r="BS58" s="80">
        <v>1326</v>
      </c>
      <c r="BT58" s="80">
        <v>267</v>
      </c>
      <c r="BU58" s="80">
        <v>1322</v>
      </c>
      <c r="BV58" s="80">
        <v>2862</v>
      </c>
      <c r="BW58" s="80">
        <v>1540</v>
      </c>
      <c r="BX58" s="81"/>
      <c r="BY58" s="80">
        <v>35582</v>
      </c>
      <c r="BZ58" s="80">
        <v>272</v>
      </c>
      <c r="CA58" s="80">
        <v>0</v>
      </c>
      <c r="CB58" s="80">
        <v>272</v>
      </c>
      <c r="CC58" s="80">
        <v>0</v>
      </c>
      <c r="CD58" s="80">
        <v>25385</v>
      </c>
      <c r="CE58" s="80">
        <v>4345</v>
      </c>
      <c r="CF58" s="80">
        <v>16588</v>
      </c>
      <c r="CG58" s="80">
        <v>3728</v>
      </c>
      <c r="CH58" s="80">
        <v>413</v>
      </c>
      <c r="CI58" s="80">
        <v>0</v>
      </c>
      <c r="CJ58" s="80">
        <v>0</v>
      </c>
      <c r="CK58" s="80">
        <v>311</v>
      </c>
      <c r="CL58" s="80">
        <v>9925</v>
      </c>
      <c r="CM58" s="80">
        <v>9925</v>
      </c>
      <c r="CN58" s="80">
        <v>1809</v>
      </c>
      <c r="CO58" s="80">
        <v>8116</v>
      </c>
      <c r="CP58" s="80">
        <v>0</v>
      </c>
      <c r="CQ58" s="80">
        <v>0</v>
      </c>
      <c r="CR58" s="80">
        <v>0</v>
      </c>
      <c r="CS58" s="80">
        <v>0</v>
      </c>
      <c r="CT58" s="80">
        <v>0</v>
      </c>
      <c r="CU58" s="80">
        <v>0</v>
      </c>
      <c r="CV58" s="80">
        <v>0</v>
      </c>
      <c r="CW58" s="80">
        <v>0</v>
      </c>
      <c r="CX58" s="80">
        <v>0</v>
      </c>
      <c r="CY58" s="80">
        <v>0</v>
      </c>
      <c r="CZ58" s="80">
        <v>4407</v>
      </c>
      <c r="DA58" s="80">
        <v>0</v>
      </c>
      <c r="DB58" s="80">
        <v>0</v>
      </c>
      <c r="DC58" s="80">
        <v>0</v>
      </c>
      <c r="DD58" s="80">
        <v>0</v>
      </c>
      <c r="DE58" s="80">
        <v>0</v>
      </c>
      <c r="DF58" s="80">
        <v>0</v>
      </c>
      <c r="DG58" s="80">
        <v>1545</v>
      </c>
      <c r="DH58" s="80">
        <v>115</v>
      </c>
      <c r="DI58" s="80">
        <v>0</v>
      </c>
      <c r="DJ58" s="80">
        <v>115</v>
      </c>
      <c r="DK58" s="80">
        <v>0</v>
      </c>
      <c r="DL58" s="80">
        <v>0</v>
      </c>
      <c r="DM58" s="80">
        <v>1430</v>
      </c>
      <c r="DN58" s="80">
        <v>341</v>
      </c>
      <c r="DO58" s="80">
        <v>13</v>
      </c>
      <c r="DP58" s="80">
        <v>115</v>
      </c>
      <c r="DQ58" s="80">
        <v>961</v>
      </c>
      <c r="DR58" s="80">
        <v>548</v>
      </c>
      <c r="DS58" s="80">
        <v>145</v>
      </c>
      <c r="DT58" s="80">
        <v>184</v>
      </c>
      <c r="DU58" s="80">
        <v>0</v>
      </c>
      <c r="DV58" s="80">
        <v>219</v>
      </c>
      <c r="DW58" s="80">
        <v>2314</v>
      </c>
      <c r="DX58" s="80">
        <v>39989</v>
      </c>
      <c r="DY58" s="80">
        <v>25690</v>
      </c>
      <c r="DZ58" s="80">
        <v>23053</v>
      </c>
      <c r="EA58" s="80">
        <v>0</v>
      </c>
      <c r="EB58" s="80">
        <v>0</v>
      </c>
      <c r="EC58" s="80">
        <v>2150</v>
      </c>
      <c r="ED58" s="80">
        <v>487</v>
      </c>
      <c r="EE58" s="80">
        <v>678</v>
      </c>
      <c r="EF58" s="80">
        <v>678</v>
      </c>
      <c r="EG58" s="80">
        <v>0</v>
      </c>
      <c r="EH58" s="80">
        <v>0</v>
      </c>
      <c r="EI58" s="80">
        <v>0</v>
      </c>
      <c r="EJ58" s="80">
        <v>0</v>
      </c>
      <c r="EK58" s="80">
        <v>155</v>
      </c>
      <c r="EL58" s="80">
        <v>0</v>
      </c>
      <c r="EM58" s="80">
        <v>155</v>
      </c>
      <c r="EN58" s="80">
        <v>0</v>
      </c>
      <c r="EO58" s="80">
        <v>13466</v>
      </c>
      <c r="EP58" s="80">
        <v>8746</v>
      </c>
      <c r="EQ58" s="80">
        <v>0</v>
      </c>
      <c r="ER58" s="80">
        <v>8746</v>
      </c>
      <c r="ES58" s="80">
        <v>2177</v>
      </c>
      <c r="ET58" s="80">
        <v>6569</v>
      </c>
      <c r="EU58" s="80">
        <v>0</v>
      </c>
      <c r="EV58" s="80">
        <v>0</v>
      </c>
      <c r="EW58" s="80">
        <v>0</v>
      </c>
      <c r="EX58" s="80">
        <v>0</v>
      </c>
      <c r="EY58" s="80">
        <v>0</v>
      </c>
      <c r="EZ58" s="80">
        <v>0</v>
      </c>
      <c r="FA58" s="80">
        <v>0</v>
      </c>
      <c r="FB58" s="80">
        <v>0</v>
      </c>
      <c r="FC58" s="80">
        <v>0</v>
      </c>
      <c r="FD58" s="80">
        <v>4720</v>
      </c>
      <c r="FE58" s="80">
        <v>0</v>
      </c>
      <c r="FF58" s="80">
        <v>1068</v>
      </c>
      <c r="FG58" s="80">
        <v>435</v>
      </c>
      <c r="FH58" s="80">
        <v>633</v>
      </c>
      <c r="FI58" s="80">
        <v>0</v>
      </c>
      <c r="FJ58" s="80">
        <v>0</v>
      </c>
      <c r="FK58" s="80">
        <v>0</v>
      </c>
      <c r="FL58" s="80">
        <v>0</v>
      </c>
      <c r="FM58" s="80">
        <v>7</v>
      </c>
      <c r="FN58" s="80">
        <v>1901</v>
      </c>
      <c r="FO58" s="80">
        <v>479</v>
      </c>
      <c r="FP58" s="80">
        <v>1265</v>
      </c>
      <c r="FQ58" s="80">
        <v>39989</v>
      </c>
      <c r="FR58" s="80">
        <v>10344</v>
      </c>
      <c r="FS58" s="80">
        <v>1843</v>
      </c>
      <c r="FT58" s="100">
        <v>20012.309792053522</v>
      </c>
      <c r="FU58" s="100"/>
      <c r="FV58" s="100">
        <v>7348</v>
      </c>
      <c r="FW58" s="67">
        <v>1808</v>
      </c>
      <c r="FX58" s="100">
        <f t="shared" si="5"/>
        <v>-27210</v>
      </c>
      <c r="FY58" s="100">
        <f t="shared" si="6"/>
        <v>-34558</v>
      </c>
      <c r="FZ58" s="100">
        <v>23879.882376282389</v>
      </c>
      <c r="GA58" s="67">
        <v>7348</v>
      </c>
      <c r="GB58" s="58">
        <f t="shared" si="3"/>
        <v>0</v>
      </c>
      <c r="GC58" s="67">
        <v>1810</v>
      </c>
      <c r="GD58" s="100">
        <v>423</v>
      </c>
      <c r="GE58" s="100">
        <v>423</v>
      </c>
      <c r="GF58" s="58">
        <f t="shared" si="4"/>
        <v>0</v>
      </c>
      <c r="GG58" s="100">
        <v>-11779.032000000001</v>
      </c>
      <c r="GH58" s="100">
        <v>-396.54450000000014</v>
      </c>
      <c r="GI58" s="100">
        <v>-11870.208582115059</v>
      </c>
      <c r="GJ58" s="67">
        <f t="shared" si="7"/>
        <v>2</v>
      </c>
      <c r="GK58" s="67"/>
      <c r="GM58" s="96"/>
    </row>
    <row r="59" spans="1:195" ht="13.5" customHeight="1" x14ac:dyDescent="0.2">
      <c r="A59" s="74">
        <v>143</v>
      </c>
      <c r="B59" s="75" t="s">
        <v>240</v>
      </c>
      <c r="C59" s="82" t="s">
        <v>240</v>
      </c>
      <c r="D59" s="76"/>
      <c r="E59" s="77" t="s">
        <v>214</v>
      </c>
      <c r="F59" s="78">
        <v>3</v>
      </c>
      <c r="G59" s="79">
        <v>7207</v>
      </c>
      <c r="H59" s="80">
        <v>7216</v>
      </c>
      <c r="I59" s="80">
        <v>2615</v>
      </c>
      <c r="J59" s="80">
        <v>2115</v>
      </c>
      <c r="K59" s="80">
        <v>946</v>
      </c>
      <c r="L59" s="80">
        <v>1540</v>
      </c>
      <c r="M59" s="80">
        <v>0</v>
      </c>
      <c r="N59" s="80">
        <v>0</v>
      </c>
      <c r="O59" s="80">
        <v>47615</v>
      </c>
      <c r="P59" s="80">
        <v>22463</v>
      </c>
      <c r="Q59" s="80">
        <v>16806</v>
      </c>
      <c r="R59" s="80">
        <v>5657</v>
      </c>
      <c r="S59" s="80">
        <v>4574</v>
      </c>
      <c r="T59" s="80">
        <v>1083</v>
      </c>
      <c r="U59" s="80">
        <v>19223</v>
      </c>
      <c r="V59" s="80">
        <v>2758</v>
      </c>
      <c r="W59" s="80">
        <v>2151</v>
      </c>
      <c r="X59" s="80">
        <v>1020</v>
      </c>
      <c r="Y59" s="80">
        <v>-40399</v>
      </c>
      <c r="Z59" s="80">
        <v>25679</v>
      </c>
      <c r="AA59" s="80">
        <v>21098</v>
      </c>
      <c r="AB59" s="80">
        <v>1621</v>
      </c>
      <c r="AC59" s="80">
        <v>2960</v>
      </c>
      <c r="AD59" s="80">
        <v>18044</v>
      </c>
      <c r="AE59" s="80">
        <v>87</v>
      </c>
      <c r="AF59" s="80">
        <v>64</v>
      </c>
      <c r="AG59" s="80">
        <v>116</v>
      </c>
      <c r="AH59" s="80">
        <v>13</v>
      </c>
      <c r="AI59" s="80">
        <v>81</v>
      </c>
      <c r="AJ59" s="80">
        <v>12</v>
      </c>
      <c r="AK59" s="80">
        <v>3411</v>
      </c>
      <c r="AL59" s="80">
        <v>2387</v>
      </c>
      <c r="AM59" s="80">
        <v>2387</v>
      </c>
      <c r="AN59" s="80">
        <v>0</v>
      </c>
      <c r="AO59" s="80">
        <v>0</v>
      </c>
      <c r="AP59" s="80">
        <v>0</v>
      </c>
      <c r="AQ59" s="80">
        <v>0</v>
      </c>
      <c r="AR59" s="80">
        <v>1024</v>
      </c>
      <c r="AS59" s="80">
        <v>2</v>
      </c>
      <c r="AT59" s="80">
        <v>0</v>
      </c>
      <c r="AU59" s="80">
        <v>0</v>
      </c>
      <c r="AV59" s="80">
        <v>1026</v>
      </c>
      <c r="AW59" s="81"/>
      <c r="AX59" s="80">
        <v>2889</v>
      </c>
      <c r="AY59" s="80">
        <v>3411</v>
      </c>
      <c r="AZ59" s="80">
        <v>0</v>
      </c>
      <c r="BA59" s="80">
        <v>-522</v>
      </c>
      <c r="BB59" s="80">
        <v>-176</v>
      </c>
      <c r="BC59" s="80">
        <v>1045</v>
      </c>
      <c r="BD59" s="80">
        <v>3</v>
      </c>
      <c r="BE59" s="80">
        <v>866</v>
      </c>
      <c r="BF59" s="80">
        <v>2713</v>
      </c>
      <c r="BG59" s="80">
        <v>-2693</v>
      </c>
      <c r="BH59" s="80">
        <v>-25</v>
      </c>
      <c r="BI59" s="80">
        <v>27</v>
      </c>
      <c r="BJ59" s="80">
        <v>2</v>
      </c>
      <c r="BK59" s="80">
        <v>-6657</v>
      </c>
      <c r="BL59" s="80">
        <v>0</v>
      </c>
      <c r="BM59" s="80">
        <v>857</v>
      </c>
      <c r="BN59" s="80">
        <v>-5800</v>
      </c>
      <c r="BO59" s="80">
        <v>0</v>
      </c>
      <c r="BP59" s="80">
        <v>3989</v>
      </c>
      <c r="BQ59" s="80">
        <v>45</v>
      </c>
      <c r="BR59" s="80">
        <v>-5</v>
      </c>
      <c r="BS59" s="80">
        <v>3010</v>
      </c>
      <c r="BT59" s="80">
        <v>939</v>
      </c>
      <c r="BU59" s="80">
        <v>20</v>
      </c>
      <c r="BV59" s="80">
        <v>633</v>
      </c>
      <c r="BW59" s="80">
        <v>613</v>
      </c>
      <c r="BX59" s="81"/>
      <c r="BY59" s="80">
        <v>42150</v>
      </c>
      <c r="BZ59" s="80">
        <v>266</v>
      </c>
      <c r="CA59" s="80">
        <v>0</v>
      </c>
      <c r="CB59" s="80">
        <v>266</v>
      </c>
      <c r="CC59" s="80">
        <v>0</v>
      </c>
      <c r="CD59" s="80">
        <v>32456</v>
      </c>
      <c r="CE59" s="80">
        <v>3662</v>
      </c>
      <c r="CF59" s="80">
        <v>21160</v>
      </c>
      <c r="CG59" s="80">
        <v>6152</v>
      </c>
      <c r="CH59" s="80">
        <v>943</v>
      </c>
      <c r="CI59" s="80">
        <v>0</v>
      </c>
      <c r="CJ59" s="80">
        <v>0</v>
      </c>
      <c r="CK59" s="80">
        <v>539</v>
      </c>
      <c r="CL59" s="80">
        <v>9428</v>
      </c>
      <c r="CM59" s="80">
        <v>8986</v>
      </c>
      <c r="CN59" s="80">
        <v>6806</v>
      </c>
      <c r="CO59" s="80">
        <v>2180</v>
      </c>
      <c r="CP59" s="80">
        <v>0</v>
      </c>
      <c r="CQ59" s="80">
        <v>306</v>
      </c>
      <c r="CR59" s="80">
        <v>0</v>
      </c>
      <c r="CS59" s="80">
        <v>31</v>
      </c>
      <c r="CT59" s="80">
        <v>275</v>
      </c>
      <c r="CU59" s="80">
        <v>136</v>
      </c>
      <c r="CV59" s="80">
        <v>44</v>
      </c>
      <c r="CW59" s="80">
        <v>0</v>
      </c>
      <c r="CX59" s="80">
        <v>44</v>
      </c>
      <c r="CY59" s="80">
        <v>0</v>
      </c>
      <c r="CZ59" s="80">
        <v>4414</v>
      </c>
      <c r="DA59" s="80">
        <v>73</v>
      </c>
      <c r="DB59" s="80">
        <v>0</v>
      </c>
      <c r="DC59" s="80">
        <v>0</v>
      </c>
      <c r="DD59" s="80">
        <v>73</v>
      </c>
      <c r="DE59" s="80">
        <v>0</v>
      </c>
      <c r="DF59" s="80">
        <v>0</v>
      </c>
      <c r="DG59" s="80">
        <v>3707</v>
      </c>
      <c r="DH59" s="80">
        <v>1534</v>
      </c>
      <c r="DI59" s="80">
        <v>0</v>
      </c>
      <c r="DJ59" s="80">
        <v>1534</v>
      </c>
      <c r="DK59" s="80">
        <v>0</v>
      </c>
      <c r="DL59" s="80">
        <v>0</v>
      </c>
      <c r="DM59" s="80">
        <v>2173</v>
      </c>
      <c r="DN59" s="80">
        <v>1366</v>
      </c>
      <c r="DO59" s="80">
        <v>227</v>
      </c>
      <c r="DP59" s="80">
        <v>282</v>
      </c>
      <c r="DQ59" s="80">
        <v>298</v>
      </c>
      <c r="DR59" s="80">
        <v>0</v>
      </c>
      <c r="DS59" s="80">
        <v>0</v>
      </c>
      <c r="DT59" s="80">
        <v>0</v>
      </c>
      <c r="DU59" s="80">
        <v>0</v>
      </c>
      <c r="DV59" s="80">
        <v>0</v>
      </c>
      <c r="DW59" s="80">
        <v>634</v>
      </c>
      <c r="DX59" s="80">
        <v>46608</v>
      </c>
      <c r="DY59" s="80">
        <v>20063</v>
      </c>
      <c r="DZ59" s="80">
        <v>21262</v>
      </c>
      <c r="EA59" s="80">
        <v>0</v>
      </c>
      <c r="EB59" s="80">
        <v>0</v>
      </c>
      <c r="EC59" s="80">
        <v>-2225</v>
      </c>
      <c r="ED59" s="80">
        <v>1026</v>
      </c>
      <c r="EE59" s="80">
        <v>47</v>
      </c>
      <c r="EF59" s="80">
        <v>47</v>
      </c>
      <c r="EG59" s="80">
        <v>0</v>
      </c>
      <c r="EH59" s="80">
        <v>0</v>
      </c>
      <c r="EI59" s="80">
        <v>0</v>
      </c>
      <c r="EJ59" s="80">
        <v>0</v>
      </c>
      <c r="EK59" s="80">
        <v>186</v>
      </c>
      <c r="EL59" s="80">
        <v>0</v>
      </c>
      <c r="EM59" s="80">
        <v>186</v>
      </c>
      <c r="EN59" s="80">
        <v>0</v>
      </c>
      <c r="EO59" s="80">
        <v>26312</v>
      </c>
      <c r="EP59" s="80">
        <v>4286</v>
      </c>
      <c r="EQ59" s="80">
        <v>0</v>
      </c>
      <c r="ER59" s="80">
        <v>4286</v>
      </c>
      <c r="ES59" s="80">
        <v>0</v>
      </c>
      <c r="ET59" s="80">
        <v>4286</v>
      </c>
      <c r="EU59" s="80">
        <v>0</v>
      </c>
      <c r="EV59" s="80">
        <v>0</v>
      </c>
      <c r="EW59" s="80">
        <v>0</v>
      </c>
      <c r="EX59" s="80">
        <v>0</v>
      </c>
      <c r="EY59" s="80">
        <v>0</v>
      </c>
      <c r="EZ59" s="80">
        <v>0</v>
      </c>
      <c r="FA59" s="80">
        <v>0</v>
      </c>
      <c r="FB59" s="80">
        <v>0</v>
      </c>
      <c r="FC59" s="80">
        <v>0</v>
      </c>
      <c r="FD59" s="80">
        <v>22026</v>
      </c>
      <c r="FE59" s="80">
        <v>0</v>
      </c>
      <c r="FF59" s="80">
        <v>16657</v>
      </c>
      <c r="FG59" s="80">
        <v>0</v>
      </c>
      <c r="FH59" s="80">
        <v>16657</v>
      </c>
      <c r="FI59" s="80">
        <v>0</v>
      </c>
      <c r="FJ59" s="80">
        <v>0</v>
      </c>
      <c r="FK59" s="80">
        <v>0</v>
      </c>
      <c r="FL59" s="80">
        <v>0</v>
      </c>
      <c r="FM59" s="80">
        <v>8</v>
      </c>
      <c r="FN59" s="80">
        <v>2211</v>
      </c>
      <c r="FO59" s="80">
        <v>487</v>
      </c>
      <c r="FP59" s="80">
        <v>2663</v>
      </c>
      <c r="FQ59" s="80">
        <v>46608</v>
      </c>
      <c r="FR59" s="80">
        <v>6623</v>
      </c>
      <c r="FS59" s="80">
        <v>579</v>
      </c>
      <c r="FT59" s="100">
        <v>23564.839098825956</v>
      </c>
      <c r="FU59" s="100"/>
      <c r="FV59" s="100">
        <v>8395</v>
      </c>
      <c r="FW59" s="67">
        <v>2240</v>
      </c>
      <c r="FX59" s="100">
        <f t="shared" si="5"/>
        <v>-26309</v>
      </c>
      <c r="FY59" s="100">
        <f t="shared" si="6"/>
        <v>-38012</v>
      </c>
      <c r="FZ59" s="100">
        <v>25488.959727045301</v>
      </c>
      <c r="GA59" s="67">
        <v>11703</v>
      </c>
      <c r="GB59" s="58">
        <f t="shared" si="3"/>
        <v>3308</v>
      </c>
      <c r="GC59" s="67">
        <v>2386</v>
      </c>
      <c r="GD59" s="100">
        <v>2115</v>
      </c>
      <c r="GE59" s="100">
        <v>504</v>
      </c>
      <c r="GF59" s="58">
        <f t="shared" si="4"/>
        <v>1611</v>
      </c>
      <c r="GG59" s="100">
        <v>-11744.403</v>
      </c>
      <c r="GH59" s="100">
        <v>-490.22195000000022</v>
      </c>
      <c r="GI59" s="100">
        <v>-13672.141505194521</v>
      </c>
      <c r="GJ59" s="67">
        <f t="shared" si="7"/>
        <v>146</v>
      </c>
      <c r="GK59" s="67"/>
      <c r="GM59" s="96"/>
    </row>
    <row r="60" spans="1:195" ht="13.5" customHeight="1" x14ac:dyDescent="0.2">
      <c r="A60" s="74">
        <v>145</v>
      </c>
      <c r="B60" s="75" t="s">
        <v>35</v>
      </c>
      <c r="C60" s="75" t="s">
        <v>35</v>
      </c>
      <c r="D60" s="76"/>
      <c r="E60" s="77" t="s">
        <v>215</v>
      </c>
      <c r="F60" s="78">
        <v>4</v>
      </c>
      <c r="G60" s="79">
        <v>12159</v>
      </c>
      <c r="H60" s="80">
        <v>9542</v>
      </c>
      <c r="I60" s="80">
        <v>4780</v>
      </c>
      <c r="J60" s="80">
        <v>1418</v>
      </c>
      <c r="K60" s="80">
        <v>1005</v>
      </c>
      <c r="L60" s="80">
        <v>2339</v>
      </c>
      <c r="M60" s="80">
        <v>0</v>
      </c>
      <c r="N60" s="80">
        <v>80</v>
      </c>
      <c r="O60" s="80">
        <v>72246</v>
      </c>
      <c r="P60" s="80">
        <v>25441</v>
      </c>
      <c r="Q60" s="80">
        <v>19247</v>
      </c>
      <c r="R60" s="80">
        <v>6194</v>
      </c>
      <c r="S60" s="80">
        <v>5030</v>
      </c>
      <c r="T60" s="80">
        <v>1164</v>
      </c>
      <c r="U60" s="80">
        <v>39099</v>
      </c>
      <c r="V60" s="80">
        <v>4105</v>
      </c>
      <c r="W60" s="80">
        <v>3047</v>
      </c>
      <c r="X60" s="80">
        <v>554</v>
      </c>
      <c r="Y60" s="80">
        <v>-62624</v>
      </c>
      <c r="Z60" s="80">
        <v>39043</v>
      </c>
      <c r="AA60" s="80">
        <v>35628</v>
      </c>
      <c r="AB60" s="80">
        <v>1301</v>
      </c>
      <c r="AC60" s="80">
        <v>2114</v>
      </c>
      <c r="AD60" s="80">
        <v>26558</v>
      </c>
      <c r="AE60" s="80">
        <v>-440</v>
      </c>
      <c r="AF60" s="80">
        <v>76</v>
      </c>
      <c r="AG60" s="80">
        <v>82</v>
      </c>
      <c r="AH60" s="80">
        <v>59</v>
      </c>
      <c r="AI60" s="80">
        <v>582</v>
      </c>
      <c r="AJ60" s="80">
        <v>16</v>
      </c>
      <c r="AK60" s="80">
        <v>2537</v>
      </c>
      <c r="AL60" s="80">
        <v>3059</v>
      </c>
      <c r="AM60" s="80">
        <v>3059</v>
      </c>
      <c r="AN60" s="80">
        <v>0</v>
      </c>
      <c r="AO60" s="80">
        <v>0</v>
      </c>
      <c r="AP60" s="80">
        <v>0</v>
      </c>
      <c r="AQ60" s="80">
        <v>0</v>
      </c>
      <c r="AR60" s="80">
        <v>-522</v>
      </c>
      <c r="AS60" s="80">
        <v>0</v>
      </c>
      <c r="AT60" s="80">
        <v>0</v>
      </c>
      <c r="AU60" s="80">
        <v>0</v>
      </c>
      <c r="AV60" s="80">
        <v>-522</v>
      </c>
      <c r="AW60" s="81"/>
      <c r="AX60" s="80">
        <v>1951</v>
      </c>
      <c r="AY60" s="80">
        <v>2537</v>
      </c>
      <c r="AZ60" s="80">
        <v>0</v>
      </c>
      <c r="BA60" s="80">
        <v>-586</v>
      </c>
      <c r="BB60" s="80">
        <v>-3284</v>
      </c>
      <c r="BC60" s="80">
        <v>4250</v>
      </c>
      <c r="BD60" s="80">
        <v>0</v>
      </c>
      <c r="BE60" s="80">
        <v>966</v>
      </c>
      <c r="BF60" s="80">
        <v>-1333</v>
      </c>
      <c r="BG60" s="80">
        <v>1650</v>
      </c>
      <c r="BH60" s="80">
        <v>131</v>
      </c>
      <c r="BI60" s="80">
        <v>0</v>
      </c>
      <c r="BJ60" s="80">
        <v>131</v>
      </c>
      <c r="BK60" s="80">
        <v>565</v>
      </c>
      <c r="BL60" s="80">
        <v>3500</v>
      </c>
      <c r="BM60" s="80">
        <v>3876</v>
      </c>
      <c r="BN60" s="80">
        <v>941</v>
      </c>
      <c r="BO60" s="80">
        <v>0</v>
      </c>
      <c r="BP60" s="80">
        <v>954</v>
      </c>
      <c r="BQ60" s="80">
        <v>6</v>
      </c>
      <c r="BR60" s="80">
        <v>18</v>
      </c>
      <c r="BS60" s="80">
        <v>151</v>
      </c>
      <c r="BT60" s="80">
        <v>779</v>
      </c>
      <c r="BU60" s="80">
        <v>318</v>
      </c>
      <c r="BV60" s="80">
        <v>386</v>
      </c>
      <c r="BW60" s="80">
        <v>68</v>
      </c>
      <c r="BX60" s="81"/>
      <c r="BY60" s="80">
        <v>88803</v>
      </c>
      <c r="BZ60" s="80">
        <v>285</v>
      </c>
      <c r="CA60" s="80">
        <v>83</v>
      </c>
      <c r="CB60" s="80">
        <v>202</v>
      </c>
      <c r="CC60" s="80">
        <v>0</v>
      </c>
      <c r="CD60" s="80">
        <v>75754</v>
      </c>
      <c r="CE60" s="80">
        <v>10018</v>
      </c>
      <c r="CF60" s="80">
        <v>45424</v>
      </c>
      <c r="CG60" s="80">
        <v>19092</v>
      </c>
      <c r="CH60" s="80">
        <v>239</v>
      </c>
      <c r="CI60" s="80">
        <v>32</v>
      </c>
      <c r="CJ60" s="80">
        <v>0</v>
      </c>
      <c r="CK60" s="80">
        <v>949</v>
      </c>
      <c r="CL60" s="80">
        <v>12764</v>
      </c>
      <c r="CM60" s="80">
        <v>10924</v>
      </c>
      <c r="CN60" s="80">
        <v>6157</v>
      </c>
      <c r="CO60" s="80">
        <v>4767</v>
      </c>
      <c r="CP60" s="80">
        <v>0</v>
      </c>
      <c r="CQ60" s="80">
        <v>1575</v>
      </c>
      <c r="CR60" s="80">
        <v>0</v>
      </c>
      <c r="CS60" s="80">
        <v>0</v>
      </c>
      <c r="CT60" s="80">
        <v>1575</v>
      </c>
      <c r="CU60" s="80">
        <v>265</v>
      </c>
      <c r="CV60" s="80">
        <v>101</v>
      </c>
      <c r="CW60" s="80">
        <v>54</v>
      </c>
      <c r="CX60" s="80">
        <v>47</v>
      </c>
      <c r="CY60" s="80">
        <v>0</v>
      </c>
      <c r="CZ60" s="80">
        <v>3811</v>
      </c>
      <c r="DA60" s="80">
        <v>321</v>
      </c>
      <c r="DB60" s="80">
        <v>321</v>
      </c>
      <c r="DC60" s="80">
        <v>0</v>
      </c>
      <c r="DD60" s="80">
        <v>0</v>
      </c>
      <c r="DE60" s="80">
        <v>0</v>
      </c>
      <c r="DF60" s="80">
        <v>0</v>
      </c>
      <c r="DG60" s="80">
        <v>3104</v>
      </c>
      <c r="DH60" s="80">
        <v>0</v>
      </c>
      <c r="DI60" s="80">
        <v>0</v>
      </c>
      <c r="DJ60" s="80">
        <v>0</v>
      </c>
      <c r="DK60" s="80">
        <v>0</v>
      </c>
      <c r="DL60" s="80">
        <v>0</v>
      </c>
      <c r="DM60" s="80">
        <v>3104</v>
      </c>
      <c r="DN60" s="80">
        <v>1891</v>
      </c>
      <c r="DO60" s="80">
        <v>688</v>
      </c>
      <c r="DP60" s="80">
        <v>463</v>
      </c>
      <c r="DQ60" s="80">
        <v>62</v>
      </c>
      <c r="DR60" s="80">
        <v>0</v>
      </c>
      <c r="DS60" s="80">
        <v>0</v>
      </c>
      <c r="DT60" s="80">
        <v>0</v>
      </c>
      <c r="DU60" s="80">
        <v>0</v>
      </c>
      <c r="DV60" s="80">
        <v>0</v>
      </c>
      <c r="DW60" s="80">
        <v>386</v>
      </c>
      <c r="DX60" s="80">
        <v>92715</v>
      </c>
      <c r="DY60" s="80">
        <v>38243</v>
      </c>
      <c r="DZ60" s="80">
        <v>30200</v>
      </c>
      <c r="EA60" s="80">
        <v>0</v>
      </c>
      <c r="EB60" s="80">
        <v>820</v>
      </c>
      <c r="EC60" s="80">
        <v>7745</v>
      </c>
      <c r="ED60" s="80">
        <v>-522</v>
      </c>
      <c r="EE60" s="80">
        <v>0</v>
      </c>
      <c r="EF60" s="80">
        <v>0</v>
      </c>
      <c r="EG60" s="80">
        <v>0</v>
      </c>
      <c r="EH60" s="80">
        <v>0</v>
      </c>
      <c r="EI60" s="80">
        <v>0</v>
      </c>
      <c r="EJ60" s="80">
        <v>0</v>
      </c>
      <c r="EK60" s="80">
        <v>75</v>
      </c>
      <c r="EL60" s="80">
        <v>12</v>
      </c>
      <c r="EM60" s="80">
        <v>47</v>
      </c>
      <c r="EN60" s="80">
        <v>16</v>
      </c>
      <c r="EO60" s="80">
        <v>54396</v>
      </c>
      <c r="EP60" s="80">
        <v>41670</v>
      </c>
      <c r="EQ60" s="80">
        <v>0</v>
      </c>
      <c r="ER60" s="80">
        <v>37703</v>
      </c>
      <c r="ES60" s="80">
        <v>10898</v>
      </c>
      <c r="ET60" s="80">
        <v>26805</v>
      </c>
      <c r="EU60" s="80">
        <v>0</v>
      </c>
      <c r="EV60" s="80">
        <v>0</v>
      </c>
      <c r="EW60" s="80">
        <v>3287</v>
      </c>
      <c r="EX60" s="80">
        <v>0</v>
      </c>
      <c r="EY60" s="80">
        <v>0</v>
      </c>
      <c r="EZ60" s="80">
        <v>0</v>
      </c>
      <c r="FA60" s="80">
        <v>680</v>
      </c>
      <c r="FB60" s="80">
        <v>0</v>
      </c>
      <c r="FC60" s="80">
        <v>0</v>
      </c>
      <c r="FD60" s="80">
        <v>12726</v>
      </c>
      <c r="FE60" s="80">
        <v>0</v>
      </c>
      <c r="FF60" s="80">
        <v>4612</v>
      </c>
      <c r="FG60" s="80">
        <v>2562</v>
      </c>
      <c r="FH60" s="80">
        <v>2050</v>
      </c>
      <c r="FI60" s="80">
        <v>0</v>
      </c>
      <c r="FJ60" s="80">
        <v>0</v>
      </c>
      <c r="FK60" s="80">
        <v>325</v>
      </c>
      <c r="FL60" s="80">
        <v>0</v>
      </c>
      <c r="FM60" s="80">
        <v>144</v>
      </c>
      <c r="FN60" s="80">
        <v>3999</v>
      </c>
      <c r="FO60" s="80">
        <v>636</v>
      </c>
      <c r="FP60" s="80">
        <v>3010</v>
      </c>
      <c r="FQ60" s="80">
        <v>92714</v>
      </c>
      <c r="FR60" s="80">
        <v>1714</v>
      </c>
      <c r="FS60" s="80">
        <v>5763</v>
      </c>
      <c r="FT60" s="100">
        <v>40207.365227223665</v>
      </c>
      <c r="FU60" s="100"/>
      <c r="FV60" s="100">
        <v>15140</v>
      </c>
      <c r="FW60" s="67">
        <v>2987</v>
      </c>
      <c r="FX60" s="100">
        <f t="shared" si="5"/>
        <v>-43720</v>
      </c>
      <c r="FY60" s="100">
        <f t="shared" si="6"/>
        <v>-59565</v>
      </c>
      <c r="FZ60" s="100">
        <v>38870.015679252741</v>
      </c>
      <c r="GA60" s="67">
        <v>15845</v>
      </c>
      <c r="GB60" s="58">
        <f t="shared" si="3"/>
        <v>705</v>
      </c>
      <c r="GC60" s="67">
        <v>3059</v>
      </c>
      <c r="GD60" s="100">
        <v>1420</v>
      </c>
      <c r="GE60" s="100">
        <v>1313</v>
      </c>
      <c r="GF60" s="58">
        <f t="shared" si="4"/>
        <v>107</v>
      </c>
      <c r="GG60" s="100">
        <v>-20777.071</v>
      </c>
      <c r="GH60" s="100">
        <v>-366.43225000000012</v>
      </c>
      <c r="GI60" s="100">
        <v>-17779.341496144465</v>
      </c>
      <c r="GJ60" s="67">
        <f t="shared" si="7"/>
        <v>72</v>
      </c>
      <c r="GK60" s="67"/>
      <c r="GM60" s="96"/>
    </row>
    <row r="61" spans="1:195" ht="13.5" customHeight="1" x14ac:dyDescent="0.2">
      <c r="A61" s="74">
        <v>146</v>
      </c>
      <c r="B61" s="75" t="s">
        <v>241</v>
      </c>
      <c r="C61" s="82" t="s">
        <v>241</v>
      </c>
      <c r="D61" s="76"/>
      <c r="E61" s="77" t="s">
        <v>242</v>
      </c>
      <c r="F61" s="78">
        <v>3</v>
      </c>
      <c r="G61" s="79">
        <v>5336</v>
      </c>
      <c r="H61" s="80">
        <v>7838</v>
      </c>
      <c r="I61" s="80">
        <v>2823</v>
      </c>
      <c r="J61" s="80">
        <v>2730</v>
      </c>
      <c r="K61" s="80">
        <v>682</v>
      </c>
      <c r="L61" s="80">
        <v>1603</v>
      </c>
      <c r="M61" s="80">
        <v>0</v>
      </c>
      <c r="N61" s="80">
        <v>267</v>
      </c>
      <c r="O61" s="80">
        <v>47070</v>
      </c>
      <c r="P61" s="80">
        <v>22273</v>
      </c>
      <c r="Q61" s="80">
        <v>16737</v>
      </c>
      <c r="R61" s="80">
        <v>5536</v>
      </c>
      <c r="S61" s="80">
        <v>4660</v>
      </c>
      <c r="T61" s="80">
        <v>876</v>
      </c>
      <c r="U61" s="80">
        <v>19284</v>
      </c>
      <c r="V61" s="80">
        <v>2782</v>
      </c>
      <c r="W61" s="80">
        <v>2029</v>
      </c>
      <c r="X61" s="80">
        <v>702</v>
      </c>
      <c r="Y61" s="80">
        <v>-38965</v>
      </c>
      <c r="Z61" s="80">
        <v>18491</v>
      </c>
      <c r="AA61" s="80">
        <v>14038</v>
      </c>
      <c r="AB61" s="80">
        <v>3155</v>
      </c>
      <c r="AC61" s="80">
        <v>1298</v>
      </c>
      <c r="AD61" s="80">
        <v>21931</v>
      </c>
      <c r="AE61" s="80">
        <v>288</v>
      </c>
      <c r="AF61" s="80">
        <v>9</v>
      </c>
      <c r="AG61" s="80">
        <v>437</v>
      </c>
      <c r="AH61" s="80">
        <v>121</v>
      </c>
      <c r="AI61" s="80">
        <v>152</v>
      </c>
      <c r="AJ61" s="80">
        <v>6</v>
      </c>
      <c r="AK61" s="80">
        <v>1745</v>
      </c>
      <c r="AL61" s="80">
        <v>1770</v>
      </c>
      <c r="AM61" s="80">
        <v>1770</v>
      </c>
      <c r="AN61" s="80">
        <v>0</v>
      </c>
      <c r="AO61" s="80">
        <v>0</v>
      </c>
      <c r="AP61" s="80">
        <v>0</v>
      </c>
      <c r="AQ61" s="80">
        <v>0</v>
      </c>
      <c r="AR61" s="80">
        <v>-25</v>
      </c>
      <c r="AS61" s="80">
        <v>49</v>
      </c>
      <c r="AT61" s="80">
        <v>0</v>
      </c>
      <c r="AU61" s="80">
        <v>0</v>
      </c>
      <c r="AV61" s="80">
        <v>24</v>
      </c>
      <c r="AW61" s="81"/>
      <c r="AX61" s="80">
        <v>1714</v>
      </c>
      <c r="AY61" s="80">
        <v>1745</v>
      </c>
      <c r="AZ61" s="80">
        <v>0</v>
      </c>
      <c r="BA61" s="80">
        <v>-31</v>
      </c>
      <c r="BB61" s="80">
        <v>-4571</v>
      </c>
      <c r="BC61" s="80">
        <v>5282</v>
      </c>
      <c r="BD61" s="80">
        <v>620</v>
      </c>
      <c r="BE61" s="80">
        <v>91</v>
      </c>
      <c r="BF61" s="80">
        <v>-2857</v>
      </c>
      <c r="BG61" s="80">
        <v>608</v>
      </c>
      <c r="BH61" s="80">
        <v>30</v>
      </c>
      <c r="BI61" s="80">
        <v>0</v>
      </c>
      <c r="BJ61" s="80">
        <v>30</v>
      </c>
      <c r="BK61" s="80">
        <v>-683</v>
      </c>
      <c r="BL61" s="80">
        <v>885</v>
      </c>
      <c r="BM61" s="80">
        <v>1568</v>
      </c>
      <c r="BN61" s="80">
        <v>0</v>
      </c>
      <c r="BO61" s="80">
        <v>0</v>
      </c>
      <c r="BP61" s="80">
        <v>1261</v>
      </c>
      <c r="BQ61" s="80">
        <v>-25</v>
      </c>
      <c r="BR61" s="80">
        <v>39</v>
      </c>
      <c r="BS61" s="80">
        <v>802</v>
      </c>
      <c r="BT61" s="80">
        <v>445</v>
      </c>
      <c r="BU61" s="80">
        <v>-2250</v>
      </c>
      <c r="BV61" s="80">
        <v>1854</v>
      </c>
      <c r="BW61" s="80">
        <v>4104</v>
      </c>
      <c r="BX61" s="81"/>
      <c r="BY61" s="80">
        <v>36042</v>
      </c>
      <c r="BZ61" s="80">
        <v>613</v>
      </c>
      <c r="CA61" s="80">
        <v>0</v>
      </c>
      <c r="CB61" s="80">
        <v>613</v>
      </c>
      <c r="CC61" s="80">
        <v>0</v>
      </c>
      <c r="CD61" s="80">
        <v>26189</v>
      </c>
      <c r="CE61" s="80">
        <v>3545</v>
      </c>
      <c r="CF61" s="80">
        <v>12852</v>
      </c>
      <c r="CG61" s="80">
        <v>3441</v>
      </c>
      <c r="CH61" s="80">
        <v>646</v>
      </c>
      <c r="CI61" s="80">
        <v>0</v>
      </c>
      <c r="CJ61" s="80">
        <v>0</v>
      </c>
      <c r="CK61" s="80">
        <v>5705</v>
      </c>
      <c r="CL61" s="80">
        <v>9240</v>
      </c>
      <c r="CM61" s="80">
        <v>8086</v>
      </c>
      <c r="CN61" s="80">
        <v>1432</v>
      </c>
      <c r="CO61" s="80">
        <v>6654</v>
      </c>
      <c r="CP61" s="80">
        <v>0</v>
      </c>
      <c r="CQ61" s="80">
        <v>1017</v>
      </c>
      <c r="CR61" s="80">
        <v>0</v>
      </c>
      <c r="CS61" s="80">
        <v>0</v>
      </c>
      <c r="CT61" s="80">
        <v>1017</v>
      </c>
      <c r="CU61" s="80">
        <v>137</v>
      </c>
      <c r="CV61" s="80">
        <v>169</v>
      </c>
      <c r="CW61" s="80">
        <v>17</v>
      </c>
      <c r="CX61" s="80">
        <v>0</v>
      </c>
      <c r="CY61" s="80">
        <v>152</v>
      </c>
      <c r="CZ61" s="80">
        <v>4052</v>
      </c>
      <c r="DA61" s="80">
        <v>82</v>
      </c>
      <c r="DB61" s="80">
        <v>76</v>
      </c>
      <c r="DC61" s="80">
        <v>0</v>
      </c>
      <c r="DD61" s="80">
        <v>0</v>
      </c>
      <c r="DE61" s="80">
        <v>0</v>
      </c>
      <c r="DF61" s="80">
        <v>6</v>
      </c>
      <c r="DG61" s="80">
        <v>2116</v>
      </c>
      <c r="DH61" s="80">
        <v>637</v>
      </c>
      <c r="DI61" s="80">
        <v>0</v>
      </c>
      <c r="DJ61" s="80">
        <v>637</v>
      </c>
      <c r="DK61" s="80">
        <v>0</v>
      </c>
      <c r="DL61" s="80">
        <v>0</v>
      </c>
      <c r="DM61" s="80">
        <v>1479</v>
      </c>
      <c r="DN61" s="80">
        <v>797</v>
      </c>
      <c r="DO61" s="80">
        <v>42</v>
      </c>
      <c r="DP61" s="80">
        <v>310</v>
      </c>
      <c r="DQ61" s="80">
        <v>330</v>
      </c>
      <c r="DR61" s="80">
        <v>46</v>
      </c>
      <c r="DS61" s="80">
        <v>46</v>
      </c>
      <c r="DT61" s="80">
        <v>0</v>
      </c>
      <c r="DU61" s="80">
        <v>0</v>
      </c>
      <c r="DV61" s="80">
        <v>0</v>
      </c>
      <c r="DW61" s="80">
        <v>1808</v>
      </c>
      <c r="DX61" s="80">
        <v>40263</v>
      </c>
      <c r="DY61" s="80">
        <v>24985</v>
      </c>
      <c r="DZ61" s="80">
        <v>19617</v>
      </c>
      <c r="EA61" s="80">
        <v>0</v>
      </c>
      <c r="EB61" s="80">
        <v>0</v>
      </c>
      <c r="EC61" s="80">
        <v>5344</v>
      </c>
      <c r="ED61" s="80">
        <v>24</v>
      </c>
      <c r="EE61" s="80">
        <v>516</v>
      </c>
      <c r="EF61" s="80">
        <v>516</v>
      </c>
      <c r="EG61" s="80">
        <v>0</v>
      </c>
      <c r="EH61" s="80">
        <v>0</v>
      </c>
      <c r="EI61" s="80">
        <v>0</v>
      </c>
      <c r="EJ61" s="80">
        <v>0</v>
      </c>
      <c r="EK61" s="80">
        <v>190</v>
      </c>
      <c r="EL61" s="80">
        <v>38</v>
      </c>
      <c r="EM61" s="80">
        <v>0</v>
      </c>
      <c r="EN61" s="80">
        <v>152</v>
      </c>
      <c r="EO61" s="80">
        <v>14572</v>
      </c>
      <c r="EP61" s="80">
        <v>6839</v>
      </c>
      <c r="EQ61" s="80">
        <v>0</v>
      </c>
      <c r="ER61" s="80">
        <v>4749</v>
      </c>
      <c r="ES61" s="80">
        <v>4649</v>
      </c>
      <c r="ET61" s="80">
        <v>100</v>
      </c>
      <c r="EU61" s="80">
        <v>0</v>
      </c>
      <c r="EV61" s="80">
        <v>0</v>
      </c>
      <c r="EW61" s="80">
        <v>1811</v>
      </c>
      <c r="EX61" s="80">
        <v>0</v>
      </c>
      <c r="EY61" s="80">
        <v>0</v>
      </c>
      <c r="EZ61" s="80">
        <v>0</v>
      </c>
      <c r="FA61" s="80">
        <v>279</v>
      </c>
      <c r="FB61" s="80">
        <v>0</v>
      </c>
      <c r="FC61" s="80">
        <v>0</v>
      </c>
      <c r="FD61" s="80">
        <v>7733</v>
      </c>
      <c r="FE61" s="80">
        <v>0</v>
      </c>
      <c r="FF61" s="80">
        <v>1083</v>
      </c>
      <c r="FG61" s="80">
        <v>684</v>
      </c>
      <c r="FH61" s="80">
        <v>399</v>
      </c>
      <c r="FI61" s="80">
        <v>0</v>
      </c>
      <c r="FJ61" s="80">
        <v>0</v>
      </c>
      <c r="FK61" s="80">
        <v>356</v>
      </c>
      <c r="FL61" s="80">
        <v>0</v>
      </c>
      <c r="FM61" s="80">
        <v>22</v>
      </c>
      <c r="FN61" s="80">
        <v>2516</v>
      </c>
      <c r="FO61" s="80">
        <v>448</v>
      </c>
      <c r="FP61" s="80">
        <v>3308</v>
      </c>
      <c r="FQ61" s="80">
        <v>40263</v>
      </c>
      <c r="FR61" s="80">
        <v>8050</v>
      </c>
      <c r="FS61" s="80">
        <v>497</v>
      </c>
      <c r="FT61" s="100">
        <v>19837.799034434887</v>
      </c>
      <c r="FU61" s="100"/>
      <c r="FV61" s="100">
        <v>7572</v>
      </c>
      <c r="FW61" s="67">
        <v>1651</v>
      </c>
      <c r="FX61" s="100">
        <f t="shared" si="5"/>
        <v>-25356</v>
      </c>
      <c r="FY61" s="100">
        <f t="shared" si="6"/>
        <v>-37195</v>
      </c>
      <c r="FZ61" s="100">
        <v>25784.327283744518</v>
      </c>
      <c r="GA61" s="67">
        <v>11839</v>
      </c>
      <c r="GB61" s="58">
        <f t="shared" si="3"/>
        <v>4267</v>
      </c>
      <c r="GC61" s="67">
        <v>1772</v>
      </c>
      <c r="GD61" s="100">
        <v>2727</v>
      </c>
      <c r="GE61" s="100">
        <v>474</v>
      </c>
      <c r="GF61" s="58">
        <f t="shared" si="4"/>
        <v>2253</v>
      </c>
      <c r="GG61" s="100">
        <v>-8155.2680000000009</v>
      </c>
      <c r="GH61" s="100">
        <v>-971.70735000000059</v>
      </c>
      <c r="GI61" s="100">
        <v>-17575.445543977381</v>
      </c>
      <c r="GJ61" s="67">
        <f t="shared" si="7"/>
        <v>121</v>
      </c>
      <c r="GK61" s="67"/>
      <c r="GM61" s="96"/>
    </row>
    <row r="62" spans="1:195" ht="13.5" customHeight="1" x14ac:dyDescent="0.2">
      <c r="A62" s="74">
        <v>153</v>
      </c>
      <c r="B62" s="75" t="s">
        <v>36</v>
      </c>
      <c r="C62" s="75" t="s">
        <v>36</v>
      </c>
      <c r="D62" s="76"/>
      <c r="E62" s="77" t="s">
        <v>243</v>
      </c>
      <c r="F62" s="78">
        <v>5</v>
      </c>
      <c r="G62" s="79">
        <v>27835</v>
      </c>
      <c r="H62" s="80">
        <v>31035</v>
      </c>
      <c r="I62" s="80">
        <v>10874</v>
      </c>
      <c r="J62" s="80">
        <v>10141</v>
      </c>
      <c r="K62" s="80">
        <v>4200</v>
      </c>
      <c r="L62" s="80">
        <v>5820</v>
      </c>
      <c r="M62" s="80">
        <v>0</v>
      </c>
      <c r="N62" s="80">
        <v>0</v>
      </c>
      <c r="O62" s="80">
        <v>175318</v>
      </c>
      <c r="P62" s="80">
        <v>74694</v>
      </c>
      <c r="Q62" s="80">
        <v>55776</v>
      </c>
      <c r="R62" s="80">
        <v>18918</v>
      </c>
      <c r="S62" s="80">
        <v>15756</v>
      </c>
      <c r="T62" s="80">
        <v>3162</v>
      </c>
      <c r="U62" s="80">
        <v>73485</v>
      </c>
      <c r="V62" s="80">
        <v>8329</v>
      </c>
      <c r="W62" s="80">
        <v>8311</v>
      </c>
      <c r="X62" s="80">
        <v>10499</v>
      </c>
      <c r="Y62" s="80">
        <v>-144283</v>
      </c>
      <c r="Z62" s="80">
        <v>107621</v>
      </c>
      <c r="AA62" s="80">
        <v>93785</v>
      </c>
      <c r="AB62" s="80">
        <v>4831</v>
      </c>
      <c r="AC62" s="80">
        <v>9005</v>
      </c>
      <c r="AD62" s="80">
        <v>49046</v>
      </c>
      <c r="AE62" s="80">
        <v>-451</v>
      </c>
      <c r="AF62" s="80">
        <v>596</v>
      </c>
      <c r="AG62" s="80">
        <v>330</v>
      </c>
      <c r="AH62" s="80">
        <v>0</v>
      </c>
      <c r="AI62" s="80">
        <v>1227</v>
      </c>
      <c r="AJ62" s="80">
        <v>150</v>
      </c>
      <c r="AK62" s="80">
        <v>11933</v>
      </c>
      <c r="AL62" s="80">
        <v>8437</v>
      </c>
      <c r="AM62" s="80">
        <v>8437</v>
      </c>
      <c r="AN62" s="80">
        <v>0</v>
      </c>
      <c r="AO62" s="80">
        <v>0</v>
      </c>
      <c r="AP62" s="80">
        <v>0</v>
      </c>
      <c r="AQ62" s="80">
        <v>0</v>
      </c>
      <c r="AR62" s="80">
        <v>3496</v>
      </c>
      <c r="AS62" s="80">
        <v>0</v>
      </c>
      <c r="AT62" s="80">
        <v>0</v>
      </c>
      <c r="AU62" s="80">
        <v>-140</v>
      </c>
      <c r="AV62" s="80">
        <v>3356</v>
      </c>
      <c r="AW62" s="81"/>
      <c r="AX62" s="80">
        <v>11678</v>
      </c>
      <c r="AY62" s="80">
        <v>11933</v>
      </c>
      <c r="AZ62" s="80">
        <v>0</v>
      </c>
      <c r="BA62" s="80">
        <v>-255</v>
      </c>
      <c r="BB62" s="80">
        <v>-21573</v>
      </c>
      <c r="BC62" s="80">
        <v>26567</v>
      </c>
      <c r="BD62" s="80">
        <v>933</v>
      </c>
      <c r="BE62" s="80">
        <v>4061</v>
      </c>
      <c r="BF62" s="80">
        <v>-9895</v>
      </c>
      <c r="BG62" s="80">
        <v>14223</v>
      </c>
      <c r="BH62" s="80">
        <v>0</v>
      </c>
      <c r="BI62" s="80">
        <v>0</v>
      </c>
      <c r="BJ62" s="80">
        <v>0</v>
      </c>
      <c r="BK62" s="80">
        <v>14285</v>
      </c>
      <c r="BL62" s="80">
        <v>27000</v>
      </c>
      <c r="BM62" s="80">
        <v>12715</v>
      </c>
      <c r="BN62" s="80">
        <v>0</v>
      </c>
      <c r="BO62" s="80">
        <v>0</v>
      </c>
      <c r="BP62" s="80">
        <v>-62</v>
      </c>
      <c r="BQ62" s="80">
        <v>-8</v>
      </c>
      <c r="BR62" s="80">
        <v>1</v>
      </c>
      <c r="BS62" s="80">
        <v>-2523</v>
      </c>
      <c r="BT62" s="80">
        <v>2468</v>
      </c>
      <c r="BU62" s="80">
        <v>4327</v>
      </c>
      <c r="BV62" s="80">
        <v>14247</v>
      </c>
      <c r="BW62" s="80">
        <v>9920</v>
      </c>
      <c r="BX62" s="81"/>
      <c r="BY62" s="80">
        <v>199078</v>
      </c>
      <c r="BZ62" s="80">
        <v>1999</v>
      </c>
      <c r="CA62" s="80">
        <v>166</v>
      </c>
      <c r="CB62" s="80">
        <v>1833</v>
      </c>
      <c r="CC62" s="80">
        <v>0</v>
      </c>
      <c r="CD62" s="80">
        <v>116215</v>
      </c>
      <c r="CE62" s="80">
        <v>27573</v>
      </c>
      <c r="CF62" s="80">
        <v>22934</v>
      </c>
      <c r="CG62" s="80">
        <v>61659</v>
      </c>
      <c r="CH62" s="80">
        <v>876</v>
      </c>
      <c r="CI62" s="80">
        <v>663</v>
      </c>
      <c r="CJ62" s="80">
        <v>663</v>
      </c>
      <c r="CK62" s="80">
        <v>2510</v>
      </c>
      <c r="CL62" s="80">
        <v>80864</v>
      </c>
      <c r="CM62" s="80">
        <v>80864</v>
      </c>
      <c r="CN62" s="80">
        <v>7793</v>
      </c>
      <c r="CO62" s="80">
        <v>73071</v>
      </c>
      <c r="CP62" s="80">
        <v>0</v>
      </c>
      <c r="CQ62" s="80">
        <v>0</v>
      </c>
      <c r="CR62" s="80">
        <v>0</v>
      </c>
      <c r="CS62" s="80">
        <v>0</v>
      </c>
      <c r="CT62" s="80">
        <v>0</v>
      </c>
      <c r="CU62" s="80">
        <v>0</v>
      </c>
      <c r="CV62" s="80">
        <v>25</v>
      </c>
      <c r="CW62" s="80">
        <v>0</v>
      </c>
      <c r="CX62" s="80">
        <v>25</v>
      </c>
      <c r="CY62" s="80">
        <v>0</v>
      </c>
      <c r="CZ62" s="80">
        <v>28541</v>
      </c>
      <c r="DA62" s="80">
        <v>27</v>
      </c>
      <c r="DB62" s="80">
        <v>27</v>
      </c>
      <c r="DC62" s="80">
        <v>0</v>
      </c>
      <c r="DD62" s="80">
        <v>0</v>
      </c>
      <c r="DE62" s="80">
        <v>0</v>
      </c>
      <c r="DF62" s="80">
        <v>0</v>
      </c>
      <c r="DG62" s="80">
        <v>14267</v>
      </c>
      <c r="DH62" s="80">
        <v>7820</v>
      </c>
      <c r="DI62" s="80">
        <v>0</v>
      </c>
      <c r="DJ62" s="80">
        <v>7559</v>
      </c>
      <c r="DK62" s="80">
        <v>261</v>
      </c>
      <c r="DL62" s="80">
        <v>0</v>
      </c>
      <c r="DM62" s="80">
        <v>6447</v>
      </c>
      <c r="DN62" s="80">
        <v>3749</v>
      </c>
      <c r="DO62" s="80">
        <v>185</v>
      </c>
      <c r="DP62" s="80">
        <v>1044</v>
      </c>
      <c r="DQ62" s="80">
        <v>1469</v>
      </c>
      <c r="DR62" s="80">
        <v>0</v>
      </c>
      <c r="DS62" s="80">
        <v>0</v>
      </c>
      <c r="DT62" s="80">
        <v>0</v>
      </c>
      <c r="DU62" s="80">
        <v>0</v>
      </c>
      <c r="DV62" s="80">
        <v>0</v>
      </c>
      <c r="DW62" s="80">
        <v>14247</v>
      </c>
      <c r="DX62" s="80">
        <v>227644</v>
      </c>
      <c r="DY62" s="80">
        <v>131997</v>
      </c>
      <c r="DZ62" s="80">
        <v>74863</v>
      </c>
      <c r="EA62" s="80">
        <v>0</v>
      </c>
      <c r="EB62" s="80">
        <v>3505</v>
      </c>
      <c r="EC62" s="80">
        <v>50273</v>
      </c>
      <c r="ED62" s="80">
        <v>3356</v>
      </c>
      <c r="EE62" s="80">
        <v>0</v>
      </c>
      <c r="EF62" s="80">
        <v>0</v>
      </c>
      <c r="EG62" s="80">
        <v>0</v>
      </c>
      <c r="EH62" s="80">
        <v>0</v>
      </c>
      <c r="EI62" s="80">
        <v>0</v>
      </c>
      <c r="EJ62" s="80">
        <v>0</v>
      </c>
      <c r="EK62" s="80">
        <v>97</v>
      </c>
      <c r="EL62" s="80">
        <v>72</v>
      </c>
      <c r="EM62" s="80">
        <v>25</v>
      </c>
      <c r="EN62" s="80">
        <v>0</v>
      </c>
      <c r="EO62" s="80">
        <v>95551</v>
      </c>
      <c r="EP62" s="80">
        <v>52962</v>
      </c>
      <c r="EQ62" s="80">
        <v>0</v>
      </c>
      <c r="ER62" s="80">
        <v>47763</v>
      </c>
      <c r="ES62" s="80">
        <v>13200</v>
      </c>
      <c r="ET62" s="80">
        <v>34520</v>
      </c>
      <c r="EU62" s="80">
        <v>43</v>
      </c>
      <c r="EV62" s="80">
        <v>0</v>
      </c>
      <c r="EW62" s="80">
        <v>91</v>
      </c>
      <c r="EX62" s="80">
        <v>0</v>
      </c>
      <c r="EY62" s="80">
        <v>0</v>
      </c>
      <c r="EZ62" s="80">
        <v>0</v>
      </c>
      <c r="FA62" s="80">
        <v>5108</v>
      </c>
      <c r="FB62" s="80">
        <v>0</v>
      </c>
      <c r="FC62" s="80">
        <v>0</v>
      </c>
      <c r="FD62" s="80">
        <v>42589</v>
      </c>
      <c r="FE62" s="80">
        <v>0</v>
      </c>
      <c r="FF62" s="80">
        <v>12901</v>
      </c>
      <c r="FG62" s="80">
        <v>3900</v>
      </c>
      <c r="FH62" s="80">
        <v>8973</v>
      </c>
      <c r="FI62" s="80">
        <v>28</v>
      </c>
      <c r="FJ62" s="80">
        <v>0</v>
      </c>
      <c r="FK62" s="80">
        <v>15</v>
      </c>
      <c r="FL62" s="80">
        <v>0</v>
      </c>
      <c r="FM62" s="80">
        <v>27</v>
      </c>
      <c r="FN62" s="80">
        <v>12307</v>
      </c>
      <c r="FO62" s="80">
        <v>1554</v>
      </c>
      <c r="FP62" s="80">
        <v>15785</v>
      </c>
      <c r="FQ62" s="80">
        <v>227645</v>
      </c>
      <c r="FR62" s="80">
        <v>102150</v>
      </c>
      <c r="FS62" s="80">
        <v>2005</v>
      </c>
      <c r="FT62" s="100">
        <v>88436.954240595194</v>
      </c>
      <c r="FU62" s="100"/>
      <c r="FV62" s="100">
        <v>31271</v>
      </c>
      <c r="FW62" s="67">
        <v>8141</v>
      </c>
      <c r="FX62" s="100">
        <f t="shared" si="5"/>
        <v>-91541</v>
      </c>
      <c r="FY62" s="100">
        <f t="shared" si="6"/>
        <v>-135846</v>
      </c>
      <c r="FZ62" s="100">
        <v>87862.492468437646</v>
      </c>
      <c r="GA62" s="67">
        <v>44305</v>
      </c>
      <c r="GB62" s="58">
        <f t="shared" si="3"/>
        <v>13034</v>
      </c>
      <c r="GC62" s="67">
        <v>8439</v>
      </c>
      <c r="GD62" s="100">
        <v>9980</v>
      </c>
      <c r="GE62" s="100">
        <v>2340</v>
      </c>
      <c r="GF62" s="58">
        <f t="shared" si="4"/>
        <v>7640</v>
      </c>
      <c r="GG62" s="100">
        <v>-57217.239000000001</v>
      </c>
      <c r="GH62" s="100">
        <v>-1252.5367500000004</v>
      </c>
      <c r="GI62" s="100">
        <v>-30275.126415054667</v>
      </c>
      <c r="GJ62" s="67">
        <f t="shared" si="7"/>
        <v>298</v>
      </c>
      <c r="GK62" s="67"/>
      <c r="GM62" s="96"/>
    </row>
    <row r="63" spans="1:195" ht="13.5" customHeight="1" x14ac:dyDescent="0.2">
      <c r="A63" s="74">
        <v>149</v>
      </c>
      <c r="B63" s="75" t="s">
        <v>245</v>
      </c>
      <c r="C63" s="82" t="s">
        <v>245</v>
      </c>
      <c r="D63" s="76"/>
      <c r="E63" s="77" t="s">
        <v>218</v>
      </c>
      <c r="F63" s="78">
        <v>3</v>
      </c>
      <c r="G63" s="79">
        <v>5541</v>
      </c>
      <c r="H63" s="80">
        <v>4944</v>
      </c>
      <c r="I63" s="80">
        <v>2209</v>
      </c>
      <c r="J63" s="80">
        <v>1053</v>
      </c>
      <c r="K63" s="80">
        <v>278</v>
      </c>
      <c r="L63" s="80">
        <v>1404</v>
      </c>
      <c r="M63" s="80">
        <v>0</v>
      </c>
      <c r="N63" s="80">
        <v>0</v>
      </c>
      <c r="O63" s="80">
        <v>33966</v>
      </c>
      <c r="P63" s="80">
        <v>12016</v>
      </c>
      <c r="Q63" s="80">
        <v>9049</v>
      </c>
      <c r="R63" s="80">
        <v>2967</v>
      </c>
      <c r="S63" s="80">
        <v>2391</v>
      </c>
      <c r="T63" s="80">
        <v>576</v>
      </c>
      <c r="U63" s="80">
        <v>18671</v>
      </c>
      <c r="V63" s="80">
        <v>1256</v>
      </c>
      <c r="W63" s="80">
        <v>1694</v>
      </c>
      <c r="X63" s="80">
        <v>329</v>
      </c>
      <c r="Y63" s="80">
        <v>-29022</v>
      </c>
      <c r="Z63" s="80">
        <v>26367</v>
      </c>
      <c r="AA63" s="80">
        <v>21376</v>
      </c>
      <c r="AB63" s="80">
        <v>2069</v>
      </c>
      <c r="AC63" s="80">
        <v>2922</v>
      </c>
      <c r="AD63" s="80">
        <v>5060</v>
      </c>
      <c r="AE63" s="80">
        <v>-143</v>
      </c>
      <c r="AF63" s="80">
        <v>0</v>
      </c>
      <c r="AG63" s="80">
        <v>96</v>
      </c>
      <c r="AH63" s="80">
        <v>0</v>
      </c>
      <c r="AI63" s="80">
        <v>190</v>
      </c>
      <c r="AJ63" s="80">
        <v>49</v>
      </c>
      <c r="AK63" s="80">
        <v>2262</v>
      </c>
      <c r="AL63" s="80">
        <v>1440</v>
      </c>
      <c r="AM63" s="80">
        <v>1440</v>
      </c>
      <c r="AN63" s="80">
        <v>0</v>
      </c>
      <c r="AO63" s="80">
        <v>0</v>
      </c>
      <c r="AP63" s="80">
        <v>0</v>
      </c>
      <c r="AQ63" s="80">
        <v>0</v>
      </c>
      <c r="AR63" s="80">
        <v>822</v>
      </c>
      <c r="AS63" s="80">
        <v>0</v>
      </c>
      <c r="AT63" s="80">
        <v>-11</v>
      </c>
      <c r="AU63" s="80">
        <v>0</v>
      </c>
      <c r="AV63" s="80">
        <v>811</v>
      </c>
      <c r="AW63" s="81"/>
      <c r="AX63" s="80">
        <v>1505</v>
      </c>
      <c r="AY63" s="80">
        <v>2262</v>
      </c>
      <c r="AZ63" s="80">
        <v>0</v>
      </c>
      <c r="BA63" s="80">
        <v>-757</v>
      </c>
      <c r="BB63" s="80">
        <v>-1213</v>
      </c>
      <c r="BC63" s="80">
        <v>2276</v>
      </c>
      <c r="BD63" s="80">
        <v>171</v>
      </c>
      <c r="BE63" s="80">
        <v>892</v>
      </c>
      <c r="BF63" s="80">
        <v>292</v>
      </c>
      <c r="BG63" s="80">
        <v>315</v>
      </c>
      <c r="BH63" s="80">
        <v>0</v>
      </c>
      <c r="BI63" s="80">
        <v>0</v>
      </c>
      <c r="BJ63" s="80">
        <v>0</v>
      </c>
      <c r="BK63" s="80">
        <v>-108</v>
      </c>
      <c r="BL63" s="80">
        <v>2800</v>
      </c>
      <c r="BM63" s="80">
        <v>2508</v>
      </c>
      <c r="BN63" s="80">
        <v>-400</v>
      </c>
      <c r="BO63" s="80">
        <v>0</v>
      </c>
      <c r="BP63" s="80">
        <v>423</v>
      </c>
      <c r="BQ63" s="80">
        <v>8</v>
      </c>
      <c r="BR63" s="80">
        <v>-14</v>
      </c>
      <c r="BS63" s="80">
        <v>497</v>
      </c>
      <c r="BT63" s="80">
        <v>-68</v>
      </c>
      <c r="BU63" s="80">
        <v>605</v>
      </c>
      <c r="BV63" s="80">
        <v>1314</v>
      </c>
      <c r="BW63" s="80">
        <v>709</v>
      </c>
      <c r="BX63" s="81"/>
      <c r="BY63" s="80">
        <v>32601</v>
      </c>
      <c r="BZ63" s="80">
        <v>1067</v>
      </c>
      <c r="CA63" s="80">
        <v>104</v>
      </c>
      <c r="CB63" s="80">
        <v>963</v>
      </c>
      <c r="CC63" s="80">
        <v>0</v>
      </c>
      <c r="CD63" s="80">
        <v>28827</v>
      </c>
      <c r="CE63" s="80">
        <v>6045</v>
      </c>
      <c r="CF63" s="80">
        <v>18082</v>
      </c>
      <c r="CG63" s="80">
        <v>4157</v>
      </c>
      <c r="CH63" s="80">
        <v>261</v>
      </c>
      <c r="CI63" s="80">
        <v>0</v>
      </c>
      <c r="CJ63" s="80">
        <v>0</v>
      </c>
      <c r="CK63" s="80">
        <v>282</v>
      </c>
      <c r="CL63" s="80">
        <v>2707</v>
      </c>
      <c r="CM63" s="80">
        <v>2620</v>
      </c>
      <c r="CN63" s="80">
        <v>1845</v>
      </c>
      <c r="CO63" s="80">
        <v>775</v>
      </c>
      <c r="CP63" s="80">
        <v>0</v>
      </c>
      <c r="CQ63" s="80">
        <v>0</v>
      </c>
      <c r="CR63" s="80">
        <v>0</v>
      </c>
      <c r="CS63" s="80">
        <v>0</v>
      </c>
      <c r="CT63" s="80">
        <v>0</v>
      </c>
      <c r="CU63" s="80">
        <v>87</v>
      </c>
      <c r="CV63" s="80">
        <v>0</v>
      </c>
      <c r="CW63" s="80">
        <v>0</v>
      </c>
      <c r="CX63" s="80">
        <v>0</v>
      </c>
      <c r="CY63" s="80">
        <v>0</v>
      </c>
      <c r="CZ63" s="80">
        <v>3830</v>
      </c>
      <c r="DA63" s="80">
        <v>33</v>
      </c>
      <c r="DB63" s="80">
        <v>14</v>
      </c>
      <c r="DC63" s="80">
        <v>0</v>
      </c>
      <c r="DD63" s="80">
        <v>0</v>
      </c>
      <c r="DE63" s="80">
        <v>0</v>
      </c>
      <c r="DF63" s="80">
        <v>19</v>
      </c>
      <c r="DG63" s="80">
        <v>2483</v>
      </c>
      <c r="DH63" s="80">
        <v>380</v>
      </c>
      <c r="DI63" s="80">
        <v>0</v>
      </c>
      <c r="DJ63" s="80">
        <v>380</v>
      </c>
      <c r="DK63" s="80">
        <v>0</v>
      </c>
      <c r="DL63" s="80">
        <v>0</v>
      </c>
      <c r="DM63" s="80">
        <v>2103</v>
      </c>
      <c r="DN63" s="80">
        <v>539</v>
      </c>
      <c r="DO63" s="80">
        <v>0</v>
      </c>
      <c r="DP63" s="80">
        <v>1563</v>
      </c>
      <c r="DQ63" s="80">
        <v>1</v>
      </c>
      <c r="DR63" s="80">
        <v>0</v>
      </c>
      <c r="DS63" s="80">
        <v>0</v>
      </c>
      <c r="DT63" s="80">
        <v>0</v>
      </c>
      <c r="DU63" s="80">
        <v>0</v>
      </c>
      <c r="DV63" s="80">
        <v>0</v>
      </c>
      <c r="DW63" s="80">
        <v>1314</v>
      </c>
      <c r="DX63" s="80">
        <v>36431</v>
      </c>
      <c r="DY63" s="80">
        <v>14709</v>
      </c>
      <c r="DZ63" s="80">
        <v>7766</v>
      </c>
      <c r="EA63" s="80">
        <v>0</v>
      </c>
      <c r="EB63" s="80">
        <v>24</v>
      </c>
      <c r="EC63" s="80">
        <v>6109</v>
      </c>
      <c r="ED63" s="80">
        <v>810</v>
      </c>
      <c r="EE63" s="80">
        <v>30</v>
      </c>
      <c r="EF63" s="80">
        <v>0</v>
      </c>
      <c r="EG63" s="80">
        <v>30</v>
      </c>
      <c r="EH63" s="80">
        <v>0</v>
      </c>
      <c r="EI63" s="80">
        <v>0</v>
      </c>
      <c r="EJ63" s="80">
        <v>0</v>
      </c>
      <c r="EK63" s="80">
        <v>55</v>
      </c>
      <c r="EL63" s="80">
        <v>14</v>
      </c>
      <c r="EM63" s="80">
        <v>27</v>
      </c>
      <c r="EN63" s="80">
        <v>14</v>
      </c>
      <c r="EO63" s="80">
        <v>21637</v>
      </c>
      <c r="EP63" s="80">
        <v>12810</v>
      </c>
      <c r="EQ63" s="80">
        <v>0</v>
      </c>
      <c r="ER63" s="80">
        <v>12810</v>
      </c>
      <c r="ES63" s="80">
        <v>3610</v>
      </c>
      <c r="ET63" s="80">
        <v>9200</v>
      </c>
      <c r="EU63" s="80">
        <v>0</v>
      </c>
      <c r="EV63" s="80">
        <v>0</v>
      </c>
      <c r="EW63" s="80">
        <v>0</v>
      </c>
      <c r="EX63" s="80">
        <v>0</v>
      </c>
      <c r="EY63" s="80">
        <v>0</v>
      </c>
      <c r="EZ63" s="80">
        <v>0</v>
      </c>
      <c r="FA63" s="80">
        <v>0</v>
      </c>
      <c r="FB63" s="80">
        <v>0</v>
      </c>
      <c r="FC63" s="80">
        <v>0</v>
      </c>
      <c r="FD63" s="80">
        <v>8827</v>
      </c>
      <c r="FE63" s="80">
        <v>0</v>
      </c>
      <c r="FF63" s="80">
        <v>4763</v>
      </c>
      <c r="FG63" s="80">
        <v>2500</v>
      </c>
      <c r="FH63" s="80">
        <v>1635</v>
      </c>
      <c r="FI63" s="80">
        <v>628</v>
      </c>
      <c r="FJ63" s="80">
        <v>0</v>
      </c>
      <c r="FK63" s="80">
        <v>0</v>
      </c>
      <c r="FL63" s="80">
        <v>0</v>
      </c>
      <c r="FM63" s="80">
        <v>0</v>
      </c>
      <c r="FN63" s="80">
        <v>1369</v>
      </c>
      <c r="FO63" s="80">
        <v>1205</v>
      </c>
      <c r="FP63" s="80">
        <v>1490</v>
      </c>
      <c r="FQ63" s="80">
        <v>36431</v>
      </c>
      <c r="FR63" s="80">
        <v>0</v>
      </c>
      <c r="FS63" s="80">
        <v>521</v>
      </c>
      <c r="FT63" s="100">
        <v>17881.193985525308</v>
      </c>
      <c r="FU63" s="100"/>
      <c r="FV63" s="100">
        <v>4927</v>
      </c>
      <c r="FW63" s="67">
        <v>1395</v>
      </c>
      <c r="FX63" s="100">
        <f t="shared" si="5"/>
        <v>-21200</v>
      </c>
      <c r="FY63" s="100">
        <f t="shared" si="6"/>
        <v>-27582</v>
      </c>
      <c r="FZ63" s="100">
        <v>16529.845229428283</v>
      </c>
      <c r="GA63" s="67">
        <v>6382</v>
      </c>
      <c r="GB63" s="58">
        <f t="shared" si="3"/>
        <v>1455</v>
      </c>
      <c r="GC63" s="67">
        <v>1430</v>
      </c>
      <c r="GD63" s="100">
        <v>1534</v>
      </c>
      <c r="GE63" s="100">
        <v>1120</v>
      </c>
      <c r="GF63" s="58">
        <f t="shared" si="4"/>
        <v>414</v>
      </c>
      <c r="GG63" s="100">
        <v>-12508.164000000001</v>
      </c>
      <c r="GH63" s="100">
        <v>-426.28850000000011</v>
      </c>
      <c r="GI63" s="100">
        <v>-3656.5877585635935</v>
      </c>
      <c r="GJ63" s="67">
        <f t="shared" si="7"/>
        <v>35</v>
      </c>
      <c r="GK63" s="67"/>
      <c r="GM63" s="96"/>
    </row>
    <row r="64" spans="1:195" ht="13.5" customHeight="1" x14ac:dyDescent="0.2">
      <c r="A64" s="74">
        <v>598</v>
      </c>
      <c r="B64" s="75" t="s">
        <v>291</v>
      </c>
      <c r="C64" s="82" t="s">
        <v>291</v>
      </c>
      <c r="D64" s="76"/>
      <c r="E64" s="77" t="s">
        <v>248</v>
      </c>
      <c r="F64" s="78">
        <v>4</v>
      </c>
      <c r="G64" s="79">
        <v>19436</v>
      </c>
      <c r="H64" s="80">
        <v>94085</v>
      </c>
      <c r="I64" s="80">
        <v>71490</v>
      </c>
      <c r="J64" s="80">
        <v>12289</v>
      </c>
      <c r="K64" s="80">
        <v>4524</v>
      </c>
      <c r="L64" s="80">
        <v>5782</v>
      </c>
      <c r="M64" s="80">
        <v>0</v>
      </c>
      <c r="N64" s="80">
        <v>1179</v>
      </c>
      <c r="O64" s="80">
        <v>205187</v>
      </c>
      <c r="P64" s="80">
        <v>109366</v>
      </c>
      <c r="Q64" s="80">
        <v>84610</v>
      </c>
      <c r="R64" s="80">
        <v>24756</v>
      </c>
      <c r="S64" s="80">
        <v>19831</v>
      </c>
      <c r="T64" s="80">
        <v>4925</v>
      </c>
      <c r="U64" s="80">
        <v>62737</v>
      </c>
      <c r="V64" s="80">
        <v>13418</v>
      </c>
      <c r="W64" s="80">
        <v>8997</v>
      </c>
      <c r="X64" s="80">
        <v>10669</v>
      </c>
      <c r="Y64" s="80">
        <v>-109923</v>
      </c>
      <c r="Z64" s="80">
        <v>80212</v>
      </c>
      <c r="AA64" s="80">
        <v>68907</v>
      </c>
      <c r="AB64" s="80">
        <v>5867</v>
      </c>
      <c r="AC64" s="80">
        <v>5438</v>
      </c>
      <c r="AD64" s="80">
        <v>37218</v>
      </c>
      <c r="AE64" s="80">
        <v>-528</v>
      </c>
      <c r="AF64" s="80">
        <v>140</v>
      </c>
      <c r="AG64" s="80">
        <v>617</v>
      </c>
      <c r="AH64" s="80">
        <v>21</v>
      </c>
      <c r="AI64" s="80">
        <v>1229</v>
      </c>
      <c r="AJ64" s="80">
        <v>56</v>
      </c>
      <c r="AK64" s="80">
        <v>6979</v>
      </c>
      <c r="AL64" s="80">
        <v>6965</v>
      </c>
      <c r="AM64" s="80">
        <v>6965</v>
      </c>
      <c r="AN64" s="80">
        <v>0</v>
      </c>
      <c r="AO64" s="80">
        <v>0</v>
      </c>
      <c r="AP64" s="80">
        <v>0</v>
      </c>
      <c r="AQ64" s="80">
        <v>0</v>
      </c>
      <c r="AR64" s="80">
        <v>14</v>
      </c>
      <c r="AS64" s="80">
        <v>0</v>
      </c>
      <c r="AT64" s="80">
        <v>0</v>
      </c>
      <c r="AU64" s="80">
        <v>0</v>
      </c>
      <c r="AV64" s="80">
        <v>14</v>
      </c>
      <c r="AW64" s="81"/>
      <c r="AX64" s="80">
        <v>1611</v>
      </c>
      <c r="AY64" s="80">
        <v>6979</v>
      </c>
      <c r="AZ64" s="80">
        <v>0</v>
      </c>
      <c r="BA64" s="80">
        <v>-5368</v>
      </c>
      <c r="BB64" s="80">
        <v>-11311</v>
      </c>
      <c r="BC64" s="80">
        <v>12841</v>
      </c>
      <c r="BD64" s="80">
        <v>6</v>
      </c>
      <c r="BE64" s="80">
        <v>1524</v>
      </c>
      <c r="BF64" s="80">
        <v>-9700</v>
      </c>
      <c r="BG64" s="80">
        <v>-39023</v>
      </c>
      <c r="BH64" s="80">
        <v>-1870</v>
      </c>
      <c r="BI64" s="80">
        <v>2665</v>
      </c>
      <c r="BJ64" s="80">
        <v>795</v>
      </c>
      <c r="BK64" s="80">
        <v>-39425</v>
      </c>
      <c r="BL64" s="80">
        <v>0</v>
      </c>
      <c r="BM64" s="80">
        <v>34500</v>
      </c>
      <c r="BN64" s="80">
        <v>-4925</v>
      </c>
      <c r="BO64" s="80">
        <v>0</v>
      </c>
      <c r="BP64" s="80">
        <v>2272</v>
      </c>
      <c r="BQ64" s="80">
        <v>-4</v>
      </c>
      <c r="BR64" s="80">
        <v>461</v>
      </c>
      <c r="BS64" s="80">
        <v>4436</v>
      </c>
      <c r="BT64" s="80">
        <v>-2621</v>
      </c>
      <c r="BU64" s="80">
        <v>-48724</v>
      </c>
      <c r="BV64" s="80">
        <v>10134</v>
      </c>
      <c r="BW64" s="80">
        <v>58858</v>
      </c>
      <c r="BX64" s="81"/>
      <c r="BY64" s="80">
        <v>201665</v>
      </c>
      <c r="BZ64" s="80">
        <v>0</v>
      </c>
      <c r="CA64" s="80">
        <v>0</v>
      </c>
      <c r="CB64" s="80">
        <v>0</v>
      </c>
      <c r="CC64" s="80">
        <v>0</v>
      </c>
      <c r="CD64" s="80">
        <v>111307</v>
      </c>
      <c r="CE64" s="80">
        <v>9024</v>
      </c>
      <c r="CF64" s="80">
        <v>50928</v>
      </c>
      <c r="CG64" s="80">
        <v>41222</v>
      </c>
      <c r="CH64" s="80">
        <v>2852</v>
      </c>
      <c r="CI64" s="80">
        <v>1038</v>
      </c>
      <c r="CJ64" s="80">
        <v>1038</v>
      </c>
      <c r="CK64" s="80">
        <v>6243</v>
      </c>
      <c r="CL64" s="80">
        <v>90358</v>
      </c>
      <c r="CM64" s="80">
        <v>77145</v>
      </c>
      <c r="CN64" s="80">
        <v>18310</v>
      </c>
      <c r="CO64" s="80">
        <v>58835</v>
      </c>
      <c r="CP64" s="80">
        <v>0</v>
      </c>
      <c r="CQ64" s="80">
        <v>13213</v>
      </c>
      <c r="CR64" s="80">
        <v>0</v>
      </c>
      <c r="CS64" s="80">
        <v>0</v>
      </c>
      <c r="CT64" s="80">
        <v>13213</v>
      </c>
      <c r="CU64" s="80">
        <v>0</v>
      </c>
      <c r="CV64" s="80">
        <v>6599</v>
      </c>
      <c r="CW64" s="80">
        <v>0</v>
      </c>
      <c r="CX64" s="80">
        <v>6599</v>
      </c>
      <c r="CY64" s="80">
        <v>0</v>
      </c>
      <c r="CZ64" s="80">
        <v>22017</v>
      </c>
      <c r="DA64" s="80">
        <v>627</v>
      </c>
      <c r="DB64" s="80">
        <v>565</v>
      </c>
      <c r="DC64" s="80">
        <v>0</v>
      </c>
      <c r="DD64" s="80">
        <v>0</v>
      </c>
      <c r="DE64" s="80">
        <v>0</v>
      </c>
      <c r="DF64" s="80">
        <v>62</v>
      </c>
      <c r="DG64" s="80">
        <v>11256</v>
      </c>
      <c r="DH64" s="80">
        <v>291</v>
      </c>
      <c r="DI64" s="80">
        <v>0</v>
      </c>
      <c r="DJ64" s="80">
        <v>0</v>
      </c>
      <c r="DK64" s="80">
        <v>291</v>
      </c>
      <c r="DL64" s="80">
        <v>0</v>
      </c>
      <c r="DM64" s="80">
        <v>10965</v>
      </c>
      <c r="DN64" s="80">
        <v>7583</v>
      </c>
      <c r="DO64" s="80">
        <v>0</v>
      </c>
      <c r="DP64" s="80">
        <v>3323</v>
      </c>
      <c r="DQ64" s="80">
        <v>59</v>
      </c>
      <c r="DR64" s="80">
        <v>0</v>
      </c>
      <c r="DS64" s="80">
        <v>0</v>
      </c>
      <c r="DT64" s="80">
        <v>0</v>
      </c>
      <c r="DU64" s="80">
        <v>0</v>
      </c>
      <c r="DV64" s="80">
        <v>0</v>
      </c>
      <c r="DW64" s="80">
        <v>10134</v>
      </c>
      <c r="DX64" s="80">
        <v>230281</v>
      </c>
      <c r="DY64" s="80">
        <v>144680</v>
      </c>
      <c r="DZ64" s="80">
        <v>61026</v>
      </c>
      <c r="EA64" s="80">
        <v>0</v>
      </c>
      <c r="EB64" s="80">
        <v>1037</v>
      </c>
      <c r="EC64" s="80">
        <v>82604</v>
      </c>
      <c r="ED64" s="80">
        <v>13</v>
      </c>
      <c r="EE64" s="80">
        <v>0</v>
      </c>
      <c r="EF64" s="80">
        <v>0</v>
      </c>
      <c r="EG64" s="80">
        <v>0</v>
      </c>
      <c r="EH64" s="80">
        <v>663</v>
      </c>
      <c r="EI64" s="80">
        <v>263</v>
      </c>
      <c r="EJ64" s="80">
        <v>400</v>
      </c>
      <c r="EK64" s="80">
        <v>6683</v>
      </c>
      <c r="EL64" s="80">
        <v>0</v>
      </c>
      <c r="EM64" s="80">
        <v>6599</v>
      </c>
      <c r="EN64" s="80">
        <v>84</v>
      </c>
      <c r="EO64" s="80">
        <v>78254</v>
      </c>
      <c r="EP64" s="80">
        <v>40163</v>
      </c>
      <c r="EQ64" s="80">
        <v>0</v>
      </c>
      <c r="ER64" s="80">
        <v>32900</v>
      </c>
      <c r="ES64" s="80">
        <v>6500</v>
      </c>
      <c r="ET64" s="80">
        <v>26400</v>
      </c>
      <c r="EU64" s="80">
        <v>0</v>
      </c>
      <c r="EV64" s="80">
        <v>0</v>
      </c>
      <c r="EW64" s="80">
        <v>300</v>
      </c>
      <c r="EX64" s="80">
        <v>0</v>
      </c>
      <c r="EY64" s="80">
        <v>0</v>
      </c>
      <c r="EZ64" s="80">
        <v>0</v>
      </c>
      <c r="FA64" s="80">
        <v>6963</v>
      </c>
      <c r="FB64" s="80">
        <v>0</v>
      </c>
      <c r="FC64" s="80">
        <v>0</v>
      </c>
      <c r="FD64" s="80">
        <v>38091</v>
      </c>
      <c r="FE64" s="80">
        <v>0</v>
      </c>
      <c r="FF64" s="80">
        <v>8900</v>
      </c>
      <c r="FG64" s="80">
        <v>1600</v>
      </c>
      <c r="FH64" s="80">
        <v>7300</v>
      </c>
      <c r="FI64" s="80">
        <v>0</v>
      </c>
      <c r="FJ64" s="80">
        <v>0</v>
      </c>
      <c r="FK64" s="80">
        <v>600</v>
      </c>
      <c r="FL64" s="80">
        <v>0</v>
      </c>
      <c r="FM64" s="80">
        <v>185</v>
      </c>
      <c r="FN64" s="80">
        <v>8512</v>
      </c>
      <c r="FO64" s="80">
        <v>3845</v>
      </c>
      <c r="FP64" s="80">
        <v>16049</v>
      </c>
      <c r="FQ64" s="80">
        <v>230280</v>
      </c>
      <c r="FR64" s="80">
        <v>47905</v>
      </c>
      <c r="FS64" s="80">
        <v>2798</v>
      </c>
      <c r="FT64" s="100">
        <v>94869.369663322723</v>
      </c>
      <c r="FU64" s="100"/>
      <c r="FV64" s="100">
        <v>56304</v>
      </c>
      <c r="FW64" s="67">
        <v>6407</v>
      </c>
      <c r="FX64" s="100">
        <f t="shared" si="5"/>
        <v>24821</v>
      </c>
      <c r="FY64" s="100">
        <f t="shared" si="6"/>
        <v>-102958</v>
      </c>
      <c r="FZ64" s="100">
        <v>71911.014000258248</v>
      </c>
      <c r="GA64" s="67">
        <v>127779</v>
      </c>
      <c r="GB64" s="58">
        <f t="shared" si="3"/>
        <v>71475</v>
      </c>
      <c r="GC64" s="67">
        <v>6965</v>
      </c>
      <c r="GD64" s="100">
        <v>12351</v>
      </c>
      <c r="GE64" s="100">
        <v>2489</v>
      </c>
      <c r="GF64" s="58">
        <f t="shared" si="4"/>
        <v>9862</v>
      </c>
      <c r="GG64" s="100">
        <v>-38967.332000000002</v>
      </c>
      <c r="GH64" s="100">
        <v>-1692.1376000000009</v>
      </c>
      <c r="GI64" s="100">
        <v>-32245.005780508382</v>
      </c>
      <c r="GJ64" s="67">
        <f t="shared" si="7"/>
        <v>558</v>
      </c>
      <c r="GK64" s="67"/>
      <c r="GM64" s="96"/>
    </row>
    <row r="65" spans="1:195" ht="13.5" customHeight="1" x14ac:dyDescent="0.2">
      <c r="A65" s="74">
        <v>165</v>
      </c>
      <c r="B65" s="75" t="s">
        <v>37</v>
      </c>
      <c r="C65" s="75" t="s">
        <v>37</v>
      </c>
      <c r="D65" s="76"/>
      <c r="E65" s="77" t="s">
        <v>226</v>
      </c>
      <c r="F65" s="78">
        <v>4</v>
      </c>
      <c r="G65" s="79">
        <v>16853</v>
      </c>
      <c r="H65" s="80">
        <v>19632</v>
      </c>
      <c r="I65" s="80">
        <v>10368</v>
      </c>
      <c r="J65" s="80">
        <v>5416</v>
      </c>
      <c r="K65" s="80">
        <v>1943</v>
      </c>
      <c r="L65" s="80">
        <v>1905</v>
      </c>
      <c r="M65" s="80">
        <v>0</v>
      </c>
      <c r="N65" s="80">
        <v>167</v>
      </c>
      <c r="O65" s="80">
        <v>101202</v>
      </c>
      <c r="P65" s="80">
        <v>45572</v>
      </c>
      <c r="Q65" s="80">
        <v>35008</v>
      </c>
      <c r="R65" s="80">
        <v>10564</v>
      </c>
      <c r="S65" s="80">
        <v>8616</v>
      </c>
      <c r="T65" s="80">
        <v>1948</v>
      </c>
      <c r="U65" s="80">
        <v>40737</v>
      </c>
      <c r="V65" s="80">
        <v>6293</v>
      </c>
      <c r="W65" s="80">
        <v>6623</v>
      </c>
      <c r="X65" s="80">
        <v>1977</v>
      </c>
      <c r="Y65" s="80">
        <v>-81403</v>
      </c>
      <c r="Z65" s="80">
        <v>62545</v>
      </c>
      <c r="AA65" s="80">
        <v>57247</v>
      </c>
      <c r="AB65" s="80">
        <v>2207</v>
      </c>
      <c r="AC65" s="80">
        <v>3091</v>
      </c>
      <c r="AD65" s="80">
        <v>23531</v>
      </c>
      <c r="AE65" s="80">
        <v>-405</v>
      </c>
      <c r="AF65" s="80">
        <v>84</v>
      </c>
      <c r="AG65" s="80">
        <v>149</v>
      </c>
      <c r="AH65" s="80">
        <v>0</v>
      </c>
      <c r="AI65" s="80">
        <v>635</v>
      </c>
      <c r="AJ65" s="80">
        <v>3</v>
      </c>
      <c r="AK65" s="80">
        <v>4268</v>
      </c>
      <c r="AL65" s="80">
        <v>5126</v>
      </c>
      <c r="AM65" s="80">
        <v>5126</v>
      </c>
      <c r="AN65" s="80">
        <v>0</v>
      </c>
      <c r="AO65" s="80">
        <v>0</v>
      </c>
      <c r="AP65" s="80">
        <v>0</v>
      </c>
      <c r="AQ65" s="80">
        <v>0</v>
      </c>
      <c r="AR65" s="80">
        <v>-858</v>
      </c>
      <c r="AS65" s="80">
        <v>8</v>
      </c>
      <c r="AT65" s="80">
        <v>0</v>
      </c>
      <c r="AU65" s="80">
        <v>0</v>
      </c>
      <c r="AV65" s="80">
        <v>-850</v>
      </c>
      <c r="AW65" s="81"/>
      <c r="AX65" s="80">
        <v>5847</v>
      </c>
      <c r="AY65" s="80">
        <v>4268</v>
      </c>
      <c r="AZ65" s="80">
        <v>0</v>
      </c>
      <c r="BA65" s="80">
        <v>1579</v>
      </c>
      <c r="BB65" s="80">
        <v>-5109</v>
      </c>
      <c r="BC65" s="80">
        <v>5689</v>
      </c>
      <c r="BD65" s="80">
        <v>5</v>
      </c>
      <c r="BE65" s="80">
        <v>575</v>
      </c>
      <c r="BF65" s="80">
        <v>738</v>
      </c>
      <c r="BG65" s="80">
        <v>2137</v>
      </c>
      <c r="BH65" s="80">
        <v>0</v>
      </c>
      <c r="BI65" s="80">
        <v>0</v>
      </c>
      <c r="BJ65" s="80">
        <v>0</v>
      </c>
      <c r="BK65" s="80">
        <v>3308</v>
      </c>
      <c r="BL65" s="80">
        <v>10450</v>
      </c>
      <c r="BM65" s="80">
        <v>7392</v>
      </c>
      <c r="BN65" s="80">
        <v>250</v>
      </c>
      <c r="BO65" s="80">
        <v>-1962</v>
      </c>
      <c r="BP65" s="80">
        <v>791</v>
      </c>
      <c r="BQ65" s="80">
        <v>128</v>
      </c>
      <c r="BR65" s="80">
        <v>-9</v>
      </c>
      <c r="BS65" s="80">
        <v>536</v>
      </c>
      <c r="BT65" s="80">
        <v>136</v>
      </c>
      <c r="BU65" s="80">
        <v>2875</v>
      </c>
      <c r="BV65" s="80">
        <v>11315</v>
      </c>
      <c r="BW65" s="80">
        <v>8440</v>
      </c>
      <c r="BX65" s="81"/>
      <c r="BY65" s="80">
        <v>93951</v>
      </c>
      <c r="BZ65" s="80">
        <v>392</v>
      </c>
      <c r="CA65" s="80">
        <v>231</v>
      </c>
      <c r="CB65" s="80">
        <v>161</v>
      </c>
      <c r="CC65" s="80">
        <v>0</v>
      </c>
      <c r="CD65" s="80">
        <v>76642</v>
      </c>
      <c r="CE65" s="80">
        <v>11641</v>
      </c>
      <c r="CF65" s="80">
        <v>44998</v>
      </c>
      <c r="CG65" s="80">
        <v>15555</v>
      </c>
      <c r="CH65" s="80">
        <v>954</v>
      </c>
      <c r="CI65" s="80">
        <v>198</v>
      </c>
      <c r="CJ65" s="80">
        <v>198</v>
      </c>
      <c r="CK65" s="80">
        <v>3296</v>
      </c>
      <c r="CL65" s="80">
        <v>16917</v>
      </c>
      <c r="CM65" s="80">
        <v>15914</v>
      </c>
      <c r="CN65" s="80">
        <v>10286</v>
      </c>
      <c r="CO65" s="80">
        <v>5628</v>
      </c>
      <c r="CP65" s="80">
        <v>0</v>
      </c>
      <c r="CQ65" s="80">
        <v>1003</v>
      </c>
      <c r="CR65" s="80">
        <v>0</v>
      </c>
      <c r="CS65" s="80">
        <v>0</v>
      </c>
      <c r="CT65" s="80">
        <v>1003</v>
      </c>
      <c r="CU65" s="80">
        <v>0</v>
      </c>
      <c r="CV65" s="80">
        <v>0</v>
      </c>
      <c r="CW65" s="80">
        <v>0</v>
      </c>
      <c r="CX65" s="80">
        <v>0</v>
      </c>
      <c r="CY65" s="80">
        <v>0</v>
      </c>
      <c r="CZ65" s="80">
        <v>14845</v>
      </c>
      <c r="DA65" s="80">
        <v>34</v>
      </c>
      <c r="DB65" s="80">
        <v>34</v>
      </c>
      <c r="DC65" s="80">
        <v>0</v>
      </c>
      <c r="DD65" s="80">
        <v>0</v>
      </c>
      <c r="DE65" s="80">
        <v>0</v>
      </c>
      <c r="DF65" s="80">
        <v>0</v>
      </c>
      <c r="DG65" s="80">
        <v>3496</v>
      </c>
      <c r="DH65" s="80">
        <v>2</v>
      </c>
      <c r="DI65" s="80">
        <v>0</v>
      </c>
      <c r="DJ65" s="80">
        <v>2</v>
      </c>
      <c r="DK65" s="80">
        <v>0</v>
      </c>
      <c r="DL65" s="80">
        <v>0</v>
      </c>
      <c r="DM65" s="80">
        <v>3494</v>
      </c>
      <c r="DN65" s="80">
        <v>1456</v>
      </c>
      <c r="DO65" s="80">
        <v>0</v>
      </c>
      <c r="DP65" s="80">
        <v>1315</v>
      </c>
      <c r="DQ65" s="80">
        <v>723</v>
      </c>
      <c r="DR65" s="80">
        <v>0</v>
      </c>
      <c r="DS65" s="80">
        <v>0</v>
      </c>
      <c r="DT65" s="80">
        <v>0</v>
      </c>
      <c r="DU65" s="80">
        <v>0</v>
      </c>
      <c r="DV65" s="80">
        <v>0</v>
      </c>
      <c r="DW65" s="80">
        <v>11315</v>
      </c>
      <c r="DX65" s="80">
        <v>108796</v>
      </c>
      <c r="DY65" s="80">
        <v>46052</v>
      </c>
      <c r="DZ65" s="80">
        <v>46092</v>
      </c>
      <c r="EA65" s="80">
        <v>0</v>
      </c>
      <c r="EB65" s="80">
        <v>0</v>
      </c>
      <c r="EC65" s="80">
        <v>809</v>
      </c>
      <c r="ED65" s="80">
        <v>-849</v>
      </c>
      <c r="EE65" s="80">
        <v>0</v>
      </c>
      <c r="EF65" s="80">
        <v>0</v>
      </c>
      <c r="EG65" s="80">
        <v>0</v>
      </c>
      <c r="EH65" s="80">
        <v>1791</v>
      </c>
      <c r="EI65" s="80">
        <v>0</v>
      </c>
      <c r="EJ65" s="80">
        <v>1791</v>
      </c>
      <c r="EK65" s="80">
        <v>163</v>
      </c>
      <c r="EL65" s="80">
        <v>0</v>
      </c>
      <c r="EM65" s="80">
        <v>4</v>
      </c>
      <c r="EN65" s="80">
        <v>159</v>
      </c>
      <c r="EO65" s="80">
        <v>60790</v>
      </c>
      <c r="EP65" s="80">
        <v>40924</v>
      </c>
      <c r="EQ65" s="80">
        <v>0</v>
      </c>
      <c r="ER65" s="80">
        <v>38423</v>
      </c>
      <c r="ES65" s="80">
        <v>18200</v>
      </c>
      <c r="ET65" s="80">
        <v>20223</v>
      </c>
      <c r="EU65" s="80">
        <v>0</v>
      </c>
      <c r="EV65" s="80">
        <v>0</v>
      </c>
      <c r="EW65" s="80">
        <v>0</v>
      </c>
      <c r="EX65" s="80">
        <v>0</v>
      </c>
      <c r="EY65" s="80">
        <v>0</v>
      </c>
      <c r="EZ65" s="80">
        <v>0</v>
      </c>
      <c r="FA65" s="80">
        <v>2501</v>
      </c>
      <c r="FB65" s="80">
        <v>0</v>
      </c>
      <c r="FC65" s="80">
        <v>0</v>
      </c>
      <c r="FD65" s="80">
        <v>19866</v>
      </c>
      <c r="FE65" s="80">
        <v>0</v>
      </c>
      <c r="FF65" s="80">
        <v>7537</v>
      </c>
      <c r="FG65" s="80">
        <v>2775</v>
      </c>
      <c r="FH65" s="80">
        <v>4762</v>
      </c>
      <c r="FI65" s="80">
        <v>0</v>
      </c>
      <c r="FJ65" s="80">
        <v>0</v>
      </c>
      <c r="FK65" s="80">
        <v>0</v>
      </c>
      <c r="FL65" s="80">
        <v>890</v>
      </c>
      <c r="FM65" s="80">
        <v>323</v>
      </c>
      <c r="FN65" s="80">
        <v>3470</v>
      </c>
      <c r="FO65" s="80">
        <v>863</v>
      </c>
      <c r="FP65" s="80">
        <v>6783</v>
      </c>
      <c r="FQ65" s="80">
        <v>108796</v>
      </c>
      <c r="FR65" s="80">
        <v>19785</v>
      </c>
      <c r="FS65" s="80">
        <v>2790</v>
      </c>
      <c r="FT65" s="100">
        <v>53556.356003653294</v>
      </c>
      <c r="FU65" s="100"/>
      <c r="FV65" s="100">
        <v>22866</v>
      </c>
      <c r="FW65" s="67">
        <v>5005</v>
      </c>
      <c r="FX65" s="100">
        <f t="shared" si="5"/>
        <v>-41559</v>
      </c>
      <c r="FY65" s="100">
        <f t="shared" si="6"/>
        <v>-76277</v>
      </c>
      <c r="FZ65" s="100">
        <v>51358.475928024163</v>
      </c>
      <c r="GA65" s="67">
        <v>34718</v>
      </c>
      <c r="GB65" s="58">
        <f t="shared" si="3"/>
        <v>11852</v>
      </c>
      <c r="GC65" s="67">
        <v>5126</v>
      </c>
      <c r="GD65" s="100">
        <v>5414</v>
      </c>
      <c r="GE65" s="100">
        <v>1627</v>
      </c>
      <c r="GF65" s="58">
        <f t="shared" si="4"/>
        <v>3787</v>
      </c>
      <c r="GG65" s="100">
        <v>-33579.006999999998</v>
      </c>
      <c r="GH65" s="100">
        <v>-750.15490000000034</v>
      </c>
      <c r="GI65" s="100">
        <v>-16986.55790283038</v>
      </c>
      <c r="GJ65" s="67">
        <f t="shared" si="7"/>
        <v>121</v>
      </c>
      <c r="GK65" s="67"/>
      <c r="GM65" s="96"/>
    </row>
    <row r="66" spans="1:195" ht="13.5" customHeight="1" x14ac:dyDescent="0.2">
      <c r="A66" s="74">
        <v>169</v>
      </c>
      <c r="B66" s="75" t="s">
        <v>249</v>
      </c>
      <c r="C66" s="82" t="s">
        <v>249</v>
      </c>
      <c r="D66" s="76"/>
      <c r="E66" s="77" t="s">
        <v>226</v>
      </c>
      <c r="F66" s="78">
        <v>3</v>
      </c>
      <c r="G66" s="79">
        <v>5425</v>
      </c>
      <c r="H66" s="80">
        <v>4045</v>
      </c>
      <c r="I66" s="80">
        <v>2297</v>
      </c>
      <c r="J66" s="80">
        <v>428</v>
      </c>
      <c r="K66" s="80">
        <v>235</v>
      </c>
      <c r="L66" s="80">
        <v>1085</v>
      </c>
      <c r="M66" s="80">
        <v>0</v>
      </c>
      <c r="N66" s="80">
        <v>0</v>
      </c>
      <c r="O66" s="80">
        <v>30339</v>
      </c>
      <c r="P66" s="80">
        <v>9748</v>
      </c>
      <c r="Q66" s="80">
        <v>7395</v>
      </c>
      <c r="R66" s="80">
        <v>2353</v>
      </c>
      <c r="S66" s="80">
        <v>1946</v>
      </c>
      <c r="T66" s="80">
        <v>407</v>
      </c>
      <c r="U66" s="80">
        <v>18028</v>
      </c>
      <c r="V66" s="80">
        <v>1579</v>
      </c>
      <c r="W66" s="80">
        <v>694</v>
      </c>
      <c r="X66" s="80">
        <v>290</v>
      </c>
      <c r="Y66" s="80">
        <v>-26294</v>
      </c>
      <c r="Z66" s="80">
        <v>19311</v>
      </c>
      <c r="AA66" s="80">
        <v>17492</v>
      </c>
      <c r="AB66" s="80">
        <v>980</v>
      </c>
      <c r="AC66" s="80">
        <v>839</v>
      </c>
      <c r="AD66" s="80">
        <v>9667</v>
      </c>
      <c r="AE66" s="80">
        <v>-135</v>
      </c>
      <c r="AF66" s="80">
        <v>28</v>
      </c>
      <c r="AG66" s="80">
        <v>34</v>
      </c>
      <c r="AH66" s="80">
        <v>8</v>
      </c>
      <c r="AI66" s="80">
        <v>195</v>
      </c>
      <c r="AJ66" s="80">
        <v>2</v>
      </c>
      <c r="AK66" s="80">
        <v>2549</v>
      </c>
      <c r="AL66" s="80">
        <v>1366</v>
      </c>
      <c r="AM66" s="80">
        <v>1357</v>
      </c>
      <c r="AN66" s="80">
        <v>9</v>
      </c>
      <c r="AO66" s="80">
        <v>0</v>
      </c>
      <c r="AP66" s="80">
        <v>0</v>
      </c>
      <c r="AQ66" s="80">
        <v>0</v>
      </c>
      <c r="AR66" s="80">
        <v>1183</v>
      </c>
      <c r="AS66" s="80">
        <v>0</v>
      </c>
      <c r="AT66" s="80">
        <v>0</v>
      </c>
      <c r="AU66" s="80">
        <v>0</v>
      </c>
      <c r="AV66" s="80">
        <v>1183</v>
      </c>
      <c r="AW66" s="81"/>
      <c r="AX66" s="80">
        <v>2453</v>
      </c>
      <c r="AY66" s="80">
        <v>2549</v>
      </c>
      <c r="AZ66" s="80">
        <v>0</v>
      </c>
      <c r="BA66" s="80">
        <v>-96</v>
      </c>
      <c r="BB66" s="80">
        <v>-4018</v>
      </c>
      <c r="BC66" s="80">
        <v>5103</v>
      </c>
      <c r="BD66" s="80">
        <v>816</v>
      </c>
      <c r="BE66" s="80">
        <v>269</v>
      </c>
      <c r="BF66" s="80">
        <v>-1565</v>
      </c>
      <c r="BG66" s="80">
        <v>1524</v>
      </c>
      <c r="BH66" s="80">
        <v>88</v>
      </c>
      <c r="BI66" s="80">
        <v>0</v>
      </c>
      <c r="BJ66" s="80">
        <v>88</v>
      </c>
      <c r="BK66" s="80">
        <v>1358</v>
      </c>
      <c r="BL66" s="80">
        <v>4100</v>
      </c>
      <c r="BM66" s="80">
        <v>1242</v>
      </c>
      <c r="BN66" s="80">
        <v>-1500</v>
      </c>
      <c r="BO66" s="80">
        <v>0</v>
      </c>
      <c r="BP66" s="80">
        <v>78</v>
      </c>
      <c r="BQ66" s="80">
        <v>31</v>
      </c>
      <c r="BR66" s="80">
        <v>2</v>
      </c>
      <c r="BS66" s="80">
        <v>844</v>
      </c>
      <c r="BT66" s="80">
        <v>-799</v>
      </c>
      <c r="BU66" s="80">
        <v>-41</v>
      </c>
      <c r="BV66" s="80">
        <v>1250</v>
      </c>
      <c r="BW66" s="80">
        <v>1291</v>
      </c>
      <c r="BX66" s="81"/>
      <c r="BY66" s="80">
        <v>37734</v>
      </c>
      <c r="BZ66" s="80">
        <v>0</v>
      </c>
      <c r="CA66" s="80">
        <v>0</v>
      </c>
      <c r="CB66" s="80">
        <v>0</v>
      </c>
      <c r="CC66" s="80">
        <v>0</v>
      </c>
      <c r="CD66" s="80">
        <v>29640</v>
      </c>
      <c r="CE66" s="80">
        <v>2622</v>
      </c>
      <c r="CF66" s="80">
        <v>21794</v>
      </c>
      <c r="CG66" s="80">
        <v>4158</v>
      </c>
      <c r="CH66" s="80">
        <v>967</v>
      </c>
      <c r="CI66" s="80">
        <v>31</v>
      </c>
      <c r="CJ66" s="80">
        <v>31</v>
      </c>
      <c r="CK66" s="80">
        <v>68</v>
      </c>
      <c r="CL66" s="80">
        <v>8094</v>
      </c>
      <c r="CM66" s="80">
        <v>7605</v>
      </c>
      <c r="CN66" s="80">
        <v>4693</v>
      </c>
      <c r="CO66" s="80">
        <v>2912</v>
      </c>
      <c r="CP66" s="80">
        <v>0</v>
      </c>
      <c r="CQ66" s="80">
        <v>470</v>
      </c>
      <c r="CR66" s="80">
        <v>0</v>
      </c>
      <c r="CS66" s="80">
        <v>0</v>
      </c>
      <c r="CT66" s="80">
        <v>470</v>
      </c>
      <c r="CU66" s="80">
        <v>19</v>
      </c>
      <c r="CV66" s="80">
        <v>0</v>
      </c>
      <c r="CW66" s="80">
        <v>0</v>
      </c>
      <c r="CX66" s="80">
        <v>0</v>
      </c>
      <c r="CY66" s="80">
        <v>0</v>
      </c>
      <c r="CZ66" s="80">
        <v>3213</v>
      </c>
      <c r="DA66" s="80">
        <v>30</v>
      </c>
      <c r="DB66" s="80">
        <v>30</v>
      </c>
      <c r="DC66" s="80">
        <v>0</v>
      </c>
      <c r="DD66" s="80">
        <v>0</v>
      </c>
      <c r="DE66" s="80">
        <v>0</v>
      </c>
      <c r="DF66" s="80">
        <v>0</v>
      </c>
      <c r="DG66" s="80">
        <v>1932</v>
      </c>
      <c r="DH66" s="80">
        <v>635</v>
      </c>
      <c r="DI66" s="80">
        <v>0</v>
      </c>
      <c r="DJ66" s="80">
        <v>363</v>
      </c>
      <c r="DK66" s="80">
        <v>272</v>
      </c>
      <c r="DL66" s="80">
        <v>0</v>
      </c>
      <c r="DM66" s="80">
        <v>1297</v>
      </c>
      <c r="DN66" s="80">
        <v>844</v>
      </c>
      <c r="DO66" s="80">
        <v>135</v>
      </c>
      <c r="DP66" s="80">
        <v>251</v>
      </c>
      <c r="DQ66" s="80">
        <v>67</v>
      </c>
      <c r="DR66" s="80">
        <v>117</v>
      </c>
      <c r="DS66" s="80">
        <v>117</v>
      </c>
      <c r="DT66" s="80">
        <v>0</v>
      </c>
      <c r="DU66" s="80">
        <v>0</v>
      </c>
      <c r="DV66" s="80">
        <v>0</v>
      </c>
      <c r="DW66" s="80">
        <v>1134</v>
      </c>
      <c r="DX66" s="80">
        <v>40947</v>
      </c>
      <c r="DY66" s="80">
        <v>19508</v>
      </c>
      <c r="DZ66" s="80">
        <v>12810</v>
      </c>
      <c r="EA66" s="80">
        <v>0</v>
      </c>
      <c r="EB66" s="80">
        <v>0</v>
      </c>
      <c r="EC66" s="80">
        <v>5515</v>
      </c>
      <c r="ED66" s="80">
        <v>1183</v>
      </c>
      <c r="EE66" s="80">
        <v>0</v>
      </c>
      <c r="EF66" s="80">
        <v>0</v>
      </c>
      <c r="EG66" s="80">
        <v>0</v>
      </c>
      <c r="EH66" s="80">
        <v>310</v>
      </c>
      <c r="EI66" s="80">
        <v>0</v>
      </c>
      <c r="EJ66" s="80">
        <v>310</v>
      </c>
      <c r="EK66" s="80">
        <v>58</v>
      </c>
      <c r="EL66" s="80">
        <v>0</v>
      </c>
      <c r="EM66" s="80">
        <v>48</v>
      </c>
      <c r="EN66" s="80">
        <v>10</v>
      </c>
      <c r="EO66" s="80">
        <v>21071</v>
      </c>
      <c r="EP66" s="80">
        <v>12336</v>
      </c>
      <c r="EQ66" s="80">
        <v>0</v>
      </c>
      <c r="ER66" s="80">
        <v>12201</v>
      </c>
      <c r="ES66" s="80">
        <v>0</v>
      </c>
      <c r="ET66" s="80">
        <v>9001</v>
      </c>
      <c r="EU66" s="80">
        <v>3200</v>
      </c>
      <c r="EV66" s="80">
        <v>0</v>
      </c>
      <c r="EW66" s="80">
        <v>0</v>
      </c>
      <c r="EX66" s="80">
        <v>135</v>
      </c>
      <c r="EY66" s="80">
        <v>0</v>
      </c>
      <c r="EZ66" s="80">
        <v>0</v>
      </c>
      <c r="FA66" s="80">
        <v>0</v>
      </c>
      <c r="FB66" s="80">
        <v>0</v>
      </c>
      <c r="FC66" s="80">
        <v>0</v>
      </c>
      <c r="FD66" s="80">
        <v>8735</v>
      </c>
      <c r="FE66" s="80">
        <v>0</v>
      </c>
      <c r="FF66" s="80">
        <v>6175</v>
      </c>
      <c r="FG66" s="80">
        <v>0</v>
      </c>
      <c r="FH66" s="80">
        <v>6175</v>
      </c>
      <c r="FI66" s="80">
        <v>0</v>
      </c>
      <c r="FJ66" s="80">
        <v>0</v>
      </c>
      <c r="FK66" s="80">
        <v>0</v>
      </c>
      <c r="FL66" s="80">
        <v>15</v>
      </c>
      <c r="FM66" s="80">
        <v>57</v>
      </c>
      <c r="FN66" s="80">
        <v>823</v>
      </c>
      <c r="FO66" s="80">
        <v>202</v>
      </c>
      <c r="FP66" s="80">
        <v>1463</v>
      </c>
      <c r="FQ66" s="80">
        <v>40947</v>
      </c>
      <c r="FR66" s="80">
        <v>2485</v>
      </c>
      <c r="FS66" s="80">
        <v>2684</v>
      </c>
      <c r="FT66" s="100">
        <v>18479.614704425399</v>
      </c>
      <c r="FU66" s="100"/>
      <c r="FV66" s="100">
        <v>7735</v>
      </c>
      <c r="FW66" s="67">
        <v>1366</v>
      </c>
      <c r="FX66" s="100">
        <f t="shared" si="5"/>
        <v>-17163</v>
      </c>
      <c r="FY66" s="100">
        <f t="shared" si="6"/>
        <v>-24928</v>
      </c>
      <c r="FZ66" s="100">
        <v>15122.355404911803</v>
      </c>
      <c r="GA66" s="67">
        <v>7765</v>
      </c>
      <c r="GB66" s="58">
        <f t="shared" si="3"/>
        <v>30</v>
      </c>
      <c r="GC66" s="67">
        <v>1366</v>
      </c>
      <c r="GD66" s="100">
        <v>428</v>
      </c>
      <c r="GE66" s="100">
        <v>428</v>
      </c>
      <c r="GF66" s="58">
        <f t="shared" si="4"/>
        <v>0</v>
      </c>
      <c r="GG66" s="100">
        <v>-10272.085999999999</v>
      </c>
      <c r="GH66" s="100">
        <v>-270.20310000000012</v>
      </c>
      <c r="GI66" s="100">
        <v>-4795.1149713607274</v>
      </c>
      <c r="GJ66" s="67">
        <f t="shared" si="7"/>
        <v>0</v>
      </c>
      <c r="GK66" s="67"/>
      <c r="GM66" s="96"/>
    </row>
    <row r="67" spans="1:195" ht="13.5" customHeight="1" x14ac:dyDescent="0.2">
      <c r="A67" s="74">
        <v>167</v>
      </c>
      <c r="B67" s="75" t="s">
        <v>38</v>
      </c>
      <c r="C67" s="75" t="s">
        <v>38</v>
      </c>
      <c r="D67" s="76"/>
      <c r="E67" s="77" t="s">
        <v>242</v>
      </c>
      <c r="F67" s="78">
        <v>6</v>
      </c>
      <c r="G67" s="79">
        <v>75514</v>
      </c>
      <c r="H67" s="80">
        <v>179051</v>
      </c>
      <c r="I67" s="80">
        <v>110870</v>
      </c>
      <c r="J67" s="80">
        <v>26551</v>
      </c>
      <c r="K67" s="80">
        <v>17882</v>
      </c>
      <c r="L67" s="80">
        <v>23748</v>
      </c>
      <c r="M67" s="80">
        <v>0</v>
      </c>
      <c r="N67" s="80">
        <v>5881</v>
      </c>
      <c r="O67" s="80">
        <v>550030</v>
      </c>
      <c r="P67" s="80">
        <v>224577</v>
      </c>
      <c r="Q67" s="80">
        <v>169490</v>
      </c>
      <c r="R67" s="80">
        <v>55087</v>
      </c>
      <c r="S67" s="80">
        <v>45031</v>
      </c>
      <c r="T67" s="80">
        <v>10056</v>
      </c>
      <c r="U67" s="80">
        <v>240288</v>
      </c>
      <c r="V67" s="80">
        <v>26981</v>
      </c>
      <c r="W67" s="80">
        <v>44196</v>
      </c>
      <c r="X67" s="80">
        <v>13988</v>
      </c>
      <c r="Y67" s="80">
        <v>-365098</v>
      </c>
      <c r="Z67" s="80">
        <v>261994</v>
      </c>
      <c r="AA67" s="80">
        <v>223747</v>
      </c>
      <c r="AB67" s="80">
        <v>18640</v>
      </c>
      <c r="AC67" s="80">
        <v>19607</v>
      </c>
      <c r="AD67" s="80">
        <v>129006</v>
      </c>
      <c r="AE67" s="80">
        <v>2729</v>
      </c>
      <c r="AF67" s="80">
        <v>606</v>
      </c>
      <c r="AG67" s="80">
        <v>4251</v>
      </c>
      <c r="AH67" s="80">
        <v>1395</v>
      </c>
      <c r="AI67" s="80">
        <v>1599</v>
      </c>
      <c r="AJ67" s="80">
        <v>529</v>
      </c>
      <c r="AK67" s="80">
        <v>28631</v>
      </c>
      <c r="AL67" s="80">
        <v>27092</v>
      </c>
      <c r="AM67" s="80">
        <v>27092</v>
      </c>
      <c r="AN67" s="80">
        <v>0</v>
      </c>
      <c r="AO67" s="80">
        <v>0</v>
      </c>
      <c r="AP67" s="80">
        <v>0</v>
      </c>
      <c r="AQ67" s="80">
        <v>0</v>
      </c>
      <c r="AR67" s="80">
        <v>1539</v>
      </c>
      <c r="AS67" s="80">
        <v>1059</v>
      </c>
      <c r="AT67" s="80">
        <v>1164</v>
      </c>
      <c r="AU67" s="80">
        <v>-148</v>
      </c>
      <c r="AV67" s="80">
        <v>3614</v>
      </c>
      <c r="AW67" s="81"/>
      <c r="AX67" s="80">
        <v>23305</v>
      </c>
      <c r="AY67" s="80">
        <v>28631</v>
      </c>
      <c r="AZ67" s="80">
        <v>0</v>
      </c>
      <c r="BA67" s="80">
        <v>-5326</v>
      </c>
      <c r="BB67" s="80">
        <v>-38413</v>
      </c>
      <c r="BC67" s="80">
        <v>45820</v>
      </c>
      <c r="BD67" s="80">
        <v>835</v>
      </c>
      <c r="BE67" s="80">
        <v>6572</v>
      </c>
      <c r="BF67" s="80">
        <v>-15108</v>
      </c>
      <c r="BG67" s="80">
        <v>1755</v>
      </c>
      <c r="BH67" s="80">
        <v>977</v>
      </c>
      <c r="BI67" s="80">
        <v>579</v>
      </c>
      <c r="BJ67" s="80">
        <v>1556</v>
      </c>
      <c r="BK67" s="80">
        <v>1265</v>
      </c>
      <c r="BL67" s="80">
        <v>20000</v>
      </c>
      <c r="BM67" s="80">
        <v>20663</v>
      </c>
      <c r="BN67" s="80">
        <v>1928</v>
      </c>
      <c r="BO67" s="80">
        <v>0</v>
      </c>
      <c r="BP67" s="80">
        <v>-487</v>
      </c>
      <c r="BQ67" s="80">
        <v>-239</v>
      </c>
      <c r="BR67" s="80">
        <v>3</v>
      </c>
      <c r="BS67" s="80">
        <v>546</v>
      </c>
      <c r="BT67" s="80">
        <v>-797</v>
      </c>
      <c r="BU67" s="80">
        <v>-13325</v>
      </c>
      <c r="BV67" s="80">
        <v>81915</v>
      </c>
      <c r="BW67" s="80">
        <v>95240</v>
      </c>
      <c r="BX67" s="81"/>
      <c r="BY67" s="80">
        <v>475520</v>
      </c>
      <c r="BZ67" s="80">
        <v>580</v>
      </c>
      <c r="CA67" s="80">
        <v>16</v>
      </c>
      <c r="CB67" s="80">
        <v>564</v>
      </c>
      <c r="CC67" s="80">
        <v>0</v>
      </c>
      <c r="CD67" s="80">
        <v>378458</v>
      </c>
      <c r="CE67" s="80">
        <v>66964</v>
      </c>
      <c r="CF67" s="80">
        <v>152320</v>
      </c>
      <c r="CG67" s="80">
        <v>130130</v>
      </c>
      <c r="CH67" s="80">
        <v>10225</v>
      </c>
      <c r="CI67" s="80">
        <v>5631</v>
      </c>
      <c r="CJ67" s="80">
        <v>5631</v>
      </c>
      <c r="CK67" s="80">
        <v>13188</v>
      </c>
      <c r="CL67" s="80">
        <v>96482</v>
      </c>
      <c r="CM67" s="80">
        <v>67674</v>
      </c>
      <c r="CN67" s="80">
        <v>19870</v>
      </c>
      <c r="CO67" s="80">
        <v>47804</v>
      </c>
      <c r="CP67" s="80">
        <v>0</v>
      </c>
      <c r="CQ67" s="80">
        <v>28280</v>
      </c>
      <c r="CR67" s="80">
        <v>0</v>
      </c>
      <c r="CS67" s="80">
        <v>0</v>
      </c>
      <c r="CT67" s="80">
        <v>28280</v>
      </c>
      <c r="CU67" s="80">
        <v>528</v>
      </c>
      <c r="CV67" s="80">
        <v>7361</v>
      </c>
      <c r="CW67" s="80">
        <v>6321</v>
      </c>
      <c r="CX67" s="80">
        <v>1040</v>
      </c>
      <c r="CY67" s="80">
        <v>0</v>
      </c>
      <c r="CZ67" s="80">
        <v>103857</v>
      </c>
      <c r="DA67" s="80">
        <v>99</v>
      </c>
      <c r="DB67" s="80">
        <v>99</v>
      </c>
      <c r="DC67" s="80">
        <v>0</v>
      </c>
      <c r="DD67" s="80">
        <v>0</v>
      </c>
      <c r="DE67" s="80">
        <v>0</v>
      </c>
      <c r="DF67" s="80">
        <v>0</v>
      </c>
      <c r="DG67" s="80">
        <v>21843</v>
      </c>
      <c r="DH67" s="80">
        <v>332</v>
      </c>
      <c r="DI67" s="80">
        <v>332</v>
      </c>
      <c r="DJ67" s="80">
        <v>0</v>
      </c>
      <c r="DK67" s="80">
        <v>0</v>
      </c>
      <c r="DL67" s="80">
        <v>0</v>
      </c>
      <c r="DM67" s="80">
        <v>21511</v>
      </c>
      <c r="DN67" s="80">
        <v>12696</v>
      </c>
      <c r="DO67" s="80">
        <v>14</v>
      </c>
      <c r="DP67" s="80">
        <v>2335</v>
      </c>
      <c r="DQ67" s="80">
        <v>6466</v>
      </c>
      <c r="DR67" s="80">
        <v>77284</v>
      </c>
      <c r="DS67" s="80">
        <v>250</v>
      </c>
      <c r="DT67" s="80">
        <v>7384</v>
      </c>
      <c r="DU67" s="80">
        <v>32870</v>
      </c>
      <c r="DV67" s="80">
        <v>36780</v>
      </c>
      <c r="DW67" s="80">
        <v>4631</v>
      </c>
      <c r="DX67" s="80">
        <v>586738</v>
      </c>
      <c r="DY67" s="80">
        <v>314411</v>
      </c>
      <c r="DZ67" s="80">
        <v>223037</v>
      </c>
      <c r="EA67" s="80">
        <v>4733</v>
      </c>
      <c r="EB67" s="80">
        <v>60398</v>
      </c>
      <c r="EC67" s="80">
        <v>22629</v>
      </c>
      <c r="ED67" s="80">
        <v>3614</v>
      </c>
      <c r="EE67" s="80">
        <v>34763</v>
      </c>
      <c r="EF67" s="80">
        <v>29217</v>
      </c>
      <c r="EG67" s="80">
        <v>5546</v>
      </c>
      <c r="EH67" s="80">
        <v>0</v>
      </c>
      <c r="EI67" s="80">
        <v>0</v>
      </c>
      <c r="EJ67" s="80">
        <v>0</v>
      </c>
      <c r="EK67" s="80">
        <v>8391</v>
      </c>
      <c r="EL67" s="80">
        <v>6464</v>
      </c>
      <c r="EM67" s="80">
        <v>1927</v>
      </c>
      <c r="EN67" s="80">
        <v>0</v>
      </c>
      <c r="EO67" s="80">
        <v>229173</v>
      </c>
      <c r="EP67" s="80">
        <v>113833</v>
      </c>
      <c r="EQ67" s="80">
        <v>0</v>
      </c>
      <c r="ER67" s="80">
        <v>112728</v>
      </c>
      <c r="ES67" s="80">
        <v>154</v>
      </c>
      <c r="ET67" s="80">
        <v>112574</v>
      </c>
      <c r="EU67" s="80">
        <v>0</v>
      </c>
      <c r="EV67" s="80">
        <v>0</v>
      </c>
      <c r="EW67" s="80">
        <v>283</v>
      </c>
      <c r="EX67" s="80">
        <v>0</v>
      </c>
      <c r="EY67" s="80">
        <v>0</v>
      </c>
      <c r="EZ67" s="80">
        <v>0</v>
      </c>
      <c r="FA67" s="80">
        <v>822</v>
      </c>
      <c r="FB67" s="80">
        <v>0</v>
      </c>
      <c r="FC67" s="80">
        <v>0</v>
      </c>
      <c r="FD67" s="80">
        <v>115340</v>
      </c>
      <c r="FE67" s="80">
        <v>0</v>
      </c>
      <c r="FF67" s="80">
        <v>21486</v>
      </c>
      <c r="FG67" s="80">
        <v>26</v>
      </c>
      <c r="FH67" s="80">
        <v>21460</v>
      </c>
      <c r="FI67" s="80">
        <v>0</v>
      </c>
      <c r="FJ67" s="80">
        <v>0</v>
      </c>
      <c r="FK67" s="80">
        <v>98</v>
      </c>
      <c r="FL67" s="80">
        <v>17029</v>
      </c>
      <c r="FM67" s="80">
        <v>140</v>
      </c>
      <c r="FN67" s="80">
        <v>30057</v>
      </c>
      <c r="FO67" s="80">
        <v>6262</v>
      </c>
      <c r="FP67" s="80">
        <v>40268</v>
      </c>
      <c r="FQ67" s="80">
        <v>586738</v>
      </c>
      <c r="FR67" s="80">
        <v>102038</v>
      </c>
      <c r="FS67" s="80">
        <v>1573</v>
      </c>
      <c r="FT67" s="100">
        <v>268869.2444967468</v>
      </c>
      <c r="FU67" s="100"/>
      <c r="FV67" s="100">
        <v>134957</v>
      </c>
      <c r="FW67" s="67">
        <v>25784</v>
      </c>
      <c r="FX67" s="100">
        <f t="shared" si="5"/>
        <v>-80786</v>
      </c>
      <c r="FY67" s="100">
        <f t="shared" si="6"/>
        <v>-338006</v>
      </c>
      <c r="FZ67" s="100">
        <v>238929.35296123079</v>
      </c>
      <c r="GA67" s="67">
        <v>257220</v>
      </c>
      <c r="GB67" s="58">
        <f t="shared" si="3"/>
        <v>122263</v>
      </c>
      <c r="GC67" s="67">
        <v>27095</v>
      </c>
      <c r="GD67" s="100">
        <v>26988</v>
      </c>
      <c r="GE67" s="100">
        <v>10524</v>
      </c>
      <c r="GF67" s="58">
        <f t="shared" si="4"/>
        <v>16464</v>
      </c>
      <c r="GG67" s="100">
        <v>-129583.99700000002</v>
      </c>
      <c r="GH67" s="100">
        <v>-5611.2740500000009</v>
      </c>
      <c r="GI67" s="100">
        <v>-103128.83285487149</v>
      </c>
      <c r="GJ67" s="67">
        <f t="shared" si="7"/>
        <v>1311</v>
      </c>
      <c r="GK67" s="67"/>
      <c r="GM67" s="96"/>
    </row>
    <row r="68" spans="1:195" ht="13.5" customHeight="1" x14ac:dyDescent="0.2">
      <c r="A68" s="74">
        <v>171</v>
      </c>
      <c r="B68" s="75" t="s">
        <v>250</v>
      </c>
      <c r="C68" s="82" t="s">
        <v>250</v>
      </c>
      <c r="D68" s="76"/>
      <c r="E68" s="77" t="s">
        <v>220</v>
      </c>
      <c r="F68" s="78">
        <v>3</v>
      </c>
      <c r="G68" s="79">
        <v>5110</v>
      </c>
      <c r="H68" s="80">
        <v>4261</v>
      </c>
      <c r="I68" s="80">
        <v>2107</v>
      </c>
      <c r="J68" s="80">
        <v>337</v>
      </c>
      <c r="K68" s="80">
        <v>398</v>
      </c>
      <c r="L68" s="80">
        <v>1419</v>
      </c>
      <c r="M68" s="80">
        <v>0</v>
      </c>
      <c r="N68" s="80">
        <v>61</v>
      </c>
      <c r="O68" s="80">
        <v>32500</v>
      </c>
      <c r="P68" s="80">
        <v>8994</v>
      </c>
      <c r="Q68" s="80">
        <v>6601</v>
      </c>
      <c r="R68" s="80">
        <v>2393</v>
      </c>
      <c r="S68" s="80">
        <v>2095</v>
      </c>
      <c r="T68" s="80">
        <v>298</v>
      </c>
      <c r="U68" s="80">
        <v>20962</v>
      </c>
      <c r="V68" s="80">
        <v>1383</v>
      </c>
      <c r="W68" s="80">
        <v>459</v>
      </c>
      <c r="X68" s="80">
        <v>702</v>
      </c>
      <c r="Y68" s="80">
        <v>-28178</v>
      </c>
      <c r="Z68" s="80">
        <v>17216</v>
      </c>
      <c r="AA68" s="80">
        <v>14684</v>
      </c>
      <c r="AB68" s="80">
        <v>1371</v>
      </c>
      <c r="AC68" s="80">
        <v>1161</v>
      </c>
      <c r="AD68" s="80">
        <v>12069</v>
      </c>
      <c r="AE68" s="80">
        <v>-178</v>
      </c>
      <c r="AF68" s="80">
        <v>24</v>
      </c>
      <c r="AG68" s="80">
        <v>31</v>
      </c>
      <c r="AH68" s="80">
        <v>0</v>
      </c>
      <c r="AI68" s="80">
        <v>232</v>
      </c>
      <c r="AJ68" s="80">
        <v>1</v>
      </c>
      <c r="AK68" s="80">
        <v>929</v>
      </c>
      <c r="AL68" s="80">
        <v>1032</v>
      </c>
      <c r="AM68" s="80">
        <v>1032</v>
      </c>
      <c r="AN68" s="80">
        <v>0</v>
      </c>
      <c r="AO68" s="80">
        <v>186</v>
      </c>
      <c r="AP68" s="80">
        <v>186</v>
      </c>
      <c r="AQ68" s="80">
        <v>0</v>
      </c>
      <c r="AR68" s="80">
        <v>83</v>
      </c>
      <c r="AS68" s="80">
        <v>31</v>
      </c>
      <c r="AT68" s="80">
        <v>-170</v>
      </c>
      <c r="AU68" s="80">
        <v>0</v>
      </c>
      <c r="AV68" s="80">
        <v>-56</v>
      </c>
      <c r="AW68" s="81"/>
      <c r="AX68" s="80">
        <v>981</v>
      </c>
      <c r="AY68" s="80">
        <v>929</v>
      </c>
      <c r="AZ68" s="80">
        <v>186</v>
      </c>
      <c r="BA68" s="80">
        <v>-134</v>
      </c>
      <c r="BB68" s="80">
        <v>-1408</v>
      </c>
      <c r="BC68" s="80">
        <v>1677</v>
      </c>
      <c r="BD68" s="80">
        <v>22</v>
      </c>
      <c r="BE68" s="80">
        <v>247</v>
      </c>
      <c r="BF68" s="80">
        <v>-427</v>
      </c>
      <c r="BG68" s="80">
        <v>1888</v>
      </c>
      <c r="BH68" s="80">
        <v>4</v>
      </c>
      <c r="BI68" s="80">
        <v>0</v>
      </c>
      <c r="BJ68" s="80">
        <v>4</v>
      </c>
      <c r="BK68" s="80">
        <v>1389</v>
      </c>
      <c r="BL68" s="80">
        <v>3600</v>
      </c>
      <c r="BM68" s="80">
        <v>2211</v>
      </c>
      <c r="BN68" s="80">
        <v>0</v>
      </c>
      <c r="BO68" s="80">
        <v>0</v>
      </c>
      <c r="BP68" s="80">
        <v>495</v>
      </c>
      <c r="BQ68" s="80">
        <v>-2</v>
      </c>
      <c r="BR68" s="80">
        <v>3</v>
      </c>
      <c r="BS68" s="80">
        <v>-213</v>
      </c>
      <c r="BT68" s="80">
        <v>707</v>
      </c>
      <c r="BU68" s="80">
        <v>1461</v>
      </c>
      <c r="BV68" s="80">
        <v>16315</v>
      </c>
      <c r="BW68" s="80">
        <v>14854</v>
      </c>
      <c r="BX68" s="81"/>
      <c r="BY68" s="80">
        <v>25192</v>
      </c>
      <c r="BZ68" s="80">
        <v>186</v>
      </c>
      <c r="CA68" s="80">
        <v>37</v>
      </c>
      <c r="CB68" s="80">
        <v>149</v>
      </c>
      <c r="CC68" s="80">
        <v>0</v>
      </c>
      <c r="CD68" s="80">
        <v>20136</v>
      </c>
      <c r="CE68" s="80">
        <v>4134</v>
      </c>
      <c r="CF68" s="80">
        <v>11426</v>
      </c>
      <c r="CG68" s="80">
        <v>4003</v>
      </c>
      <c r="CH68" s="80">
        <v>113</v>
      </c>
      <c r="CI68" s="80">
        <v>30</v>
      </c>
      <c r="CJ68" s="80">
        <v>30</v>
      </c>
      <c r="CK68" s="80">
        <v>430</v>
      </c>
      <c r="CL68" s="80">
        <v>4870</v>
      </c>
      <c r="CM68" s="80">
        <v>4317</v>
      </c>
      <c r="CN68" s="80">
        <v>1257</v>
      </c>
      <c r="CO68" s="80">
        <v>3060</v>
      </c>
      <c r="CP68" s="80">
        <v>0</v>
      </c>
      <c r="CQ68" s="80">
        <v>302</v>
      </c>
      <c r="CR68" s="80">
        <v>0</v>
      </c>
      <c r="CS68" s="80">
        <v>0</v>
      </c>
      <c r="CT68" s="80">
        <v>302</v>
      </c>
      <c r="CU68" s="80">
        <v>251</v>
      </c>
      <c r="CV68" s="80">
        <v>92</v>
      </c>
      <c r="CW68" s="80">
        <v>25</v>
      </c>
      <c r="CX68" s="80">
        <v>28</v>
      </c>
      <c r="CY68" s="80">
        <v>39</v>
      </c>
      <c r="CZ68" s="80">
        <v>17015</v>
      </c>
      <c r="DA68" s="80">
        <v>27</v>
      </c>
      <c r="DB68" s="80">
        <v>0</v>
      </c>
      <c r="DC68" s="80">
        <v>0</v>
      </c>
      <c r="DD68" s="80">
        <v>0</v>
      </c>
      <c r="DE68" s="80">
        <v>27</v>
      </c>
      <c r="DF68" s="80">
        <v>0</v>
      </c>
      <c r="DG68" s="80">
        <v>673</v>
      </c>
      <c r="DH68" s="80">
        <v>0</v>
      </c>
      <c r="DI68" s="80">
        <v>0</v>
      </c>
      <c r="DJ68" s="80">
        <v>0</v>
      </c>
      <c r="DK68" s="80">
        <v>0</v>
      </c>
      <c r="DL68" s="80">
        <v>0</v>
      </c>
      <c r="DM68" s="80">
        <v>673</v>
      </c>
      <c r="DN68" s="80">
        <v>351</v>
      </c>
      <c r="DO68" s="80">
        <v>0</v>
      </c>
      <c r="DP68" s="80">
        <v>252</v>
      </c>
      <c r="DQ68" s="80">
        <v>70</v>
      </c>
      <c r="DR68" s="80">
        <v>0</v>
      </c>
      <c r="DS68" s="80">
        <v>0</v>
      </c>
      <c r="DT68" s="80">
        <v>0</v>
      </c>
      <c r="DU68" s="80">
        <v>0</v>
      </c>
      <c r="DV68" s="80">
        <v>0</v>
      </c>
      <c r="DW68" s="80">
        <v>16315</v>
      </c>
      <c r="DX68" s="80">
        <v>42299</v>
      </c>
      <c r="DY68" s="80">
        <v>21038</v>
      </c>
      <c r="DZ68" s="80">
        <v>14801</v>
      </c>
      <c r="EA68" s="80">
        <v>0</v>
      </c>
      <c r="EB68" s="80">
        <v>0</v>
      </c>
      <c r="EC68" s="80">
        <v>6293</v>
      </c>
      <c r="ED68" s="80">
        <v>-56</v>
      </c>
      <c r="EE68" s="80">
        <v>1021</v>
      </c>
      <c r="EF68" s="80">
        <v>831</v>
      </c>
      <c r="EG68" s="80">
        <v>190</v>
      </c>
      <c r="EH68" s="80">
        <v>0</v>
      </c>
      <c r="EI68" s="80">
        <v>0</v>
      </c>
      <c r="EJ68" s="80">
        <v>0</v>
      </c>
      <c r="EK68" s="80">
        <v>89</v>
      </c>
      <c r="EL68" s="80">
        <v>17</v>
      </c>
      <c r="EM68" s="80">
        <v>28</v>
      </c>
      <c r="EN68" s="80">
        <v>44</v>
      </c>
      <c r="EO68" s="80">
        <v>20151</v>
      </c>
      <c r="EP68" s="80">
        <v>14228</v>
      </c>
      <c r="EQ68" s="80">
        <v>0</v>
      </c>
      <c r="ER68" s="80">
        <v>14171</v>
      </c>
      <c r="ES68" s="80">
        <v>3360</v>
      </c>
      <c r="ET68" s="80">
        <v>10811</v>
      </c>
      <c r="EU68" s="80">
        <v>0</v>
      </c>
      <c r="EV68" s="80">
        <v>0</v>
      </c>
      <c r="EW68" s="80">
        <v>0</v>
      </c>
      <c r="EX68" s="80">
        <v>0</v>
      </c>
      <c r="EY68" s="80">
        <v>0</v>
      </c>
      <c r="EZ68" s="80">
        <v>0</v>
      </c>
      <c r="FA68" s="80">
        <v>57</v>
      </c>
      <c r="FB68" s="80">
        <v>0</v>
      </c>
      <c r="FC68" s="80">
        <v>0</v>
      </c>
      <c r="FD68" s="80">
        <v>5923</v>
      </c>
      <c r="FE68" s="80">
        <v>0</v>
      </c>
      <c r="FF68" s="80">
        <v>2852</v>
      </c>
      <c r="FG68" s="80">
        <v>1090</v>
      </c>
      <c r="FH68" s="80">
        <v>1762</v>
      </c>
      <c r="FI68" s="80">
        <v>0</v>
      </c>
      <c r="FJ68" s="80">
        <v>0</v>
      </c>
      <c r="FK68" s="80">
        <v>0</v>
      </c>
      <c r="FL68" s="80">
        <v>0</v>
      </c>
      <c r="FM68" s="80">
        <v>122</v>
      </c>
      <c r="FN68" s="80">
        <v>1213</v>
      </c>
      <c r="FO68" s="80">
        <v>238</v>
      </c>
      <c r="FP68" s="80">
        <v>1498</v>
      </c>
      <c r="FQ68" s="80">
        <v>42299</v>
      </c>
      <c r="FR68" s="80">
        <v>6605</v>
      </c>
      <c r="FS68" s="80">
        <v>1366</v>
      </c>
      <c r="FT68" s="100">
        <v>16010.764703096587</v>
      </c>
      <c r="FU68" s="100"/>
      <c r="FV68" s="100">
        <v>6258</v>
      </c>
      <c r="FW68" s="67">
        <v>1030</v>
      </c>
      <c r="FX68" s="100">
        <f t="shared" si="5"/>
        <v>-20771</v>
      </c>
      <c r="FY68" s="100">
        <f t="shared" si="6"/>
        <v>-27146</v>
      </c>
      <c r="FZ68" s="100">
        <v>18230.292924393245</v>
      </c>
      <c r="GA68" s="67">
        <v>6375</v>
      </c>
      <c r="GB68" s="58">
        <f t="shared" si="3"/>
        <v>117</v>
      </c>
      <c r="GC68" s="67">
        <v>1034</v>
      </c>
      <c r="GD68" s="100">
        <v>338</v>
      </c>
      <c r="GE68" s="100">
        <v>338</v>
      </c>
      <c r="GF68" s="58">
        <f t="shared" si="4"/>
        <v>0</v>
      </c>
      <c r="GG68" s="100">
        <v>-8663.2749999999996</v>
      </c>
      <c r="GH68" s="100">
        <v>-428.77935000000008</v>
      </c>
      <c r="GI68" s="100">
        <v>-9346.7051243678434</v>
      </c>
      <c r="GJ68" s="67">
        <f t="shared" si="7"/>
        <v>4</v>
      </c>
      <c r="GK68" s="67"/>
      <c r="GM68" s="96"/>
    </row>
    <row r="69" spans="1:195" ht="13.5" customHeight="1" x14ac:dyDescent="0.2">
      <c r="A69" s="74">
        <v>172</v>
      </c>
      <c r="B69" s="75" t="s">
        <v>39</v>
      </c>
      <c r="C69" s="75" t="s">
        <v>39</v>
      </c>
      <c r="D69" s="76"/>
      <c r="E69" s="77" t="s">
        <v>231</v>
      </c>
      <c r="F69" s="78">
        <v>2</v>
      </c>
      <c r="G69" s="79">
        <v>4688</v>
      </c>
      <c r="H69" s="80">
        <v>5916</v>
      </c>
      <c r="I69" s="80">
        <v>2224</v>
      </c>
      <c r="J69" s="80">
        <v>1627</v>
      </c>
      <c r="K69" s="80">
        <v>539</v>
      </c>
      <c r="L69" s="80">
        <v>1526</v>
      </c>
      <c r="M69" s="80">
        <v>0</v>
      </c>
      <c r="N69" s="80">
        <v>37</v>
      </c>
      <c r="O69" s="80">
        <v>32302</v>
      </c>
      <c r="P69" s="80">
        <v>12280</v>
      </c>
      <c r="Q69" s="80">
        <v>9184</v>
      </c>
      <c r="R69" s="80">
        <v>3096</v>
      </c>
      <c r="S69" s="80">
        <v>2627</v>
      </c>
      <c r="T69" s="80">
        <v>469</v>
      </c>
      <c r="U69" s="80">
        <v>15885</v>
      </c>
      <c r="V69" s="80">
        <v>1967</v>
      </c>
      <c r="W69" s="80">
        <v>1445</v>
      </c>
      <c r="X69" s="80">
        <v>725</v>
      </c>
      <c r="Y69" s="80">
        <v>-26349</v>
      </c>
      <c r="Z69" s="80">
        <v>15063</v>
      </c>
      <c r="AA69" s="80">
        <v>12130</v>
      </c>
      <c r="AB69" s="80">
        <v>1278</v>
      </c>
      <c r="AC69" s="80">
        <v>1655</v>
      </c>
      <c r="AD69" s="80">
        <v>14782</v>
      </c>
      <c r="AE69" s="80">
        <v>6</v>
      </c>
      <c r="AF69" s="80">
        <v>4</v>
      </c>
      <c r="AG69" s="80">
        <v>101</v>
      </c>
      <c r="AH69" s="80">
        <v>82</v>
      </c>
      <c r="AI69" s="80">
        <v>87</v>
      </c>
      <c r="AJ69" s="80">
        <v>12</v>
      </c>
      <c r="AK69" s="80">
        <v>3502</v>
      </c>
      <c r="AL69" s="80">
        <v>1268</v>
      </c>
      <c r="AM69" s="80">
        <v>1268</v>
      </c>
      <c r="AN69" s="80">
        <v>0</v>
      </c>
      <c r="AO69" s="80">
        <v>0</v>
      </c>
      <c r="AP69" s="80">
        <v>0</v>
      </c>
      <c r="AQ69" s="80">
        <v>0</v>
      </c>
      <c r="AR69" s="80">
        <v>2234</v>
      </c>
      <c r="AS69" s="80">
        <v>23</v>
      </c>
      <c r="AT69" s="80">
        <v>0</v>
      </c>
      <c r="AU69" s="80">
        <v>0</v>
      </c>
      <c r="AV69" s="80">
        <v>2257</v>
      </c>
      <c r="AW69" s="81"/>
      <c r="AX69" s="80">
        <v>2918</v>
      </c>
      <c r="AY69" s="80">
        <v>3502</v>
      </c>
      <c r="AZ69" s="80">
        <v>0</v>
      </c>
      <c r="BA69" s="80">
        <v>-584</v>
      </c>
      <c r="BB69" s="80">
        <v>154</v>
      </c>
      <c r="BC69" s="80">
        <v>763</v>
      </c>
      <c r="BD69" s="80">
        <v>27</v>
      </c>
      <c r="BE69" s="80">
        <v>890</v>
      </c>
      <c r="BF69" s="80">
        <v>3072</v>
      </c>
      <c r="BG69" s="80">
        <v>-2857</v>
      </c>
      <c r="BH69" s="80">
        <v>9</v>
      </c>
      <c r="BI69" s="80">
        <v>0</v>
      </c>
      <c r="BJ69" s="80">
        <v>9</v>
      </c>
      <c r="BK69" s="80">
        <v>-3431</v>
      </c>
      <c r="BL69" s="80">
        <v>0</v>
      </c>
      <c r="BM69" s="80">
        <v>2431</v>
      </c>
      <c r="BN69" s="80">
        <v>-1000</v>
      </c>
      <c r="BO69" s="80">
        <v>0</v>
      </c>
      <c r="BP69" s="80">
        <v>565</v>
      </c>
      <c r="BQ69" s="80">
        <v>519</v>
      </c>
      <c r="BR69" s="80">
        <v>0</v>
      </c>
      <c r="BS69" s="80">
        <v>154</v>
      </c>
      <c r="BT69" s="80">
        <v>-108</v>
      </c>
      <c r="BU69" s="80">
        <v>214</v>
      </c>
      <c r="BV69" s="80">
        <v>2018</v>
      </c>
      <c r="BW69" s="80">
        <v>1804</v>
      </c>
      <c r="BX69" s="81"/>
      <c r="BY69" s="80">
        <v>26038</v>
      </c>
      <c r="BZ69" s="80">
        <v>832</v>
      </c>
      <c r="CA69" s="80">
        <v>0</v>
      </c>
      <c r="CB69" s="80">
        <v>832</v>
      </c>
      <c r="CC69" s="80">
        <v>0</v>
      </c>
      <c r="CD69" s="80">
        <v>18306</v>
      </c>
      <c r="CE69" s="80">
        <v>1633</v>
      </c>
      <c r="CF69" s="80">
        <v>13517</v>
      </c>
      <c r="CG69" s="80">
        <v>2911</v>
      </c>
      <c r="CH69" s="80">
        <v>224</v>
      </c>
      <c r="CI69" s="80">
        <v>0</v>
      </c>
      <c r="CJ69" s="80">
        <v>0</v>
      </c>
      <c r="CK69" s="80">
        <v>21</v>
      </c>
      <c r="CL69" s="80">
        <v>6900</v>
      </c>
      <c r="CM69" s="80">
        <v>5293</v>
      </c>
      <c r="CN69" s="80">
        <v>1085</v>
      </c>
      <c r="CO69" s="80">
        <v>4208</v>
      </c>
      <c r="CP69" s="80">
        <v>0</v>
      </c>
      <c r="CQ69" s="80">
        <v>965</v>
      </c>
      <c r="CR69" s="80">
        <v>0</v>
      </c>
      <c r="CS69" s="80">
        <v>0</v>
      </c>
      <c r="CT69" s="80">
        <v>965</v>
      </c>
      <c r="CU69" s="80">
        <v>642</v>
      </c>
      <c r="CV69" s="80">
        <v>50</v>
      </c>
      <c r="CW69" s="80">
        <v>0</v>
      </c>
      <c r="CX69" s="80">
        <v>0</v>
      </c>
      <c r="CY69" s="80">
        <v>50</v>
      </c>
      <c r="CZ69" s="80">
        <v>3427</v>
      </c>
      <c r="DA69" s="80">
        <v>0</v>
      </c>
      <c r="DB69" s="80">
        <v>0</v>
      </c>
      <c r="DC69" s="80">
        <v>0</v>
      </c>
      <c r="DD69" s="80">
        <v>0</v>
      </c>
      <c r="DE69" s="80">
        <v>0</v>
      </c>
      <c r="DF69" s="80">
        <v>0</v>
      </c>
      <c r="DG69" s="80">
        <v>1409</v>
      </c>
      <c r="DH69" s="80">
        <v>60</v>
      </c>
      <c r="DI69" s="80">
        <v>60</v>
      </c>
      <c r="DJ69" s="80">
        <v>0</v>
      </c>
      <c r="DK69" s="80">
        <v>0</v>
      </c>
      <c r="DL69" s="80">
        <v>0</v>
      </c>
      <c r="DM69" s="80">
        <v>1349</v>
      </c>
      <c r="DN69" s="80">
        <v>1071</v>
      </c>
      <c r="DO69" s="80">
        <v>13</v>
      </c>
      <c r="DP69" s="80">
        <v>120</v>
      </c>
      <c r="DQ69" s="80">
        <v>145</v>
      </c>
      <c r="DR69" s="80">
        <v>0</v>
      </c>
      <c r="DS69" s="80">
        <v>0</v>
      </c>
      <c r="DT69" s="80">
        <v>0</v>
      </c>
      <c r="DU69" s="80">
        <v>0</v>
      </c>
      <c r="DV69" s="80">
        <v>0</v>
      </c>
      <c r="DW69" s="80">
        <v>2018</v>
      </c>
      <c r="DX69" s="80">
        <v>29515</v>
      </c>
      <c r="DY69" s="80">
        <v>9589</v>
      </c>
      <c r="DZ69" s="80">
        <v>5847</v>
      </c>
      <c r="EA69" s="80">
        <v>400</v>
      </c>
      <c r="EB69" s="80">
        <v>328</v>
      </c>
      <c r="EC69" s="80">
        <v>757</v>
      </c>
      <c r="ED69" s="80">
        <v>2257</v>
      </c>
      <c r="EE69" s="80">
        <v>128</v>
      </c>
      <c r="EF69" s="80">
        <v>128</v>
      </c>
      <c r="EG69" s="80">
        <v>0</v>
      </c>
      <c r="EH69" s="80">
        <v>23</v>
      </c>
      <c r="EI69" s="80">
        <v>0</v>
      </c>
      <c r="EJ69" s="80">
        <v>23</v>
      </c>
      <c r="EK69" s="80">
        <v>1628</v>
      </c>
      <c r="EL69" s="80">
        <v>0</v>
      </c>
      <c r="EM69" s="80">
        <v>1511</v>
      </c>
      <c r="EN69" s="80">
        <v>117</v>
      </c>
      <c r="EO69" s="80">
        <v>18147</v>
      </c>
      <c r="EP69" s="80">
        <v>7919</v>
      </c>
      <c r="EQ69" s="80">
        <v>0</v>
      </c>
      <c r="ER69" s="80">
        <v>7463</v>
      </c>
      <c r="ES69" s="80">
        <v>109</v>
      </c>
      <c r="ET69" s="80">
        <v>7354</v>
      </c>
      <c r="EU69" s="80">
        <v>0</v>
      </c>
      <c r="EV69" s="80">
        <v>0</v>
      </c>
      <c r="EW69" s="80">
        <v>251</v>
      </c>
      <c r="EX69" s="80">
        <v>0</v>
      </c>
      <c r="EY69" s="80">
        <v>20</v>
      </c>
      <c r="EZ69" s="80">
        <v>62</v>
      </c>
      <c r="FA69" s="80">
        <v>123</v>
      </c>
      <c r="FB69" s="80">
        <v>0</v>
      </c>
      <c r="FC69" s="80">
        <v>0</v>
      </c>
      <c r="FD69" s="80">
        <v>10228</v>
      </c>
      <c r="FE69" s="80">
        <v>0</v>
      </c>
      <c r="FF69" s="80">
        <v>6035</v>
      </c>
      <c r="FG69" s="80">
        <v>1036</v>
      </c>
      <c r="FH69" s="80">
        <v>4999</v>
      </c>
      <c r="FI69" s="80">
        <v>0</v>
      </c>
      <c r="FJ69" s="80">
        <v>0</v>
      </c>
      <c r="FK69" s="80">
        <v>66</v>
      </c>
      <c r="FL69" s="80">
        <v>0</v>
      </c>
      <c r="FM69" s="80">
        <v>158</v>
      </c>
      <c r="FN69" s="80">
        <v>1838</v>
      </c>
      <c r="FO69" s="80">
        <v>204</v>
      </c>
      <c r="FP69" s="80">
        <v>1927</v>
      </c>
      <c r="FQ69" s="80">
        <v>29515</v>
      </c>
      <c r="FR69" s="80">
        <v>5545</v>
      </c>
      <c r="FS69" s="80">
        <v>1360</v>
      </c>
      <c r="FT69" s="100">
        <v>16239.603805319235</v>
      </c>
      <c r="FU69" s="100"/>
      <c r="FV69" s="100">
        <v>7955</v>
      </c>
      <c r="FW69" s="67">
        <v>1268</v>
      </c>
      <c r="FX69" s="100">
        <f t="shared" si="5"/>
        <v>-15176</v>
      </c>
      <c r="FY69" s="100">
        <f t="shared" si="6"/>
        <v>-25081</v>
      </c>
      <c r="FZ69" s="100">
        <v>17838.919720466158</v>
      </c>
      <c r="GA69" s="67">
        <v>9905</v>
      </c>
      <c r="GB69" s="58">
        <f t="shared" si="3"/>
        <v>1950</v>
      </c>
      <c r="GC69" s="67">
        <v>1268</v>
      </c>
      <c r="GD69" s="100">
        <v>1627</v>
      </c>
      <c r="GE69" s="100">
        <v>336</v>
      </c>
      <c r="GF69" s="58">
        <f t="shared" si="4"/>
        <v>1291</v>
      </c>
      <c r="GG69" s="100">
        <v>-6940.1650000000009</v>
      </c>
      <c r="GH69" s="100">
        <v>-406.12050000000022</v>
      </c>
      <c r="GI69" s="100">
        <v>-10815.015159291235</v>
      </c>
      <c r="GJ69" s="67">
        <f t="shared" si="7"/>
        <v>0</v>
      </c>
      <c r="GK69" s="67"/>
      <c r="GM69" s="96"/>
    </row>
    <row r="70" spans="1:195" ht="13.5" customHeight="1" x14ac:dyDescent="0.2">
      <c r="A70" s="74">
        <v>174</v>
      </c>
      <c r="B70" s="75" t="s">
        <v>40</v>
      </c>
      <c r="C70" s="75" t="s">
        <v>40</v>
      </c>
      <c r="D70" s="76"/>
      <c r="E70" s="77" t="s">
        <v>239</v>
      </c>
      <c r="F70" s="78">
        <v>2</v>
      </c>
      <c r="G70" s="79">
        <v>4804</v>
      </c>
      <c r="H70" s="80">
        <v>6945</v>
      </c>
      <c r="I70" s="80">
        <v>2915</v>
      </c>
      <c r="J70" s="80">
        <v>1354</v>
      </c>
      <c r="K70" s="80">
        <v>630</v>
      </c>
      <c r="L70" s="80">
        <v>2046</v>
      </c>
      <c r="M70" s="80">
        <v>0</v>
      </c>
      <c r="N70" s="80">
        <v>0</v>
      </c>
      <c r="O70" s="80">
        <v>37081</v>
      </c>
      <c r="P70" s="80">
        <v>12589</v>
      </c>
      <c r="Q70" s="80">
        <v>9266</v>
      </c>
      <c r="R70" s="80">
        <v>3323</v>
      </c>
      <c r="S70" s="80">
        <v>2823</v>
      </c>
      <c r="T70" s="80">
        <v>500</v>
      </c>
      <c r="U70" s="80">
        <v>20674</v>
      </c>
      <c r="V70" s="80">
        <v>1980</v>
      </c>
      <c r="W70" s="80">
        <v>1365</v>
      </c>
      <c r="X70" s="80">
        <v>473</v>
      </c>
      <c r="Y70" s="80">
        <v>-30136</v>
      </c>
      <c r="Z70" s="80">
        <v>15742</v>
      </c>
      <c r="AA70" s="80">
        <v>13711</v>
      </c>
      <c r="AB70" s="80">
        <v>687</v>
      </c>
      <c r="AC70" s="80">
        <v>1344</v>
      </c>
      <c r="AD70" s="80">
        <v>14532</v>
      </c>
      <c r="AE70" s="80">
        <v>697</v>
      </c>
      <c r="AF70" s="80">
        <v>16</v>
      </c>
      <c r="AG70" s="80">
        <v>911</v>
      </c>
      <c r="AH70" s="80">
        <v>0</v>
      </c>
      <c r="AI70" s="80">
        <v>162</v>
      </c>
      <c r="AJ70" s="80">
        <v>68</v>
      </c>
      <c r="AK70" s="80">
        <v>835</v>
      </c>
      <c r="AL70" s="80">
        <v>1454</v>
      </c>
      <c r="AM70" s="80">
        <v>1454</v>
      </c>
      <c r="AN70" s="80">
        <v>0</v>
      </c>
      <c r="AO70" s="80">
        <v>0</v>
      </c>
      <c r="AP70" s="80">
        <v>0</v>
      </c>
      <c r="AQ70" s="80">
        <v>0</v>
      </c>
      <c r="AR70" s="80">
        <v>-619</v>
      </c>
      <c r="AS70" s="80">
        <v>77</v>
      </c>
      <c r="AT70" s="80">
        <v>0</v>
      </c>
      <c r="AU70" s="80">
        <v>0</v>
      </c>
      <c r="AV70" s="80">
        <v>-542</v>
      </c>
      <c r="AW70" s="81"/>
      <c r="AX70" s="80">
        <v>664</v>
      </c>
      <c r="AY70" s="80">
        <v>835</v>
      </c>
      <c r="AZ70" s="80">
        <v>0</v>
      </c>
      <c r="BA70" s="80">
        <v>-171</v>
      </c>
      <c r="BB70" s="80">
        <v>-852</v>
      </c>
      <c r="BC70" s="80">
        <v>1112</v>
      </c>
      <c r="BD70" s="80">
        <v>32</v>
      </c>
      <c r="BE70" s="80">
        <v>228</v>
      </c>
      <c r="BF70" s="80">
        <v>-188</v>
      </c>
      <c r="BG70" s="80">
        <v>1670</v>
      </c>
      <c r="BH70" s="80">
        <v>8</v>
      </c>
      <c r="BI70" s="80">
        <v>17</v>
      </c>
      <c r="BJ70" s="80">
        <v>25</v>
      </c>
      <c r="BK70" s="80">
        <v>1054</v>
      </c>
      <c r="BL70" s="80">
        <v>0</v>
      </c>
      <c r="BM70" s="80">
        <v>2496</v>
      </c>
      <c r="BN70" s="80">
        <v>3550</v>
      </c>
      <c r="BO70" s="80">
        <v>0</v>
      </c>
      <c r="BP70" s="80">
        <v>608</v>
      </c>
      <c r="BQ70" s="80">
        <v>-157</v>
      </c>
      <c r="BR70" s="80">
        <v>0</v>
      </c>
      <c r="BS70" s="80">
        <v>538</v>
      </c>
      <c r="BT70" s="80">
        <v>227</v>
      </c>
      <c r="BU70" s="80">
        <v>1482</v>
      </c>
      <c r="BV70" s="80">
        <v>2719</v>
      </c>
      <c r="BW70" s="80">
        <v>1237</v>
      </c>
      <c r="BX70" s="81"/>
      <c r="BY70" s="80">
        <v>31738</v>
      </c>
      <c r="BZ70" s="80">
        <v>59</v>
      </c>
      <c r="CA70" s="80">
        <v>0</v>
      </c>
      <c r="CB70" s="80">
        <v>59</v>
      </c>
      <c r="CC70" s="80">
        <v>0</v>
      </c>
      <c r="CD70" s="80">
        <v>26178</v>
      </c>
      <c r="CE70" s="80">
        <v>1522</v>
      </c>
      <c r="CF70" s="80">
        <v>18200</v>
      </c>
      <c r="CG70" s="80">
        <v>5727</v>
      </c>
      <c r="CH70" s="80">
        <v>439</v>
      </c>
      <c r="CI70" s="80">
        <v>0</v>
      </c>
      <c r="CJ70" s="80">
        <v>0</v>
      </c>
      <c r="CK70" s="80">
        <v>290</v>
      </c>
      <c r="CL70" s="80">
        <v>5501</v>
      </c>
      <c r="CM70" s="80">
        <v>5234</v>
      </c>
      <c r="CN70" s="80">
        <v>3195</v>
      </c>
      <c r="CO70" s="80">
        <v>2039</v>
      </c>
      <c r="CP70" s="80">
        <v>0</v>
      </c>
      <c r="CQ70" s="80">
        <v>162</v>
      </c>
      <c r="CR70" s="80">
        <v>0</v>
      </c>
      <c r="CS70" s="80">
        <v>0</v>
      </c>
      <c r="CT70" s="80">
        <v>162</v>
      </c>
      <c r="CU70" s="80">
        <v>105</v>
      </c>
      <c r="CV70" s="80">
        <v>43</v>
      </c>
      <c r="CW70" s="80">
        <v>1</v>
      </c>
      <c r="CX70" s="80">
        <v>42</v>
      </c>
      <c r="CY70" s="80">
        <v>0</v>
      </c>
      <c r="CZ70" s="80">
        <v>4227</v>
      </c>
      <c r="DA70" s="80">
        <v>0</v>
      </c>
      <c r="DB70" s="80">
        <v>0</v>
      </c>
      <c r="DC70" s="80">
        <v>0</v>
      </c>
      <c r="DD70" s="80">
        <v>0</v>
      </c>
      <c r="DE70" s="80">
        <v>0</v>
      </c>
      <c r="DF70" s="80">
        <v>0</v>
      </c>
      <c r="DG70" s="80">
        <v>1508</v>
      </c>
      <c r="DH70" s="80">
        <v>343</v>
      </c>
      <c r="DI70" s="80">
        <v>0</v>
      </c>
      <c r="DJ70" s="80">
        <v>16</v>
      </c>
      <c r="DK70" s="80">
        <v>327</v>
      </c>
      <c r="DL70" s="80">
        <v>0</v>
      </c>
      <c r="DM70" s="80">
        <v>1165</v>
      </c>
      <c r="DN70" s="80">
        <v>797</v>
      </c>
      <c r="DO70" s="80">
        <v>7</v>
      </c>
      <c r="DP70" s="80">
        <v>108</v>
      </c>
      <c r="DQ70" s="80">
        <v>253</v>
      </c>
      <c r="DR70" s="80">
        <v>922</v>
      </c>
      <c r="DS70" s="80">
        <v>922</v>
      </c>
      <c r="DT70" s="80">
        <v>0</v>
      </c>
      <c r="DU70" s="80">
        <v>0</v>
      </c>
      <c r="DV70" s="80">
        <v>0</v>
      </c>
      <c r="DW70" s="80">
        <v>1797</v>
      </c>
      <c r="DX70" s="80">
        <v>36008</v>
      </c>
      <c r="DY70" s="80">
        <v>7441</v>
      </c>
      <c r="DZ70" s="80">
        <v>17921</v>
      </c>
      <c r="EA70" s="80">
        <v>0</v>
      </c>
      <c r="EB70" s="80">
        <v>0</v>
      </c>
      <c r="EC70" s="80">
        <v>-9938</v>
      </c>
      <c r="ED70" s="80">
        <v>-542</v>
      </c>
      <c r="EE70" s="80">
        <v>626</v>
      </c>
      <c r="EF70" s="80">
        <v>626</v>
      </c>
      <c r="EG70" s="80">
        <v>0</v>
      </c>
      <c r="EH70" s="80">
        <v>0</v>
      </c>
      <c r="EI70" s="80">
        <v>0</v>
      </c>
      <c r="EJ70" s="80">
        <v>0</v>
      </c>
      <c r="EK70" s="80">
        <v>202</v>
      </c>
      <c r="EL70" s="80">
        <v>0</v>
      </c>
      <c r="EM70" s="80">
        <v>91</v>
      </c>
      <c r="EN70" s="80">
        <v>111</v>
      </c>
      <c r="EO70" s="80">
        <v>27739</v>
      </c>
      <c r="EP70" s="80">
        <v>7466</v>
      </c>
      <c r="EQ70" s="80">
        <v>0</v>
      </c>
      <c r="ER70" s="80">
        <v>7466</v>
      </c>
      <c r="ES70" s="80">
        <v>6579</v>
      </c>
      <c r="ET70" s="80">
        <v>887</v>
      </c>
      <c r="EU70" s="80">
        <v>0</v>
      </c>
      <c r="EV70" s="80">
        <v>0</v>
      </c>
      <c r="EW70" s="80">
        <v>0</v>
      </c>
      <c r="EX70" s="80">
        <v>0</v>
      </c>
      <c r="EY70" s="80">
        <v>0</v>
      </c>
      <c r="EZ70" s="80">
        <v>0</v>
      </c>
      <c r="FA70" s="80">
        <v>0</v>
      </c>
      <c r="FB70" s="80">
        <v>0</v>
      </c>
      <c r="FC70" s="80">
        <v>0</v>
      </c>
      <c r="FD70" s="80">
        <v>20273</v>
      </c>
      <c r="FE70" s="80">
        <v>0</v>
      </c>
      <c r="FF70" s="80">
        <v>17020</v>
      </c>
      <c r="FG70" s="80">
        <v>6120</v>
      </c>
      <c r="FH70" s="80">
        <v>10900</v>
      </c>
      <c r="FI70" s="80">
        <v>0</v>
      </c>
      <c r="FJ70" s="80">
        <v>0</v>
      </c>
      <c r="FK70" s="80">
        <v>0</v>
      </c>
      <c r="FL70" s="80">
        <v>0</v>
      </c>
      <c r="FM70" s="80">
        <v>54</v>
      </c>
      <c r="FN70" s="80">
        <v>1328</v>
      </c>
      <c r="FO70" s="80">
        <v>221</v>
      </c>
      <c r="FP70" s="80">
        <v>1650</v>
      </c>
      <c r="FQ70" s="80">
        <v>36008</v>
      </c>
      <c r="FR70" s="80">
        <v>3217</v>
      </c>
      <c r="FS70" s="80">
        <v>69</v>
      </c>
      <c r="FT70" s="100">
        <v>17513.191582252221</v>
      </c>
      <c r="FU70" s="100"/>
      <c r="FV70" s="100">
        <v>9182</v>
      </c>
      <c r="FW70" s="67">
        <v>1443</v>
      </c>
      <c r="FX70" s="100">
        <f t="shared" si="5"/>
        <v>-17369</v>
      </c>
      <c r="FY70" s="100">
        <f t="shared" si="6"/>
        <v>-28682</v>
      </c>
      <c r="FZ70" s="100">
        <v>21383.356128813753</v>
      </c>
      <c r="GA70" s="67">
        <v>11313</v>
      </c>
      <c r="GB70" s="58">
        <f t="shared" si="3"/>
        <v>2131</v>
      </c>
      <c r="GC70" s="67">
        <v>1454</v>
      </c>
      <c r="GD70" s="100">
        <v>1353</v>
      </c>
      <c r="GE70" s="100">
        <v>194</v>
      </c>
      <c r="GF70" s="58">
        <f t="shared" si="4"/>
        <v>1159</v>
      </c>
      <c r="GG70" s="100">
        <v>-7630.509</v>
      </c>
      <c r="GH70" s="100">
        <v>-210.75655000000006</v>
      </c>
      <c r="GI70" s="100">
        <v>-13872.598582393979</v>
      </c>
      <c r="GJ70" s="67">
        <f t="shared" si="7"/>
        <v>11</v>
      </c>
      <c r="GK70" s="67"/>
      <c r="GM70" s="96"/>
    </row>
    <row r="71" spans="1:195" ht="13.5" customHeight="1" x14ac:dyDescent="0.2">
      <c r="A71" s="74">
        <v>176</v>
      </c>
      <c r="B71" s="75" t="s">
        <v>41</v>
      </c>
      <c r="C71" s="75" t="s">
        <v>41</v>
      </c>
      <c r="D71" s="76"/>
      <c r="E71" s="77" t="s">
        <v>242</v>
      </c>
      <c r="F71" s="78">
        <v>3</v>
      </c>
      <c r="G71" s="79">
        <v>5034</v>
      </c>
      <c r="H71" s="80">
        <v>8112</v>
      </c>
      <c r="I71" s="80">
        <v>3299</v>
      </c>
      <c r="J71" s="80">
        <v>2660</v>
      </c>
      <c r="K71" s="80">
        <v>728</v>
      </c>
      <c r="L71" s="80">
        <v>1425</v>
      </c>
      <c r="M71" s="80">
        <v>0</v>
      </c>
      <c r="N71" s="80">
        <v>0</v>
      </c>
      <c r="O71" s="80">
        <v>41368</v>
      </c>
      <c r="P71" s="80">
        <v>18625</v>
      </c>
      <c r="Q71" s="80">
        <v>13953</v>
      </c>
      <c r="R71" s="80">
        <v>4672</v>
      </c>
      <c r="S71" s="80">
        <v>3960</v>
      </c>
      <c r="T71" s="80">
        <v>712</v>
      </c>
      <c r="U71" s="80">
        <v>17690</v>
      </c>
      <c r="V71" s="80">
        <v>2621</v>
      </c>
      <c r="W71" s="80">
        <v>1731</v>
      </c>
      <c r="X71" s="80">
        <v>701</v>
      </c>
      <c r="Y71" s="80">
        <v>-33256</v>
      </c>
      <c r="Z71" s="80">
        <v>15520</v>
      </c>
      <c r="AA71" s="80">
        <v>12462</v>
      </c>
      <c r="AB71" s="80">
        <v>1832</v>
      </c>
      <c r="AC71" s="80">
        <v>1226</v>
      </c>
      <c r="AD71" s="80">
        <v>20578</v>
      </c>
      <c r="AE71" s="80">
        <v>420</v>
      </c>
      <c r="AF71" s="80">
        <v>120</v>
      </c>
      <c r="AG71" s="80">
        <v>361</v>
      </c>
      <c r="AH71" s="80">
        <v>348</v>
      </c>
      <c r="AI71" s="80">
        <v>61</v>
      </c>
      <c r="AJ71" s="80">
        <v>0</v>
      </c>
      <c r="AK71" s="80">
        <v>3262</v>
      </c>
      <c r="AL71" s="80">
        <v>2021</v>
      </c>
      <c r="AM71" s="80">
        <v>2021</v>
      </c>
      <c r="AN71" s="80">
        <v>0</v>
      </c>
      <c r="AO71" s="80">
        <v>2375</v>
      </c>
      <c r="AP71" s="80">
        <v>3307</v>
      </c>
      <c r="AQ71" s="80">
        <v>932</v>
      </c>
      <c r="AR71" s="80">
        <v>3616</v>
      </c>
      <c r="AS71" s="80">
        <v>344</v>
      </c>
      <c r="AT71" s="80">
        <v>0</v>
      </c>
      <c r="AU71" s="80">
        <v>0</v>
      </c>
      <c r="AV71" s="80">
        <v>3960</v>
      </c>
      <c r="AW71" s="81"/>
      <c r="AX71" s="80">
        <v>5446</v>
      </c>
      <c r="AY71" s="80">
        <v>3262</v>
      </c>
      <c r="AZ71" s="80">
        <v>2375</v>
      </c>
      <c r="BA71" s="80">
        <v>-191</v>
      </c>
      <c r="BB71" s="80">
        <v>-6329</v>
      </c>
      <c r="BC71" s="80">
        <v>7713</v>
      </c>
      <c r="BD71" s="80">
        <v>252</v>
      </c>
      <c r="BE71" s="80">
        <v>1132</v>
      </c>
      <c r="BF71" s="80">
        <v>-883</v>
      </c>
      <c r="BG71" s="80">
        <v>1344</v>
      </c>
      <c r="BH71" s="80">
        <v>977</v>
      </c>
      <c r="BI71" s="80">
        <v>617</v>
      </c>
      <c r="BJ71" s="80">
        <v>1594</v>
      </c>
      <c r="BK71" s="80">
        <v>0</v>
      </c>
      <c r="BL71" s="80">
        <v>0</v>
      </c>
      <c r="BM71" s="80">
        <v>0</v>
      </c>
      <c r="BN71" s="80">
        <v>0</v>
      </c>
      <c r="BO71" s="80">
        <v>0</v>
      </c>
      <c r="BP71" s="80">
        <v>367</v>
      </c>
      <c r="BQ71" s="80">
        <v>3</v>
      </c>
      <c r="BR71" s="80">
        <v>19</v>
      </c>
      <c r="BS71" s="80">
        <v>768</v>
      </c>
      <c r="BT71" s="80">
        <v>-423</v>
      </c>
      <c r="BU71" s="80">
        <v>461</v>
      </c>
      <c r="BV71" s="80">
        <v>4001</v>
      </c>
      <c r="BW71" s="80">
        <v>3540</v>
      </c>
      <c r="BX71" s="81"/>
      <c r="BY71" s="80">
        <v>34214</v>
      </c>
      <c r="BZ71" s="80">
        <v>666</v>
      </c>
      <c r="CA71" s="80">
        <v>0</v>
      </c>
      <c r="CB71" s="80">
        <v>666</v>
      </c>
      <c r="CC71" s="80">
        <v>0</v>
      </c>
      <c r="CD71" s="80">
        <v>24283</v>
      </c>
      <c r="CE71" s="80">
        <v>2332</v>
      </c>
      <c r="CF71" s="80">
        <v>16800</v>
      </c>
      <c r="CG71" s="80">
        <v>4004</v>
      </c>
      <c r="CH71" s="80">
        <v>505</v>
      </c>
      <c r="CI71" s="80">
        <v>2</v>
      </c>
      <c r="CJ71" s="80">
        <v>2</v>
      </c>
      <c r="CK71" s="80">
        <v>640</v>
      </c>
      <c r="CL71" s="80">
        <v>9265</v>
      </c>
      <c r="CM71" s="80">
        <v>6219</v>
      </c>
      <c r="CN71" s="80">
        <v>1464</v>
      </c>
      <c r="CO71" s="80">
        <v>4755</v>
      </c>
      <c r="CP71" s="80">
        <v>0</v>
      </c>
      <c r="CQ71" s="80">
        <v>2986</v>
      </c>
      <c r="CR71" s="80">
        <v>0</v>
      </c>
      <c r="CS71" s="80">
        <v>0</v>
      </c>
      <c r="CT71" s="80">
        <v>2986</v>
      </c>
      <c r="CU71" s="80">
        <v>60</v>
      </c>
      <c r="CV71" s="80">
        <v>0</v>
      </c>
      <c r="CW71" s="80">
        <v>0</v>
      </c>
      <c r="CX71" s="80">
        <v>0</v>
      </c>
      <c r="CY71" s="80">
        <v>0</v>
      </c>
      <c r="CZ71" s="80">
        <v>6636</v>
      </c>
      <c r="DA71" s="80">
        <v>67</v>
      </c>
      <c r="DB71" s="80">
        <v>0</v>
      </c>
      <c r="DC71" s="80">
        <v>0</v>
      </c>
      <c r="DD71" s="80">
        <v>67</v>
      </c>
      <c r="DE71" s="80">
        <v>0</v>
      </c>
      <c r="DF71" s="80">
        <v>0</v>
      </c>
      <c r="DG71" s="80">
        <v>2568</v>
      </c>
      <c r="DH71" s="80">
        <v>811</v>
      </c>
      <c r="DI71" s="80">
        <v>0</v>
      </c>
      <c r="DJ71" s="80">
        <v>811</v>
      </c>
      <c r="DK71" s="80">
        <v>0</v>
      </c>
      <c r="DL71" s="80">
        <v>0</v>
      </c>
      <c r="DM71" s="80">
        <v>1757</v>
      </c>
      <c r="DN71" s="80">
        <v>1061</v>
      </c>
      <c r="DO71" s="80">
        <v>0</v>
      </c>
      <c r="DP71" s="80">
        <v>342</v>
      </c>
      <c r="DQ71" s="80">
        <v>354</v>
      </c>
      <c r="DR71" s="80">
        <v>2151</v>
      </c>
      <c r="DS71" s="80">
        <v>2151</v>
      </c>
      <c r="DT71" s="80">
        <v>0</v>
      </c>
      <c r="DU71" s="80">
        <v>0</v>
      </c>
      <c r="DV71" s="80">
        <v>0</v>
      </c>
      <c r="DW71" s="80">
        <v>1850</v>
      </c>
      <c r="DX71" s="80">
        <v>40850</v>
      </c>
      <c r="DY71" s="80">
        <v>26838</v>
      </c>
      <c r="DZ71" s="80">
        <v>16732</v>
      </c>
      <c r="EA71" s="80">
        <v>0</v>
      </c>
      <c r="EB71" s="80">
        <v>0</v>
      </c>
      <c r="EC71" s="80">
        <v>6146</v>
      </c>
      <c r="ED71" s="80">
        <v>3960</v>
      </c>
      <c r="EE71" s="80">
        <v>3162</v>
      </c>
      <c r="EF71" s="80">
        <v>2802</v>
      </c>
      <c r="EG71" s="80">
        <v>360</v>
      </c>
      <c r="EH71" s="80">
        <v>0</v>
      </c>
      <c r="EI71" s="80">
        <v>0</v>
      </c>
      <c r="EJ71" s="80">
        <v>0</v>
      </c>
      <c r="EK71" s="80">
        <v>220</v>
      </c>
      <c r="EL71" s="80">
        <v>5</v>
      </c>
      <c r="EM71" s="80">
        <v>0</v>
      </c>
      <c r="EN71" s="80">
        <v>215</v>
      </c>
      <c r="EO71" s="80">
        <v>10630</v>
      </c>
      <c r="EP71" s="80">
        <v>5172</v>
      </c>
      <c r="EQ71" s="80">
        <v>0</v>
      </c>
      <c r="ER71" s="80">
        <v>5000</v>
      </c>
      <c r="ES71" s="80">
        <v>0</v>
      </c>
      <c r="ET71" s="80">
        <v>5000</v>
      </c>
      <c r="EU71" s="80">
        <v>0</v>
      </c>
      <c r="EV71" s="80">
        <v>0</v>
      </c>
      <c r="EW71" s="80">
        <v>0</v>
      </c>
      <c r="EX71" s="80">
        <v>0</v>
      </c>
      <c r="EY71" s="80">
        <v>0</v>
      </c>
      <c r="EZ71" s="80">
        <v>0</v>
      </c>
      <c r="FA71" s="80">
        <v>172</v>
      </c>
      <c r="FB71" s="80">
        <v>0</v>
      </c>
      <c r="FC71" s="80">
        <v>0</v>
      </c>
      <c r="FD71" s="80">
        <v>5458</v>
      </c>
      <c r="FE71" s="80">
        <v>0</v>
      </c>
      <c r="FF71" s="80">
        <v>0</v>
      </c>
      <c r="FG71" s="80">
        <v>0</v>
      </c>
      <c r="FH71" s="80">
        <v>0</v>
      </c>
      <c r="FI71" s="80">
        <v>0</v>
      </c>
      <c r="FJ71" s="80">
        <v>0</v>
      </c>
      <c r="FK71" s="80">
        <v>0</v>
      </c>
      <c r="FL71" s="80">
        <v>0</v>
      </c>
      <c r="FM71" s="80">
        <v>0</v>
      </c>
      <c r="FN71" s="80">
        <v>2023</v>
      </c>
      <c r="FO71" s="80">
        <v>361</v>
      </c>
      <c r="FP71" s="80">
        <v>3074</v>
      </c>
      <c r="FQ71" s="80">
        <v>40850</v>
      </c>
      <c r="FR71" s="80">
        <v>3745</v>
      </c>
      <c r="FS71" s="80">
        <v>1218</v>
      </c>
      <c r="FT71" s="100">
        <v>18807.485726040177</v>
      </c>
      <c r="FU71" s="100"/>
      <c r="FV71" s="100">
        <v>9991</v>
      </c>
      <c r="FW71" s="67">
        <v>1937</v>
      </c>
      <c r="FX71" s="100">
        <f t="shared" si="5"/>
        <v>-17182</v>
      </c>
      <c r="FY71" s="100">
        <f t="shared" si="6"/>
        <v>-31235</v>
      </c>
      <c r="FZ71" s="100">
        <v>23790.945401200872</v>
      </c>
      <c r="GA71" s="67">
        <v>14053</v>
      </c>
      <c r="GB71" s="58">
        <f t="shared" si="3"/>
        <v>4062</v>
      </c>
      <c r="GC71" s="67">
        <v>2021</v>
      </c>
      <c r="GD71" s="100">
        <v>2663</v>
      </c>
      <c r="GE71" s="100">
        <v>380</v>
      </c>
      <c r="GF71" s="58">
        <f t="shared" si="4"/>
        <v>2283</v>
      </c>
      <c r="GG71" s="100">
        <v>-6988.915</v>
      </c>
      <c r="GH71" s="100">
        <v>-549.59460000000024</v>
      </c>
      <c r="GI71" s="100">
        <v>-16801.232155564187</v>
      </c>
      <c r="GJ71" s="67">
        <f t="shared" si="7"/>
        <v>84</v>
      </c>
      <c r="GK71" s="67"/>
      <c r="GM71" s="96"/>
    </row>
    <row r="72" spans="1:195" ht="13.5" customHeight="1" x14ac:dyDescent="0.2">
      <c r="A72" s="74">
        <v>177</v>
      </c>
      <c r="B72" s="75" t="s">
        <v>42</v>
      </c>
      <c r="C72" s="75" t="s">
        <v>42</v>
      </c>
      <c r="D72" s="76"/>
      <c r="E72" s="77" t="s">
        <v>214</v>
      </c>
      <c r="F72" s="78">
        <v>1</v>
      </c>
      <c r="G72" s="79">
        <v>1988</v>
      </c>
      <c r="H72" s="80">
        <v>1207</v>
      </c>
      <c r="I72" s="80">
        <v>892</v>
      </c>
      <c r="J72" s="80">
        <v>121</v>
      </c>
      <c r="K72" s="80">
        <v>30</v>
      </c>
      <c r="L72" s="80">
        <v>164</v>
      </c>
      <c r="M72" s="80">
        <v>0</v>
      </c>
      <c r="N72" s="80">
        <v>0</v>
      </c>
      <c r="O72" s="80">
        <v>11959</v>
      </c>
      <c r="P72" s="80">
        <v>3190</v>
      </c>
      <c r="Q72" s="80">
        <v>2348</v>
      </c>
      <c r="R72" s="80">
        <v>842</v>
      </c>
      <c r="S72" s="80">
        <v>752</v>
      </c>
      <c r="T72" s="80">
        <v>90</v>
      </c>
      <c r="U72" s="80">
        <v>7751</v>
      </c>
      <c r="V72" s="80">
        <v>671</v>
      </c>
      <c r="W72" s="80">
        <v>205</v>
      </c>
      <c r="X72" s="80">
        <v>142</v>
      </c>
      <c r="Y72" s="80">
        <v>-10752</v>
      </c>
      <c r="Z72" s="80">
        <v>7280</v>
      </c>
      <c r="AA72" s="80">
        <v>5987</v>
      </c>
      <c r="AB72" s="80">
        <v>752</v>
      </c>
      <c r="AC72" s="80">
        <v>541</v>
      </c>
      <c r="AD72" s="80">
        <v>4709</v>
      </c>
      <c r="AE72" s="80">
        <v>25</v>
      </c>
      <c r="AF72" s="80">
        <v>25</v>
      </c>
      <c r="AG72" s="80">
        <v>8</v>
      </c>
      <c r="AH72" s="80">
        <v>0</v>
      </c>
      <c r="AI72" s="80">
        <v>52</v>
      </c>
      <c r="AJ72" s="80">
        <v>-44</v>
      </c>
      <c r="AK72" s="80">
        <v>1262</v>
      </c>
      <c r="AL72" s="80">
        <v>475</v>
      </c>
      <c r="AM72" s="80">
        <v>475</v>
      </c>
      <c r="AN72" s="80">
        <v>0</v>
      </c>
      <c r="AO72" s="80">
        <v>-7</v>
      </c>
      <c r="AP72" s="80">
        <v>0</v>
      </c>
      <c r="AQ72" s="80">
        <v>7</v>
      </c>
      <c r="AR72" s="80">
        <v>780</v>
      </c>
      <c r="AS72" s="80">
        <v>11</v>
      </c>
      <c r="AT72" s="80">
        <v>0</v>
      </c>
      <c r="AU72" s="80">
        <v>0</v>
      </c>
      <c r="AV72" s="80">
        <v>791</v>
      </c>
      <c r="AW72" s="81"/>
      <c r="AX72" s="80">
        <v>1255</v>
      </c>
      <c r="AY72" s="80">
        <v>1262</v>
      </c>
      <c r="AZ72" s="80">
        <v>-7</v>
      </c>
      <c r="BA72" s="80">
        <v>0</v>
      </c>
      <c r="BB72" s="80">
        <v>-412</v>
      </c>
      <c r="BC72" s="80">
        <v>449</v>
      </c>
      <c r="BD72" s="80">
        <v>37</v>
      </c>
      <c r="BE72" s="80">
        <v>0</v>
      </c>
      <c r="BF72" s="80">
        <v>843</v>
      </c>
      <c r="BG72" s="80">
        <v>152</v>
      </c>
      <c r="BH72" s="80">
        <v>4</v>
      </c>
      <c r="BI72" s="80">
        <v>0</v>
      </c>
      <c r="BJ72" s="80">
        <v>4</v>
      </c>
      <c r="BK72" s="80">
        <v>-185</v>
      </c>
      <c r="BL72" s="80">
        <v>0</v>
      </c>
      <c r="BM72" s="80">
        <v>185</v>
      </c>
      <c r="BN72" s="80">
        <v>0</v>
      </c>
      <c r="BO72" s="80">
        <v>0</v>
      </c>
      <c r="BP72" s="80">
        <v>333</v>
      </c>
      <c r="BQ72" s="80">
        <v>9</v>
      </c>
      <c r="BR72" s="80">
        <v>0</v>
      </c>
      <c r="BS72" s="80">
        <v>206</v>
      </c>
      <c r="BT72" s="80">
        <v>118</v>
      </c>
      <c r="BU72" s="80">
        <v>995</v>
      </c>
      <c r="BV72" s="80">
        <v>1047</v>
      </c>
      <c r="BW72" s="80">
        <v>52</v>
      </c>
      <c r="BX72" s="81"/>
      <c r="BY72" s="80">
        <v>12375</v>
      </c>
      <c r="BZ72" s="80">
        <v>930</v>
      </c>
      <c r="CA72" s="80">
        <v>0</v>
      </c>
      <c r="CB72" s="80">
        <v>930</v>
      </c>
      <c r="CC72" s="80">
        <v>0</v>
      </c>
      <c r="CD72" s="80">
        <v>7505</v>
      </c>
      <c r="CE72" s="80">
        <v>1127</v>
      </c>
      <c r="CF72" s="80">
        <v>3343</v>
      </c>
      <c r="CG72" s="80">
        <v>2720</v>
      </c>
      <c r="CH72" s="80">
        <v>33</v>
      </c>
      <c r="CI72" s="80">
        <v>0</v>
      </c>
      <c r="CJ72" s="80">
        <v>0</v>
      </c>
      <c r="CK72" s="80">
        <v>282</v>
      </c>
      <c r="CL72" s="80">
        <v>3940</v>
      </c>
      <c r="CM72" s="80">
        <v>3770</v>
      </c>
      <c r="CN72" s="80">
        <v>1089</v>
      </c>
      <c r="CO72" s="80">
        <v>2681</v>
      </c>
      <c r="CP72" s="80">
        <v>0</v>
      </c>
      <c r="CQ72" s="80">
        <v>145</v>
      </c>
      <c r="CR72" s="80">
        <v>0</v>
      </c>
      <c r="CS72" s="80">
        <v>0</v>
      </c>
      <c r="CT72" s="80">
        <v>145</v>
      </c>
      <c r="CU72" s="80">
        <v>25</v>
      </c>
      <c r="CV72" s="80">
        <v>4</v>
      </c>
      <c r="CW72" s="80">
        <v>0</v>
      </c>
      <c r="CX72" s="80">
        <v>3</v>
      </c>
      <c r="CY72" s="80">
        <v>1</v>
      </c>
      <c r="CZ72" s="80">
        <v>1453</v>
      </c>
      <c r="DA72" s="80">
        <v>0</v>
      </c>
      <c r="DB72" s="80">
        <v>0</v>
      </c>
      <c r="DC72" s="80">
        <v>0</v>
      </c>
      <c r="DD72" s="80">
        <v>0</v>
      </c>
      <c r="DE72" s="80">
        <v>0</v>
      </c>
      <c r="DF72" s="80">
        <v>0</v>
      </c>
      <c r="DG72" s="80">
        <v>406</v>
      </c>
      <c r="DH72" s="80">
        <v>0</v>
      </c>
      <c r="DI72" s="80">
        <v>0</v>
      </c>
      <c r="DJ72" s="80">
        <v>0</v>
      </c>
      <c r="DK72" s="80">
        <v>0</v>
      </c>
      <c r="DL72" s="80">
        <v>0</v>
      </c>
      <c r="DM72" s="80">
        <v>406</v>
      </c>
      <c r="DN72" s="80">
        <v>239</v>
      </c>
      <c r="DO72" s="80">
        <v>0</v>
      </c>
      <c r="DP72" s="80">
        <v>73</v>
      </c>
      <c r="DQ72" s="80">
        <v>94</v>
      </c>
      <c r="DR72" s="80">
        <v>6</v>
      </c>
      <c r="DS72" s="80">
        <v>0</v>
      </c>
      <c r="DT72" s="80">
        <v>0</v>
      </c>
      <c r="DU72" s="80">
        <v>0</v>
      </c>
      <c r="DV72" s="80">
        <v>6</v>
      </c>
      <c r="DW72" s="80">
        <v>1041</v>
      </c>
      <c r="DX72" s="80">
        <v>13832</v>
      </c>
      <c r="DY72" s="80">
        <v>8214</v>
      </c>
      <c r="DZ72" s="80">
        <v>5884</v>
      </c>
      <c r="EA72" s="80">
        <v>654</v>
      </c>
      <c r="EB72" s="80">
        <v>0</v>
      </c>
      <c r="EC72" s="80">
        <v>885</v>
      </c>
      <c r="ED72" s="80">
        <v>791</v>
      </c>
      <c r="EE72" s="80">
        <v>293</v>
      </c>
      <c r="EF72" s="80">
        <v>293</v>
      </c>
      <c r="EG72" s="80">
        <v>0</v>
      </c>
      <c r="EH72" s="80">
        <v>0</v>
      </c>
      <c r="EI72" s="80">
        <v>0</v>
      </c>
      <c r="EJ72" s="80">
        <v>0</v>
      </c>
      <c r="EK72" s="80">
        <v>32</v>
      </c>
      <c r="EL72" s="80">
        <v>0</v>
      </c>
      <c r="EM72" s="80">
        <v>3</v>
      </c>
      <c r="EN72" s="80">
        <v>29</v>
      </c>
      <c r="EO72" s="80">
        <v>5293</v>
      </c>
      <c r="EP72" s="80">
        <v>3119</v>
      </c>
      <c r="EQ72" s="80">
        <v>0</v>
      </c>
      <c r="ER72" s="80">
        <v>2739</v>
      </c>
      <c r="ES72" s="80">
        <v>0</v>
      </c>
      <c r="ET72" s="80">
        <v>2739</v>
      </c>
      <c r="EU72" s="80">
        <v>0</v>
      </c>
      <c r="EV72" s="80">
        <v>0</v>
      </c>
      <c r="EW72" s="80">
        <v>20</v>
      </c>
      <c r="EX72" s="80">
        <v>0</v>
      </c>
      <c r="EY72" s="80">
        <v>0</v>
      </c>
      <c r="EZ72" s="80">
        <v>0</v>
      </c>
      <c r="FA72" s="80">
        <v>360</v>
      </c>
      <c r="FB72" s="80">
        <v>0</v>
      </c>
      <c r="FC72" s="80">
        <v>0</v>
      </c>
      <c r="FD72" s="80">
        <v>2174</v>
      </c>
      <c r="FE72" s="80">
        <v>0</v>
      </c>
      <c r="FF72" s="80">
        <v>1183</v>
      </c>
      <c r="FG72" s="80">
        <v>0</v>
      </c>
      <c r="FH72" s="80">
        <v>1183</v>
      </c>
      <c r="FI72" s="80">
        <v>0</v>
      </c>
      <c r="FJ72" s="80">
        <v>0</v>
      </c>
      <c r="FK72" s="80">
        <v>3</v>
      </c>
      <c r="FL72" s="80">
        <v>0</v>
      </c>
      <c r="FM72" s="80">
        <v>0</v>
      </c>
      <c r="FN72" s="80">
        <v>309</v>
      </c>
      <c r="FO72" s="80">
        <v>55</v>
      </c>
      <c r="FP72" s="80">
        <v>624</v>
      </c>
      <c r="FQ72" s="80">
        <v>13832</v>
      </c>
      <c r="FR72" s="80">
        <v>2436</v>
      </c>
      <c r="FS72" s="80">
        <v>421</v>
      </c>
      <c r="FT72" s="100">
        <v>5851.4140620035841</v>
      </c>
      <c r="FU72" s="100"/>
      <c r="FV72" s="100">
        <v>2176</v>
      </c>
      <c r="FW72" s="67">
        <v>475</v>
      </c>
      <c r="FX72" s="100">
        <f t="shared" si="5"/>
        <v>-8087</v>
      </c>
      <c r="FY72" s="100">
        <f t="shared" si="6"/>
        <v>-10277</v>
      </c>
      <c r="FZ72" s="100">
        <v>6791.4453264027097</v>
      </c>
      <c r="GA72" s="67">
        <v>2190</v>
      </c>
      <c r="GB72" s="58">
        <f t="shared" si="3"/>
        <v>14</v>
      </c>
      <c r="GC72" s="67">
        <v>475</v>
      </c>
      <c r="GD72" s="100">
        <v>122</v>
      </c>
      <c r="GE72" s="100">
        <v>122</v>
      </c>
      <c r="GF72" s="58">
        <f t="shared" si="4"/>
        <v>0</v>
      </c>
      <c r="GG72" s="100">
        <v>-3384.6669999999999</v>
      </c>
      <c r="GH72" s="100">
        <v>-247.85510000000011</v>
      </c>
      <c r="GI72" s="100">
        <v>-3297.6710936132554</v>
      </c>
      <c r="GJ72" s="67">
        <f t="shared" si="7"/>
        <v>0</v>
      </c>
      <c r="GK72" s="67"/>
      <c r="GM72" s="96"/>
    </row>
    <row r="73" spans="1:195" ht="13.5" customHeight="1" x14ac:dyDescent="0.2">
      <c r="A73" s="74">
        <v>178</v>
      </c>
      <c r="B73" s="75" t="s">
        <v>43</v>
      </c>
      <c r="C73" s="75" t="s">
        <v>43</v>
      </c>
      <c r="D73" s="76"/>
      <c r="E73" s="77" t="s">
        <v>220</v>
      </c>
      <c r="F73" s="78">
        <v>3</v>
      </c>
      <c r="G73" s="79">
        <v>6548</v>
      </c>
      <c r="H73" s="80">
        <v>7169</v>
      </c>
      <c r="I73" s="80">
        <v>2703</v>
      </c>
      <c r="J73" s="80">
        <v>2061</v>
      </c>
      <c r="K73" s="80">
        <v>630</v>
      </c>
      <c r="L73" s="80">
        <v>1775</v>
      </c>
      <c r="M73" s="80">
        <v>0</v>
      </c>
      <c r="N73" s="80">
        <v>0</v>
      </c>
      <c r="O73" s="80">
        <v>45254</v>
      </c>
      <c r="P73" s="80">
        <v>16973</v>
      </c>
      <c r="Q73" s="80">
        <v>12534</v>
      </c>
      <c r="R73" s="80">
        <v>4439</v>
      </c>
      <c r="S73" s="80">
        <v>3651</v>
      </c>
      <c r="T73" s="80">
        <v>788</v>
      </c>
      <c r="U73" s="80">
        <v>24937</v>
      </c>
      <c r="V73" s="80">
        <v>895</v>
      </c>
      <c r="W73" s="80">
        <v>1961</v>
      </c>
      <c r="X73" s="80">
        <v>488</v>
      </c>
      <c r="Y73" s="80">
        <v>-38085</v>
      </c>
      <c r="Z73" s="80">
        <v>19827</v>
      </c>
      <c r="AA73" s="80">
        <v>15887</v>
      </c>
      <c r="AB73" s="80">
        <v>2448</v>
      </c>
      <c r="AC73" s="80">
        <v>1492</v>
      </c>
      <c r="AD73" s="80">
        <v>19937</v>
      </c>
      <c r="AE73" s="80">
        <v>145</v>
      </c>
      <c r="AF73" s="80">
        <v>2</v>
      </c>
      <c r="AG73" s="80">
        <v>313</v>
      </c>
      <c r="AH73" s="80">
        <v>270</v>
      </c>
      <c r="AI73" s="80">
        <v>168</v>
      </c>
      <c r="AJ73" s="80">
        <v>2</v>
      </c>
      <c r="AK73" s="80">
        <v>1824</v>
      </c>
      <c r="AL73" s="80">
        <v>1594</v>
      </c>
      <c r="AM73" s="80">
        <v>1594</v>
      </c>
      <c r="AN73" s="80">
        <v>0</v>
      </c>
      <c r="AO73" s="80">
        <v>0</v>
      </c>
      <c r="AP73" s="80">
        <v>0</v>
      </c>
      <c r="AQ73" s="80">
        <v>0</v>
      </c>
      <c r="AR73" s="80">
        <v>230</v>
      </c>
      <c r="AS73" s="80">
        <v>30</v>
      </c>
      <c r="AT73" s="80">
        <v>0</v>
      </c>
      <c r="AU73" s="80">
        <v>0</v>
      </c>
      <c r="AV73" s="80">
        <v>260</v>
      </c>
      <c r="AW73" s="81"/>
      <c r="AX73" s="80">
        <v>1803</v>
      </c>
      <c r="AY73" s="80">
        <v>1824</v>
      </c>
      <c r="AZ73" s="80">
        <v>0</v>
      </c>
      <c r="BA73" s="80">
        <v>-21</v>
      </c>
      <c r="BB73" s="80">
        <v>-3359</v>
      </c>
      <c r="BC73" s="80">
        <v>3963</v>
      </c>
      <c r="BD73" s="80">
        <v>381</v>
      </c>
      <c r="BE73" s="80">
        <v>223</v>
      </c>
      <c r="BF73" s="80">
        <v>-1556</v>
      </c>
      <c r="BG73" s="80">
        <v>2104</v>
      </c>
      <c r="BH73" s="80">
        <v>0</v>
      </c>
      <c r="BI73" s="80">
        <v>0</v>
      </c>
      <c r="BJ73" s="80">
        <v>0</v>
      </c>
      <c r="BK73" s="80">
        <v>1948</v>
      </c>
      <c r="BL73" s="80">
        <v>4000</v>
      </c>
      <c r="BM73" s="80">
        <v>1952</v>
      </c>
      <c r="BN73" s="80">
        <v>-100</v>
      </c>
      <c r="BO73" s="80">
        <v>0</v>
      </c>
      <c r="BP73" s="80">
        <v>156</v>
      </c>
      <c r="BQ73" s="80">
        <v>21</v>
      </c>
      <c r="BR73" s="80">
        <v>0</v>
      </c>
      <c r="BS73" s="80">
        <v>776</v>
      </c>
      <c r="BT73" s="80">
        <v>-641</v>
      </c>
      <c r="BU73" s="80">
        <v>548</v>
      </c>
      <c r="BV73" s="80">
        <v>1026</v>
      </c>
      <c r="BW73" s="80">
        <v>478</v>
      </c>
      <c r="BX73" s="81"/>
      <c r="BY73" s="80">
        <v>64893</v>
      </c>
      <c r="BZ73" s="80">
        <v>221</v>
      </c>
      <c r="CA73" s="80">
        <v>128</v>
      </c>
      <c r="CB73" s="80">
        <v>93</v>
      </c>
      <c r="CC73" s="80">
        <v>0</v>
      </c>
      <c r="CD73" s="80">
        <v>40749</v>
      </c>
      <c r="CE73" s="80">
        <v>9388</v>
      </c>
      <c r="CF73" s="80">
        <v>25276</v>
      </c>
      <c r="CG73" s="80">
        <v>5327</v>
      </c>
      <c r="CH73" s="80">
        <v>324</v>
      </c>
      <c r="CI73" s="80">
        <v>80</v>
      </c>
      <c r="CJ73" s="80">
        <v>65</v>
      </c>
      <c r="CK73" s="80">
        <v>354</v>
      </c>
      <c r="CL73" s="80">
        <v>23923</v>
      </c>
      <c r="CM73" s="80">
        <v>22798</v>
      </c>
      <c r="CN73" s="80">
        <v>2249</v>
      </c>
      <c r="CO73" s="80">
        <v>20549</v>
      </c>
      <c r="CP73" s="80">
        <v>0</v>
      </c>
      <c r="CQ73" s="80">
        <v>1037</v>
      </c>
      <c r="CR73" s="80">
        <v>0</v>
      </c>
      <c r="CS73" s="80">
        <v>0</v>
      </c>
      <c r="CT73" s="80">
        <v>1037</v>
      </c>
      <c r="CU73" s="80">
        <v>88</v>
      </c>
      <c r="CV73" s="80">
        <v>171</v>
      </c>
      <c r="CW73" s="80">
        <v>4</v>
      </c>
      <c r="CX73" s="80">
        <v>167</v>
      </c>
      <c r="CY73" s="80">
        <v>0</v>
      </c>
      <c r="CZ73" s="80">
        <v>2630</v>
      </c>
      <c r="DA73" s="80">
        <v>0</v>
      </c>
      <c r="DB73" s="80">
        <v>0</v>
      </c>
      <c r="DC73" s="80">
        <v>0</v>
      </c>
      <c r="DD73" s="80">
        <v>0</v>
      </c>
      <c r="DE73" s="80">
        <v>0</v>
      </c>
      <c r="DF73" s="80">
        <v>0</v>
      </c>
      <c r="DG73" s="80">
        <v>1603</v>
      </c>
      <c r="DH73" s="80">
        <v>75</v>
      </c>
      <c r="DI73" s="80">
        <v>0</v>
      </c>
      <c r="DJ73" s="80">
        <v>75</v>
      </c>
      <c r="DK73" s="80">
        <v>0</v>
      </c>
      <c r="DL73" s="80">
        <v>0</v>
      </c>
      <c r="DM73" s="80">
        <v>1528</v>
      </c>
      <c r="DN73" s="80">
        <v>756</v>
      </c>
      <c r="DO73" s="80">
        <v>0</v>
      </c>
      <c r="DP73" s="80">
        <v>478</v>
      </c>
      <c r="DQ73" s="80">
        <v>294</v>
      </c>
      <c r="DR73" s="80">
        <v>0</v>
      </c>
      <c r="DS73" s="80">
        <v>0</v>
      </c>
      <c r="DT73" s="80">
        <v>0</v>
      </c>
      <c r="DU73" s="80">
        <v>0</v>
      </c>
      <c r="DV73" s="80">
        <v>0</v>
      </c>
      <c r="DW73" s="80">
        <v>1027</v>
      </c>
      <c r="DX73" s="80">
        <v>67694</v>
      </c>
      <c r="DY73" s="80">
        <v>43383</v>
      </c>
      <c r="DZ73" s="80">
        <v>24066</v>
      </c>
      <c r="EA73" s="80">
        <v>15688</v>
      </c>
      <c r="EB73" s="80">
        <v>0</v>
      </c>
      <c r="EC73" s="80">
        <v>3369</v>
      </c>
      <c r="ED73" s="80">
        <v>260</v>
      </c>
      <c r="EE73" s="80">
        <v>439</v>
      </c>
      <c r="EF73" s="80">
        <v>439</v>
      </c>
      <c r="EG73" s="80">
        <v>0</v>
      </c>
      <c r="EH73" s="80">
        <v>0</v>
      </c>
      <c r="EI73" s="80">
        <v>0</v>
      </c>
      <c r="EJ73" s="80">
        <v>0</v>
      </c>
      <c r="EK73" s="80">
        <v>282</v>
      </c>
      <c r="EL73" s="80">
        <v>62</v>
      </c>
      <c r="EM73" s="80">
        <v>167</v>
      </c>
      <c r="EN73" s="80">
        <v>53</v>
      </c>
      <c r="EO73" s="80">
        <v>23590</v>
      </c>
      <c r="EP73" s="80">
        <v>10936</v>
      </c>
      <c r="EQ73" s="80">
        <v>0</v>
      </c>
      <c r="ER73" s="80">
        <v>8987</v>
      </c>
      <c r="ES73" s="80">
        <v>4015</v>
      </c>
      <c r="ET73" s="80">
        <v>4972</v>
      </c>
      <c r="EU73" s="80">
        <v>0</v>
      </c>
      <c r="EV73" s="80">
        <v>0</v>
      </c>
      <c r="EW73" s="80">
        <v>906</v>
      </c>
      <c r="EX73" s="80">
        <v>0</v>
      </c>
      <c r="EY73" s="80">
        <v>0</v>
      </c>
      <c r="EZ73" s="80">
        <v>0</v>
      </c>
      <c r="FA73" s="80">
        <v>1043</v>
      </c>
      <c r="FB73" s="80">
        <v>0</v>
      </c>
      <c r="FC73" s="80">
        <v>0</v>
      </c>
      <c r="FD73" s="80">
        <v>12654</v>
      </c>
      <c r="FE73" s="80">
        <v>0</v>
      </c>
      <c r="FF73" s="80">
        <v>7306</v>
      </c>
      <c r="FG73" s="80">
        <v>405</v>
      </c>
      <c r="FH73" s="80">
        <v>6901</v>
      </c>
      <c r="FI73" s="80">
        <v>0</v>
      </c>
      <c r="FJ73" s="80">
        <v>0</v>
      </c>
      <c r="FK73" s="80">
        <v>49</v>
      </c>
      <c r="FL73" s="80">
        <v>0</v>
      </c>
      <c r="FM73" s="80">
        <v>0</v>
      </c>
      <c r="FN73" s="80">
        <v>2687</v>
      </c>
      <c r="FO73" s="80">
        <v>415</v>
      </c>
      <c r="FP73" s="80">
        <v>2197</v>
      </c>
      <c r="FQ73" s="80">
        <v>67694</v>
      </c>
      <c r="FR73" s="80">
        <v>4641</v>
      </c>
      <c r="FS73" s="80">
        <v>1642</v>
      </c>
      <c r="FT73" s="100">
        <v>17514.70067673608</v>
      </c>
      <c r="FU73" s="100"/>
      <c r="FV73" s="100">
        <v>4555</v>
      </c>
      <c r="FW73" s="67">
        <v>1265</v>
      </c>
      <c r="FX73" s="100">
        <f t="shared" si="5"/>
        <v>-27889</v>
      </c>
      <c r="FY73" s="100">
        <f t="shared" si="6"/>
        <v>-36491</v>
      </c>
      <c r="FZ73" s="100">
        <v>25191.210189294346</v>
      </c>
      <c r="GA73" s="67">
        <v>8602</v>
      </c>
      <c r="GB73" s="58">
        <f t="shared" si="3"/>
        <v>4047</v>
      </c>
      <c r="GC73" s="67">
        <v>1594</v>
      </c>
      <c r="GD73" s="100">
        <v>2061</v>
      </c>
      <c r="GE73" s="100">
        <v>542</v>
      </c>
      <c r="GF73" s="58">
        <f t="shared" si="4"/>
        <v>1519</v>
      </c>
      <c r="GG73" s="100">
        <v>-9641.8119999999999</v>
      </c>
      <c r="GH73" s="100">
        <v>-725.97600000000023</v>
      </c>
      <c r="GI73" s="100">
        <v>-15368.633823877946</v>
      </c>
      <c r="GJ73" s="67">
        <f t="shared" si="7"/>
        <v>329</v>
      </c>
      <c r="GK73" s="67"/>
      <c r="GM73" s="96"/>
    </row>
    <row r="74" spans="1:195" ht="13.5" customHeight="1" x14ac:dyDescent="0.2">
      <c r="A74" s="74">
        <v>179</v>
      </c>
      <c r="B74" s="75" t="s">
        <v>44</v>
      </c>
      <c r="C74" s="75" t="s">
        <v>44</v>
      </c>
      <c r="D74" s="76"/>
      <c r="E74" s="77" t="s">
        <v>231</v>
      </c>
      <c r="F74" s="78">
        <v>7</v>
      </c>
      <c r="G74" s="79">
        <v>137368</v>
      </c>
      <c r="H74" s="80">
        <v>175245</v>
      </c>
      <c r="I74" s="80">
        <v>73145</v>
      </c>
      <c r="J74" s="80">
        <v>45055</v>
      </c>
      <c r="K74" s="80">
        <v>24192</v>
      </c>
      <c r="L74" s="80">
        <v>32853</v>
      </c>
      <c r="M74" s="80">
        <v>0</v>
      </c>
      <c r="N74" s="80">
        <v>0</v>
      </c>
      <c r="O74" s="80">
        <v>794652</v>
      </c>
      <c r="P74" s="80">
        <v>330494</v>
      </c>
      <c r="Q74" s="80">
        <v>251654</v>
      </c>
      <c r="R74" s="80">
        <v>78840</v>
      </c>
      <c r="S74" s="80">
        <v>63551</v>
      </c>
      <c r="T74" s="80">
        <v>15289</v>
      </c>
      <c r="U74" s="80">
        <v>323284</v>
      </c>
      <c r="V74" s="80">
        <v>38485</v>
      </c>
      <c r="W74" s="80">
        <v>75935</v>
      </c>
      <c r="X74" s="80">
        <v>26454</v>
      </c>
      <c r="Y74" s="80">
        <v>-619407</v>
      </c>
      <c r="Z74" s="80">
        <v>490468</v>
      </c>
      <c r="AA74" s="80">
        <v>426989</v>
      </c>
      <c r="AB74" s="80">
        <v>22523</v>
      </c>
      <c r="AC74" s="80">
        <v>40956</v>
      </c>
      <c r="AD74" s="80">
        <v>157402</v>
      </c>
      <c r="AE74" s="80">
        <v>12351</v>
      </c>
      <c r="AF74" s="80">
        <v>12640</v>
      </c>
      <c r="AG74" s="80">
        <v>5940</v>
      </c>
      <c r="AH74" s="80">
        <v>4566</v>
      </c>
      <c r="AI74" s="80">
        <v>6125</v>
      </c>
      <c r="AJ74" s="80">
        <v>104</v>
      </c>
      <c r="AK74" s="80">
        <v>40814</v>
      </c>
      <c r="AL74" s="80">
        <v>54036</v>
      </c>
      <c r="AM74" s="80">
        <v>53447</v>
      </c>
      <c r="AN74" s="80">
        <v>589</v>
      </c>
      <c r="AO74" s="80">
        <v>0</v>
      </c>
      <c r="AP74" s="80">
        <v>0</v>
      </c>
      <c r="AQ74" s="80">
        <v>0</v>
      </c>
      <c r="AR74" s="80">
        <v>-13222</v>
      </c>
      <c r="AS74" s="80">
        <v>340</v>
      </c>
      <c r="AT74" s="80">
        <v>0</v>
      </c>
      <c r="AU74" s="80">
        <v>-6</v>
      </c>
      <c r="AV74" s="80">
        <v>-12888</v>
      </c>
      <c r="AW74" s="81"/>
      <c r="AX74" s="80">
        <v>28531</v>
      </c>
      <c r="AY74" s="80">
        <v>40814</v>
      </c>
      <c r="AZ74" s="80">
        <v>0</v>
      </c>
      <c r="BA74" s="80">
        <v>-12283</v>
      </c>
      <c r="BB74" s="80">
        <v>-90962</v>
      </c>
      <c r="BC74" s="80">
        <v>107323</v>
      </c>
      <c r="BD74" s="80">
        <v>1066</v>
      </c>
      <c r="BE74" s="80">
        <v>15295</v>
      </c>
      <c r="BF74" s="80">
        <v>-62431</v>
      </c>
      <c r="BG74" s="80">
        <v>64875</v>
      </c>
      <c r="BH74" s="80">
        <v>62209</v>
      </c>
      <c r="BI74" s="80">
        <v>246</v>
      </c>
      <c r="BJ74" s="80">
        <v>62455</v>
      </c>
      <c r="BK74" s="80">
        <v>-3803</v>
      </c>
      <c r="BL74" s="80">
        <v>25000</v>
      </c>
      <c r="BM74" s="80">
        <v>28468</v>
      </c>
      <c r="BN74" s="80">
        <v>-335</v>
      </c>
      <c r="BO74" s="80">
        <v>0</v>
      </c>
      <c r="BP74" s="80">
        <v>6469</v>
      </c>
      <c r="BQ74" s="80">
        <v>-277</v>
      </c>
      <c r="BR74" s="80">
        <v>518</v>
      </c>
      <c r="BS74" s="80">
        <v>3554</v>
      </c>
      <c r="BT74" s="80">
        <v>2674</v>
      </c>
      <c r="BU74" s="80">
        <v>2443</v>
      </c>
      <c r="BV74" s="80">
        <v>11603</v>
      </c>
      <c r="BW74" s="80">
        <v>9160</v>
      </c>
      <c r="BX74" s="81"/>
      <c r="BY74" s="80">
        <v>936907</v>
      </c>
      <c r="BZ74" s="80">
        <v>11144</v>
      </c>
      <c r="CA74" s="80">
        <v>3778</v>
      </c>
      <c r="CB74" s="80">
        <v>7366</v>
      </c>
      <c r="CC74" s="80">
        <v>0</v>
      </c>
      <c r="CD74" s="80">
        <v>557993</v>
      </c>
      <c r="CE74" s="80">
        <v>125414</v>
      </c>
      <c r="CF74" s="80">
        <v>318568</v>
      </c>
      <c r="CG74" s="80">
        <v>96434</v>
      </c>
      <c r="CH74" s="80">
        <v>16151</v>
      </c>
      <c r="CI74" s="80">
        <v>6</v>
      </c>
      <c r="CJ74" s="80">
        <v>0</v>
      </c>
      <c r="CK74" s="80">
        <v>1420</v>
      </c>
      <c r="CL74" s="80">
        <v>367770</v>
      </c>
      <c r="CM74" s="80">
        <v>204253</v>
      </c>
      <c r="CN74" s="80">
        <v>33458</v>
      </c>
      <c r="CO74" s="80">
        <v>170795</v>
      </c>
      <c r="CP74" s="80">
        <v>150000</v>
      </c>
      <c r="CQ74" s="80">
        <v>12824</v>
      </c>
      <c r="CR74" s="80">
        <v>0</v>
      </c>
      <c r="CS74" s="80">
        <v>0</v>
      </c>
      <c r="CT74" s="80">
        <v>12824</v>
      </c>
      <c r="CU74" s="80">
        <v>693</v>
      </c>
      <c r="CV74" s="80">
        <v>215</v>
      </c>
      <c r="CW74" s="80">
        <v>79</v>
      </c>
      <c r="CX74" s="80">
        <v>136</v>
      </c>
      <c r="CY74" s="80">
        <v>0</v>
      </c>
      <c r="CZ74" s="80">
        <v>45127</v>
      </c>
      <c r="DA74" s="80">
        <v>2199</v>
      </c>
      <c r="DB74" s="80">
        <v>1695</v>
      </c>
      <c r="DC74" s="80">
        <v>0</v>
      </c>
      <c r="DD74" s="80">
        <v>0</v>
      </c>
      <c r="DE74" s="80">
        <v>504</v>
      </c>
      <c r="DF74" s="80">
        <v>0</v>
      </c>
      <c r="DG74" s="80">
        <v>31325</v>
      </c>
      <c r="DH74" s="80">
        <v>2241</v>
      </c>
      <c r="DI74" s="80">
        <v>1269</v>
      </c>
      <c r="DJ74" s="80">
        <v>0</v>
      </c>
      <c r="DK74" s="80">
        <v>972</v>
      </c>
      <c r="DL74" s="80">
        <v>0</v>
      </c>
      <c r="DM74" s="80">
        <v>29084</v>
      </c>
      <c r="DN74" s="80">
        <v>17002</v>
      </c>
      <c r="DO74" s="80">
        <v>0</v>
      </c>
      <c r="DP74" s="80">
        <v>5737</v>
      </c>
      <c r="DQ74" s="80">
        <v>6345</v>
      </c>
      <c r="DR74" s="80">
        <v>0</v>
      </c>
      <c r="DS74" s="80">
        <v>0</v>
      </c>
      <c r="DT74" s="80">
        <v>0</v>
      </c>
      <c r="DU74" s="80">
        <v>0</v>
      </c>
      <c r="DV74" s="80">
        <v>0</v>
      </c>
      <c r="DW74" s="80">
        <v>11603</v>
      </c>
      <c r="DX74" s="80">
        <v>982249</v>
      </c>
      <c r="DY74" s="80">
        <v>455635</v>
      </c>
      <c r="DZ74" s="80">
        <v>423185</v>
      </c>
      <c r="EA74" s="80">
        <v>0</v>
      </c>
      <c r="EB74" s="80">
        <v>406</v>
      </c>
      <c r="EC74" s="80">
        <v>44932</v>
      </c>
      <c r="ED74" s="80">
        <v>-12888</v>
      </c>
      <c r="EE74" s="80">
        <v>6128</v>
      </c>
      <c r="EF74" s="80">
        <v>6128</v>
      </c>
      <c r="EG74" s="80">
        <v>0</v>
      </c>
      <c r="EH74" s="80">
        <v>1252</v>
      </c>
      <c r="EI74" s="80">
        <v>653</v>
      </c>
      <c r="EJ74" s="80">
        <v>599</v>
      </c>
      <c r="EK74" s="80">
        <v>1062</v>
      </c>
      <c r="EL74" s="80">
        <v>48</v>
      </c>
      <c r="EM74" s="80">
        <v>19</v>
      </c>
      <c r="EN74" s="80">
        <v>995</v>
      </c>
      <c r="EO74" s="80">
        <v>518172</v>
      </c>
      <c r="EP74" s="80">
        <v>320277</v>
      </c>
      <c r="EQ74" s="80">
        <v>30000</v>
      </c>
      <c r="ER74" s="80">
        <v>290229</v>
      </c>
      <c r="ES74" s="80">
        <v>286</v>
      </c>
      <c r="ET74" s="80">
        <v>264943</v>
      </c>
      <c r="EU74" s="80">
        <v>0</v>
      </c>
      <c r="EV74" s="80">
        <v>25000</v>
      </c>
      <c r="EW74" s="80">
        <v>0</v>
      </c>
      <c r="EX74" s="80">
        <v>0</v>
      </c>
      <c r="EY74" s="80">
        <v>0</v>
      </c>
      <c r="EZ74" s="80">
        <v>0</v>
      </c>
      <c r="FA74" s="80">
        <v>48</v>
      </c>
      <c r="FB74" s="80">
        <v>0</v>
      </c>
      <c r="FC74" s="80">
        <v>0</v>
      </c>
      <c r="FD74" s="80">
        <v>197895</v>
      </c>
      <c r="FE74" s="80">
        <v>0</v>
      </c>
      <c r="FF74" s="80">
        <v>19677</v>
      </c>
      <c r="FG74" s="80">
        <v>191</v>
      </c>
      <c r="FH74" s="80">
        <v>19486</v>
      </c>
      <c r="FI74" s="80">
        <v>0</v>
      </c>
      <c r="FJ74" s="80">
        <v>0</v>
      </c>
      <c r="FK74" s="80">
        <v>0</v>
      </c>
      <c r="FL74" s="80">
        <v>62376</v>
      </c>
      <c r="FM74" s="80">
        <v>13217</v>
      </c>
      <c r="FN74" s="80">
        <v>48351</v>
      </c>
      <c r="FO74" s="80">
        <v>6450</v>
      </c>
      <c r="FP74" s="80">
        <v>47824</v>
      </c>
      <c r="FQ74" s="80">
        <v>982249</v>
      </c>
      <c r="FR74" s="80">
        <v>635070</v>
      </c>
      <c r="FS74" s="80">
        <v>4637</v>
      </c>
      <c r="FT74" s="100">
        <v>473351.03104249196</v>
      </c>
      <c r="FU74" s="100"/>
      <c r="FV74" s="100">
        <v>222531</v>
      </c>
      <c r="FW74" s="67">
        <v>50834</v>
      </c>
      <c r="FX74" s="100">
        <f t="shared" si="5"/>
        <v>-250363</v>
      </c>
      <c r="FY74" s="100">
        <f t="shared" si="6"/>
        <v>-565371</v>
      </c>
      <c r="FZ74" s="100">
        <v>386541.66612978134</v>
      </c>
      <c r="GA74" s="67">
        <v>315008</v>
      </c>
      <c r="GB74" s="58">
        <f t="shared" ref="GB74:GB137" si="8">GA74-FV74</f>
        <v>92477</v>
      </c>
      <c r="GC74" s="67">
        <v>54039</v>
      </c>
      <c r="GD74" s="100">
        <v>45106</v>
      </c>
      <c r="GE74" s="100">
        <v>18004</v>
      </c>
      <c r="GF74" s="58">
        <f t="shared" ref="GF74:GF137" si="9">GD74-GE74</f>
        <v>27102</v>
      </c>
      <c r="GG74" s="100">
        <v>-257794.75499999998</v>
      </c>
      <c r="GH74" s="100">
        <v>-6952.9789500000034</v>
      </c>
      <c r="GI74" s="100">
        <v>-119494.52143490197</v>
      </c>
      <c r="GJ74" s="67">
        <f t="shared" si="7"/>
        <v>3205</v>
      </c>
      <c r="GK74" s="67"/>
      <c r="GM74" s="96"/>
    </row>
    <row r="75" spans="1:195" ht="13.5" customHeight="1" x14ac:dyDescent="0.2">
      <c r="A75" s="74">
        <v>181</v>
      </c>
      <c r="B75" s="75" t="s">
        <v>45</v>
      </c>
      <c r="C75" s="75" t="s">
        <v>45</v>
      </c>
      <c r="D75" s="76"/>
      <c r="E75" s="77" t="s">
        <v>224</v>
      </c>
      <c r="F75" s="78">
        <v>1</v>
      </c>
      <c r="G75" s="79">
        <v>1948</v>
      </c>
      <c r="H75" s="80">
        <v>957</v>
      </c>
      <c r="I75" s="80">
        <v>517</v>
      </c>
      <c r="J75" s="80">
        <v>119</v>
      </c>
      <c r="K75" s="80">
        <v>50</v>
      </c>
      <c r="L75" s="80">
        <v>271</v>
      </c>
      <c r="M75" s="80">
        <v>0</v>
      </c>
      <c r="N75" s="80">
        <v>0</v>
      </c>
      <c r="O75" s="80">
        <v>12177</v>
      </c>
      <c r="P75" s="80">
        <v>2479</v>
      </c>
      <c r="Q75" s="80">
        <v>1801</v>
      </c>
      <c r="R75" s="80">
        <v>678</v>
      </c>
      <c r="S75" s="80">
        <v>615</v>
      </c>
      <c r="T75" s="80">
        <v>63</v>
      </c>
      <c r="U75" s="80">
        <v>8750</v>
      </c>
      <c r="V75" s="80">
        <v>423</v>
      </c>
      <c r="W75" s="80">
        <v>406</v>
      </c>
      <c r="X75" s="80">
        <v>119</v>
      </c>
      <c r="Y75" s="80">
        <v>-11220</v>
      </c>
      <c r="Z75" s="80">
        <v>5884</v>
      </c>
      <c r="AA75" s="80">
        <v>5198</v>
      </c>
      <c r="AB75" s="80">
        <v>288</v>
      </c>
      <c r="AC75" s="80">
        <v>398</v>
      </c>
      <c r="AD75" s="80">
        <v>5630</v>
      </c>
      <c r="AE75" s="80">
        <v>-37</v>
      </c>
      <c r="AF75" s="80">
        <v>0</v>
      </c>
      <c r="AG75" s="80">
        <v>10</v>
      </c>
      <c r="AH75" s="80">
        <v>2</v>
      </c>
      <c r="AI75" s="80">
        <v>44</v>
      </c>
      <c r="AJ75" s="80">
        <v>3</v>
      </c>
      <c r="AK75" s="80">
        <v>257</v>
      </c>
      <c r="AL75" s="80">
        <v>354</v>
      </c>
      <c r="AM75" s="80">
        <v>354</v>
      </c>
      <c r="AN75" s="80">
        <v>0</v>
      </c>
      <c r="AO75" s="80">
        <v>0</v>
      </c>
      <c r="AP75" s="80">
        <v>0</v>
      </c>
      <c r="AQ75" s="80">
        <v>0</v>
      </c>
      <c r="AR75" s="80">
        <v>-97</v>
      </c>
      <c r="AS75" s="80">
        <v>0</v>
      </c>
      <c r="AT75" s="80">
        <v>0</v>
      </c>
      <c r="AU75" s="80">
        <v>0</v>
      </c>
      <c r="AV75" s="80">
        <v>-97</v>
      </c>
      <c r="AW75" s="81"/>
      <c r="AX75" s="80">
        <v>257</v>
      </c>
      <c r="AY75" s="80">
        <v>257</v>
      </c>
      <c r="AZ75" s="80">
        <v>0</v>
      </c>
      <c r="BA75" s="80">
        <v>0</v>
      </c>
      <c r="BB75" s="80">
        <v>-360</v>
      </c>
      <c r="BC75" s="80">
        <v>368</v>
      </c>
      <c r="BD75" s="80">
        <v>8</v>
      </c>
      <c r="BE75" s="80">
        <v>0</v>
      </c>
      <c r="BF75" s="80">
        <v>-103</v>
      </c>
      <c r="BG75" s="80">
        <v>21</v>
      </c>
      <c r="BH75" s="80">
        <v>-160</v>
      </c>
      <c r="BI75" s="80">
        <v>160</v>
      </c>
      <c r="BJ75" s="80">
        <v>0</v>
      </c>
      <c r="BK75" s="80">
        <v>129</v>
      </c>
      <c r="BL75" s="80">
        <v>560</v>
      </c>
      <c r="BM75" s="80">
        <v>681</v>
      </c>
      <c r="BN75" s="80">
        <v>250</v>
      </c>
      <c r="BO75" s="80">
        <v>0</v>
      </c>
      <c r="BP75" s="80">
        <v>52</v>
      </c>
      <c r="BQ75" s="80">
        <v>-14</v>
      </c>
      <c r="BR75" s="80">
        <v>0</v>
      </c>
      <c r="BS75" s="80">
        <v>24</v>
      </c>
      <c r="BT75" s="80">
        <v>42</v>
      </c>
      <c r="BU75" s="80">
        <v>-81</v>
      </c>
      <c r="BV75" s="80">
        <v>52</v>
      </c>
      <c r="BW75" s="80">
        <v>133</v>
      </c>
      <c r="BX75" s="81"/>
      <c r="BY75" s="80">
        <v>8261</v>
      </c>
      <c r="BZ75" s="80">
        <v>498</v>
      </c>
      <c r="CA75" s="80">
        <v>0</v>
      </c>
      <c r="CB75" s="80">
        <v>498</v>
      </c>
      <c r="CC75" s="80">
        <v>0</v>
      </c>
      <c r="CD75" s="80">
        <v>5172</v>
      </c>
      <c r="CE75" s="80">
        <v>1177</v>
      </c>
      <c r="CF75" s="80">
        <v>2693</v>
      </c>
      <c r="CG75" s="80">
        <v>1167</v>
      </c>
      <c r="CH75" s="80">
        <v>125</v>
      </c>
      <c r="CI75" s="80">
        <v>7</v>
      </c>
      <c r="CJ75" s="80">
        <v>7</v>
      </c>
      <c r="CK75" s="80">
        <v>3</v>
      </c>
      <c r="CL75" s="80">
        <v>2591</v>
      </c>
      <c r="CM75" s="80">
        <v>2324</v>
      </c>
      <c r="CN75" s="80">
        <v>1125</v>
      </c>
      <c r="CO75" s="80">
        <v>1199</v>
      </c>
      <c r="CP75" s="80">
        <v>0</v>
      </c>
      <c r="CQ75" s="80">
        <v>267</v>
      </c>
      <c r="CR75" s="80">
        <v>0</v>
      </c>
      <c r="CS75" s="80">
        <v>0</v>
      </c>
      <c r="CT75" s="80">
        <v>267</v>
      </c>
      <c r="CU75" s="80">
        <v>0</v>
      </c>
      <c r="CV75" s="80">
        <v>1</v>
      </c>
      <c r="CW75" s="80">
        <v>0</v>
      </c>
      <c r="CX75" s="80">
        <v>1</v>
      </c>
      <c r="CY75" s="80">
        <v>0</v>
      </c>
      <c r="CZ75" s="80">
        <v>408</v>
      </c>
      <c r="DA75" s="80">
        <v>0</v>
      </c>
      <c r="DB75" s="80">
        <v>0</v>
      </c>
      <c r="DC75" s="80">
        <v>0</v>
      </c>
      <c r="DD75" s="80">
        <v>0</v>
      </c>
      <c r="DE75" s="80">
        <v>0</v>
      </c>
      <c r="DF75" s="80">
        <v>0</v>
      </c>
      <c r="DG75" s="80">
        <v>356</v>
      </c>
      <c r="DH75" s="80">
        <v>0</v>
      </c>
      <c r="DI75" s="80">
        <v>0</v>
      </c>
      <c r="DJ75" s="80">
        <v>0</v>
      </c>
      <c r="DK75" s="80">
        <v>0</v>
      </c>
      <c r="DL75" s="80">
        <v>0</v>
      </c>
      <c r="DM75" s="80">
        <v>356</v>
      </c>
      <c r="DN75" s="80">
        <v>157</v>
      </c>
      <c r="DO75" s="80">
        <v>0</v>
      </c>
      <c r="DP75" s="80">
        <v>49</v>
      </c>
      <c r="DQ75" s="80">
        <v>150</v>
      </c>
      <c r="DR75" s="80">
        <v>0</v>
      </c>
      <c r="DS75" s="80">
        <v>0</v>
      </c>
      <c r="DT75" s="80">
        <v>0</v>
      </c>
      <c r="DU75" s="80">
        <v>0</v>
      </c>
      <c r="DV75" s="80">
        <v>0</v>
      </c>
      <c r="DW75" s="80">
        <v>52</v>
      </c>
      <c r="DX75" s="80">
        <v>8670</v>
      </c>
      <c r="DY75" s="80">
        <v>2462</v>
      </c>
      <c r="DZ75" s="80">
        <v>3550</v>
      </c>
      <c r="EA75" s="80">
        <v>0</v>
      </c>
      <c r="EB75" s="80">
        <v>0</v>
      </c>
      <c r="EC75" s="80">
        <v>-991</v>
      </c>
      <c r="ED75" s="80">
        <v>-97</v>
      </c>
      <c r="EE75" s="80">
        <v>0</v>
      </c>
      <c r="EF75" s="80">
        <v>0</v>
      </c>
      <c r="EG75" s="80">
        <v>0</v>
      </c>
      <c r="EH75" s="80">
        <v>0</v>
      </c>
      <c r="EI75" s="80">
        <v>0</v>
      </c>
      <c r="EJ75" s="80">
        <v>0</v>
      </c>
      <c r="EK75" s="80">
        <v>54</v>
      </c>
      <c r="EL75" s="80">
        <v>0</v>
      </c>
      <c r="EM75" s="80">
        <v>54</v>
      </c>
      <c r="EN75" s="80">
        <v>0</v>
      </c>
      <c r="EO75" s="80">
        <v>6154</v>
      </c>
      <c r="EP75" s="80">
        <v>4054</v>
      </c>
      <c r="EQ75" s="80">
        <v>0</v>
      </c>
      <c r="ER75" s="80">
        <v>3892</v>
      </c>
      <c r="ES75" s="80">
        <v>2138</v>
      </c>
      <c r="ET75" s="80">
        <v>1754</v>
      </c>
      <c r="EU75" s="80">
        <v>0</v>
      </c>
      <c r="EV75" s="80">
        <v>0</v>
      </c>
      <c r="EW75" s="80">
        <v>0</v>
      </c>
      <c r="EX75" s="80">
        <v>0</v>
      </c>
      <c r="EY75" s="80">
        <v>0</v>
      </c>
      <c r="EZ75" s="80">
        <v>0</v>
      </c>
      <c r="FA75" s="80">
        <v>162</v>
      </c>
      <c r="FB75" s="80">
        <v>0</v>
      </c>
      <c r="FC75" s="80">
        <v>0</v>
      </c>
      <c r="FD75" s="80">
        <v>2100</v>
      </c>
      <c r="FE75" s="80">
        <v>0</v>
      </c>
      <c r="FF75" s="80">
        <v>977</v>
      </c>
      <c r="FG75" s="80">
        <v>638</v>
      </c>
      <c r="FH75" s="80">
        <v>339</v>
      </c>
      <c r="FI75" s="80">
        <v>0</v>
      </c>
      <c r="FJ75" s="80">
        <v>0</v>
      </c>
      <c r="FK75" s="80">
        <v>0</v>
      </c>
      <c r="FL75" s="80">
        <v>0</v>
      </c>
      <c r="FM75" s="80">
        <v>12</v>
      </c>
      <c r="FN75" s="80">
        <v>769</v>
      </c>
      <c r="FO75" s="80">
        <v>94</v>
      </c>
      <c r="FP75" s="80">
        <v>248</v>
      </c>
      <c r="FQ75" s="80">
        <v>8670</v>
      </c>
      <c r="FR75" s="80">
        <v>375</v>
      </c>
      <c r="FS75" s="80">
        <v>2022</v>
      </c>
      <c r="FT75" s="100">
        <v>4803.2747754772781</v>
      </c>
      <c r="FU75" s="100"/>
      <c r="FV75" s="100">
        <v>1054</v>
      </c>
      <c r="FW75" s="67">
        <v>352</v>
      </c>
      <c r="FX75" s="100">
        <f t="shared" ref="FX75:FX138" si="10">FY75+GA75</f>
        <v>-9742</v>
      </c>
      <c r="FY75" s="100">
        <f t="shared" ref="FY75:FY138" si="11">Y75+AL75</f>
        <v>-10866</v>
      </c>
      <c r="FZ75" s="100">
        <v>7431.838406518692</v>
      </c>
      <c r="GA75" s="67">
        <v>1124</v>
      </c>
      <c r="GB75" s="58">
        <f t="shared" si="8"/>
        <v>70</v>
      </c>
      <c r="GC75" s="67">
        <v>354</v>
      </c>
      <c r="GD75" s="100">
        <v>119</v>
      </c>
      <c r="GE75" s="100">
        <v>119</v>
      </c>
      <c r="GF75" s="58">
        <f t="shared" si="9"/>
        <v>0</v>
      </c>
      <c r="GG75" s="100">
        <v>-2746.7350000000001</v>
      </c>
      <c r="GH75" s="100">
        <v>-89.977250000000026</v>
      </c>
      <c r="GI75" s="100">
        <v>-4769.4369670406659</v>
      </c>
      <c r="GJ75" s="67">
        <f t="shared" ref="GJ75:GJ138" si="12">GC75-FW75</f>
        <v>2</v>
      </c>
      <c r="GK75" s="67"/>
      <c r="GM75" s="96"/>
    </row>
    <row r="76" spans="1:195" ht="13.5" customHeight="1" x14ac:dyDescent="0.2">
      <c r="A76" s="74">
        <v>182</v>
      </c>
      <c r="B76" s="75" t="s">
        <v>251</v>
      </c>
      <c r="C76" s="75" t="s">
        <v>251</v>
      </c>
      <c r="D76" s="76"/>
      <c r="E76" s="77" t="s">
        <v>231</v>
      </c>
      <c r="F76" s="78">
        <v>5</v>
      </c>
      <c r="G76" s="79">
        <v>21542</v>
      </c>
      <c r="H76" s="80">
        <v>40426</v>
      </c>
      <c r="I76" s="80">
        <v>25839</v>
      </c>
      <c r="J76" s="80">
        <v>7786</v>
      </c>
      <c r="K76" s="80">
        <v>2312</v>
      </c>
      <c r="L76" s="80">
        <v>4489</v>
      </c>
      <c r="M76" s="80">
        <v>0</v>
      </c>
      <c r="N76" s="80">
        <v>381</v>
      </c>
      <c r="O76" s="80">
        <v>163308</v>
      </c>
      <c r="P76" s="80">
        <v>59437</v>
      </c>
      <c r="Q76" s="80">
        <v>44346</v>
      </c>
      <c r="R76" s="80">
        <v>15091</v>
      </c>
      <c r="S76" s="80">
        <v>12326</v>
      </c>
      <c r="T76" s="80">
        <v>2765</v>
      </c>
      <c r="U76" s="80">
        <v>82482</v>
      </c>
      <c r="V76" s="80">
        <v>8649</v>
      </c>
      <c r="W76" s="80">
        <v>10639</v>
      </c>
      <c r="X76" s="80">
        <v>2101</v>
      </c>
      <c r="Y76" s="80">
        <v>-122501</v>
      </c>
      <c r="Z76" s="80">
        <v>87105</v>
      </c>
      <c r="AA76" s="80">
        <v>72040</v>
      </c>
      <c r="AB76" s="80">
        <v>9084</v>
      </c>
      <c r="AC76" s="80">
        <v>5981</v>
      </c>
      <c r="AD76" s="80">
        <v>44619</v>
      </c>
      <c r="AE76" s="80">
        <v>692</v>
      </c>
      <c r="AF76" s="80">
        <v>101</v>
      </c>
      <c r="AG76" s="80">
        <v>1187</v>
      </c>
      <c r="AH76" s="80">
        <v>523</v>
      </c>
      <c r="AI76" s="80">
        <v>588</v>
      </c>
      <c r="AJ76" s="80">
        <v>8</v>
      </c>
      <c r="AK76" s="80">
        <v>9915</v>
      </c>
      <c r="AL76" s="80">
        <v>8197</v>
      </c>
      <c r="AM76" s="80">
        <v>8197</v>
      </c>
      <c r="AN76" s="80">
        <v>0</v>
      </c>
      <c r="AO76" s="80">
        <v>0</v>
      </c>
      <c r="AP76" s="80">
        <v>0</v>
      </c>
      <c r="AQ76" s="80">
        <v>0</v>
      </c>
      <c r="AR76" s="80">
        <v>1718</v>
      </c>
      <c r="AS76" s="80">
        <v>247</v>
      </c>
      <c r="AT76" s="80">
        <v>0</v>
      </c>
      <c r="AU76" s="80">
        <v>0</v>
      </c>
      <c r="AV76" s="80">
        <v>1965</v>
      </c>
      <c r="AW76" s="81"/>
      <c r="AX76" s="80">
        <v>9356</v>
      </c>
      <c r="AY76" s="80">
        <v>9915</v>
      </c>
      <c r="AZ76" s="80">
        <v>0</v>
      </c>
      <c r="BA76" s="80">
        <v>-559</v>
      </c>
      <c r="BB76" s="80">
        <v>-7589</v>
      </c>
      <c r="BC76" s="80">
        <v>8875</v>
      </c>
      <c r="BD76" s="80">
        <v>208</v>
      </c>
      <c r="BE76" s="80">
        <v>1078</v>
      </c>
      <c r="BF76" s="80">
        <v>1767</v>
      </c>
      <c r="BG76" s="80">
        <v>268</v>
      </c>
      <c r="BH76" s="80">
        <v>376</v>
      </c>
      <c r="BI76" s="80">
        <v>60</v>
      </c>
      <c r="BJ76" s="80">
        <v>436</v>
      </c>
      <c r="BK76" s="80">
        <v>3516</v>
      </c>
      <c r="BL76" s="80">
        <v>4000</v>
      </c>
      <c r="BM76" s="80">
        <v>4484</v>
      </c>
      <c r="BN76" s="80">
        <v>4000</v>
      </c>
      <c r="BO76" s="80">
        <v>0</v>
      </c>
      <c r="BP76" s="80">
        <v>-3624</v>
      </c>
      <c r="BQ76" s="80">
        <v>52</v>
      </c>
      <c r="BR76" s="80">
        <v>8</v>
      </c>
      <c r="BS76" s="80">
        <v>-392</v>
      </c>
      <c r="BT76" s="80">
        <v>-3292</v>
      </c>
      <c r="BU76" s="80">
        <v>2035</v>
      </c>
      <c r="BV76" s="80">
        <v>6496</v>
      </c>
      <c r="BW76" s="80">
        <v>4461</v>
      </c>
      <c r="BX76" s="81"/>
      <c r="BY76" s="80">
        <v>133817</v>
      </c>
      <c r="BZ76" s="80">
        <v>562</v>
      </c>
      <c r="CA76" s="80">
        <v>165</v>
      </c>
      <c r="CB76" s="80">
        <v>397</v>
      </c>
      <c r="CC76" s="80">
        <v>0</v>
      </c>
      <c r="CD76" s="80">
        <v>110057</v>
      </c>
      <c r="CE76" s="80">
        <v>16932</v>
      </c>
      <c r="CF76" s="80">
        <v>59544</v>
      </c>
      <c r="CG76" s="80">
        <v>31669</v>
      </c>
      <c r="CH76" s="80">
        <v>1094</v>
      </c>
      <c r="CI76" s="80">
        <v>72</v>
      </c>
      <c r="CJ76" s="80">
        <v>28</v>
      </c>
      <c r="CK76" s="80">
        <v>746</v>
      </c>
      <c r="CL76" s="80">
        <v>23198</v>
      </c>
      <c r="CM76" s="80">
        <v>15805</v>
      </c>
      <c r="CN76" s="80">
        <v>4562</v>
      </c>
      <c r="CO76" s="80">
        <v>11243</v>
      </c>
      <c r="CP76" s="80">
        <v>0</v>
      </c>
      <c r="CQ76" s="80">
        <v>6408</v>
      </c>
      <c r="CR76" s="80">
        <v>0</v>
      </c>
      <c r="CS76" s="80">
        <v>0</v>
      </c>
      <c r="CT76" s="80">
        <v>6408</v>
      </c>
      <c r="CU76" s="80">
        <v>985</v>
      </c>
      <c r="CV76" s="80">
        <v>0</v>
      </c>
      <c r="CW76" s="80">
        <v>0</v>
      </c>
      <c r="CX76" s="80">
        <v>0</v>
      </c>
      <c r="CY76" s="80">
        <v>0</v>
      </c>
      <c r="CZ76" s="80">
        <v>17878</v>
      </c>
      <c r="DA76" s="80">
        <v>267</v>
      </c>
      <c r="DB76" s="80">
        <v>267</v>
      </c>
      <c r="DC76" s="80">
        <v>0</v>
      </c>
      <c r="DD76" s="80">
        <v>0</v>
      </c>
      <c r="DE76" s="80">
        <v>0</v>
      </c>
      <c r="DF76" s="80">
        <v>0</v>
      </c>
      <c r="DG76" s="80">
        <v>11115</v>
      </c>
      <c r="DH76" s="80">
        <v>2502</v>
      </c>
      <c r="DI76" s="80">
        <v>2502</v>
      </c>
      <c r="DJ76" s="80">
        <v>0</v>
      </c>
      <c r="DK76" s="80">
        <v>0</v>
      </c>
      <c r="DL76" s="80">
        <v>0</v>
      </c>
      <c r="DM76" s="80">
        <v>8613</v>
      </c>
      <c r="DN76" s="80">
        <v>4363</v>
      </c>
      <c r="DO76" s="80">
        <v>10</v>
      </c>
      <c r="DP76" s="80">
        <v>3370</v>
      </c>
      <c r="DQ76" s="80">
        <v>870</v>
      </c>
      <c r="DR76" s="80">
        <v>137</v>
      </c>
      <c r="DS76" s="80">
        <v>62</v>
      </c>
      <c r="DT76" s="80">
        <v>0</v>
      </c>
      <c r="DU76" s="80">
        <v>0</v>
      </c>
      <c r="DV76" s="80">
        <v>75</v>
      </c>
      <c r="DW76" s="80">
        <v>6359</v>
      </c>
      <c r="DX76" s="80">
        <v>151695</v>
      </c>
      <c r="DY76" s="80">
        <v>91446</v>
      </c>
      <c r="DZ76" s="80">
        <v>77660</v>
      </c>
      <c r="EA76" s="80">
        <v>0</v>
      </c>
      <c r="EB76" s="80">
        <v>8842</v>
      </c>
      <c r="EC76" s="80">
        <v>2979</v>
      </c>
      <c r="ED76" s="80">
        <v>1965</v>
      </c>
      <c r="EE76" s="80">
        <v>4618</v>
      </c>
      <c r="EF76" s="80">
        <v>4618</v>
      </c>
      <c r="EG76" s="80">
        <v>0</v>
      </c>
      <c r="EH76" s="80">
        <v>310</v>
      </c>
      <c r="EI76" s="80">
        <v>0</v>
      </c>
      <c r="EJ76" s="80">
        <v>310</v>
      </c>
      <c r="EK76" s="80">
        <v>575</v>
      </c>
      <c r="EL76" s="80">
        <v>0</v>
      </c>
      <c r="EM76" s="80">
        <v>0</v>
      </c>
      <c r="EN76" s="80">
        <v>575</v>
      </c>
      <c r="EO76" s="80">
        <v>54746</v>
      </c>
      <c r="EP76" s="80">
        <v>28137</v>
      </c>
      <c r="EQ76" s="80">
        <v>0</v>
      </c>
      <c r="ER76" s="80">
        <v>26663</v>
      </c>
      <c r="ES76" s="80">
        <v>0</v>
      </c>
      <c r="ET76" s="80">
        <v>26663</v>
      </c>
      <c r="EU76" s="80">
        <v>0</v>
      </c>
      <c r="EV76" s="80">
        <v>0</v>
      </c>
      <c r="EW76" s="80">
        <v>101</v>
      </c>
      <c r="EX76" s="80">
        <v>0</v>
      </c>
      <c r="EY76" s="80">
        <v>0</v>
      </c>
      <c r="EZ76" s="80">
        <v>0</v>
      </c>
      <c r="FA76" s="80">
        <v>1373</v>
      </c>
      <c r="FB76" s="80">
        <v>0</v>
      </c>
      <c r="FC76" s="80">
        <v>0</v>
      </c>
      <c r="FD76" s="80">
        <v>26609</v>
      </c>
      <c r="FE76" s="80">
        <v>0</v>
      </c>
      <c r="FF76" s="80">
        <v>8042</v>
      </c>
      <c r="FG76" s="80">
        <v>0</v>
      </c>
      <c r="FH76" s="80">
        <v>8042</v>
      </c>
      <c r="FI76" s="80">
        <v>0</v>
      </c>
      <c r="FJ76" s="80">
        <v>0</v>
      </c>
      <c r="FK76" s="80">
        <v>17</v>
      </c>
      <c r="FL76" s="80">
        <v>0</v>
      </c>
      <c r="FM76" s="80">
        <v>2</v>
      </c>
      <c r="FN76" s="80">
        <v>8748</v>
      </c>
      <c r="FO76" s="80">
        <v>885</v>
      </c>
      <c r="FP76" s="80">
        <v>8915</v>
      </c>
      <c r="FQ76" s="80">
        <v>151695</v>
      </c>
      <c r="FR76" s="80">
        <v>14214</v>
      </c>
      <c r="FS76" s="80">
        <v>2934</v>
      </c>
      <c r="FT76" s="100">
        <v>74368.051827826101</v>
      </c>
      <c r="FU76" s="100"/>
      <c r="FV76" s="100">
        <v>34786</v>
      </c>
      <c r="FW76" s="67">
        <v>7954</v>
      </c>
      <c r="FX76" s="100">
        <f t="shared" si="10"/>
        <v>-51141</v>
      </c>
      <c r="FY76" s="100">
        <f t="shared" si="11"/>
        <v>-114304</v>
      </c>
      <c r="FZ76" s="100">
        <v>79963.823748719733</v>
      </c>
      <c r="GA76" s="67">
        <v>63163</v>
      </c>
      <c r="GB76" s="58">
        <f t="shared" si="8"/>
        <v>28377</v>
      </c>
      <c r="GC76" s="67">
        <v>8197</v>
      </c>
      <c r="GD76" s="100">
        <v>7787</v>
      </c>
      <c r="GE76" s="100">
        <v>1736</v>
      </c>
      <c r="GF76" s="58">
        <f t="shared" si="9"/>
        <v>6051</v>
      </c>
      <c r="GG76" s="100">
        <v>-42165.03</v>
      </c>
      <c r="GH76" s="100">
        <v>-2961.0356500000003</v>
      </c>
      <c r="GI76" s="100">
        <v>-35935.227658216892</v>
      </c>
      <c r="GJ76" s="67">
        <f t="shared" si="12"/>
        <v>243</v>
      </c>
      <c r="GK76" s="67"/>
      <c r="GM76" s="96"/>
    </row>
    <row r="77" spans="1:195" ht="13.5" customHeight="1" x14ac:dyDescent="0.2">
      <c r="A77" s="74">
        <v>204</v>
      </c>
      <c r="B77" s="75" t="s">
        <v>46</v>
      </c>
      <c r="C77" s="75" t="s">
        <v>46</v>
      </c>
      <c r="D77" s="76"/>
      <c r="E77" s="77" t="s">
        <v>239</v>
      </c>
      <c r="F77" s="78">
        <v>2</v>
      </c>
      <c r="G77" s="79">
        <v>3194</v>
      </c>
      <c r="H77" s="80">
        <v>3474</v>
      </c>
      <c r="I77" s="80">
        <v>1083</v>
      </c>
      <c r="J77" s="80">
        <v>1009</v>
      </c>
      <c r="K77" s="80">
        <v>339</v>
      </c>
      <c r="L77" s="80">
        <v>1043</v>
      </c>
      <c r="M77" s="80">
        <v>0</v>
      </c>
      <c r="N77" s="80">
        <v>0</v>
      </c>
      <c r="O77" s="80">
        <v>24720</v>
      </c>
      <c r="P77" s="80">
        <v>7313</v>
      </c>
      <c r="Q77" s="80">
        <v>5281</v>
      </c>
      <c r="R77" s="80">
        <v>2032</v>
      </c>
      <c r="S77" s="80">
        <v>1730</v>
      </c>
      <c r="T77" s="80">
        <v>302</v>
      </c>
      <c r="U77" s="80">
        <v>14423</v>
      </c>
      <c r="V77" s="80">
        <v>1194</v>
      </c>
      <c r="W77" s="80">
        <v>1502</v>
      </c>
      <c r="X77" s="80">
        <v>288</v>
      </c>
      <c r="Y77" s="80">
        <v>-21246</v>
      </c>
      <c r="Z77" s="80">
        <v>9268</v>
      </c>
      <c r="AA77" s="80">
        <v>7342</v>
      </c>
      <c r="AB77" s="80">
        <v>949</v>
      </c>
      <c r="AC77" s="80">
        <v>977</v>
      </c>
      <c r="AD77" s="80">
        <v>12524</v>
      </c>
      <c r="AE77" s="80">
        <v>212</v>
      </c>
      <c r="AF77" s="80">
        <v>10</v>
      </c>
      <c r="AG77" s="80">
        <v>266</v>
      </c>
      <c r="AH77" s="80">
        <v>170</v>
      </c>
      <c r="AI77" s="80">
        <v>59</v>
      </c>
      <c r="AJ77" s="80">
        <v>5</v>
      </c>
      <c r="AK77" s="80">
        <v>758</v>
      </c>
      <c r="AL77" s="80">
        <v>709</v>
      </c>
      <c r="AM77" s="80">
        <v>709</v>
      </c>
      <c r="AN77" s="80">
        <v>0</v>
      </c>
      <c r="AO77" s="80">
        <v>0</v>
      </c>
      <c r="AP77" s="80">
        <v>0</v>
      </c>
      <c r="AQ77" s="80">
        <v>0</v>
      </c>
      <c r="AR77" s="80">
        <v>49</v>
      </c>
      <c r="AS77" s="80">
        <v>267</v>
      </c>
      <c r="AT77" s="80">
        <v>0</v>
      </c>
      <c r="AU77" s="80">
        <v>0</v>
      </c>
      <c r="AV77" s="80">
        <v>316</v>
      </c>
      <c r="AW77" s="81"/>
      <c r="AX77" s="80">
        <v>905</v>
      </c>
      <c r="AY77" s="80">
        <v>758</v>
      </c>
      <c r="AZ77" s="80">
        <v>0</v>
      </c>
      <c r="BA77" s="80">
        <v>147</v>
      </c>
      <c r="BB77" s="80">
        <v>-3112</v>
      </c>
      <c r="BC77" s="80">
        <v>3919</v>
      </c>
      <c r="BD77" s="80">
        <v>706</v>
      </c>
      <c r="BE77" s="80">
        <v>101</v>
      </c>
      <c r="BF77" s="80">
        <v>-2207</v>
      </c>
      <c r="BG77" s="80">
        <v>2880</v>
      </c>
      <c r="BH77" s="80">
        <v>-20</v>
      </c>
      <c r="BI77" s="80">
        <v>20</v>
      </c>
      <c r="BJ77" s="80">
        <v>0</v>
      </c>
      <c r="BK77" s="80">
        <v>2431</v>
      </c>
      <c r="BL77" s="80">
        <v>3000</v>
      </c>
      <c r="BM77" s="80">
        <v>569</v>
      </c>
      <c r="BN77" s="80">
        <v>0</v>
      </c>
      <c r="BO77" s="80">
        <v>0</v>
      </c>
      <c r="BP77" s="80">
        <v>469</v>
      </c>
      <c r="BQ77" s="80">
        <v>-9</v>
      </c>
      <c r="BR77" s="80">
        <v>0</v>
      </c>
      <c r="BS77" s="80">
        <v>-113</v>
      </c>
      <c r="BT77" s="80">
        <v>591</v>
      </c>
      <c r="BU77" s="80">
        <v>672</v>
      </c>
      <c r="BV77" s="80">
        <v>1257</v>
      </c>
      <c r="BW77" s="80">
        <v>585</v>
      </c>
      <c r="BX77" s="81"/>
      <c r="BY77" s="80">
        <v>15432</v>
      </c>
      <c r="BZ77" s="80">
        <v>229</v>
      </c>
      <c r="CA77" s="80">
        <v>7</v>
      </c>
      <c r="CB77" s="80">
        <v>222</v>
      </c>
      <c r="CC77" s="80">
        <v>0</v>
      </c>
      <c r="CD77" s="80">
        <v>11764</v>
      </c>
      <c r="CE77" s="80">
        <v>2453</v>
      </c>
      <c r="CF77" s="80">
        <v>4570</v>
      </c>
      <c r="CG77" s="80">
        <v>1874</v>
      </c>
      <c r="CH77" s="80">
        <v>85</v>
      </c>
      <c r="CI77" s="80">
        <v>0</v>
      </c>
      <c r="CJ77" s="80">
        <v>0</v>
      </c>
      <c r="CK77" s="80">
        <v>2782</v>
      </c>
      <c r="CL77" s="80">
        <v>3439</v>
      </c>
      <c r="CM77" s="80">
        <v>2895</v>
      </c>
      <c r="CN77" s="80">
        <v>2052</v>
      </c>
      <c r="CO77" s="80">
        <v>843</v>
      </c>
      <c r="CP77" s="80">
        <v>0</v>
      </c>
      <c r="CQ77" s="80">
        <v>441</v>
      </c>
      <c r="CR77" s="80">
        <v>0</v>
      </c>
      <c r="CS77" s="80">
        <v>0</v>
      </c>
      <c r="CT77" s="80">
        <v>441</v>
      </c>
      <c r="CU77" s="80">
        <v>103</v>
      </c>
      <c r="CV77" s="80">
        <v>2</v>
      </c>
      <c r="CW77" s="80">
        <v>2</v>
      </c>
      <c r="CX77" s="80">
        <v>0</v>
      </c>
      <c r="CY77" s="80">
        <v>0</v>
      </c>
      <c r="CZ77" s="80">
        <v>2308</v>
      </c>
      <c r="DA77" s="80">
        <v>0</v>
      </c>
      <c r="DB77" s="80">
        <v>0</v>
      </c>
      <c r="DC77" s="80">
        <v>0</v>
      </c>
      <c r="DD77" s="80">
        <v>0</v>
      </c>
      <c r="DE77" s="80">
        <v>0</v>
      </c>
      <c r="DF77" s="80">
        <v>0</v>
      </c>
      <c r="DG77" s="80">
        <v>1051</v>
      </c>
      <c r="DH77" s="80">
        <v>200</v>
      </c>
      <c r="DI77" s="80">
        <v>0</v>
      </c>
      <c r="DJ77" s="80">
        <v>200</v>
      </c>
      <c r="DK77" s="80">
        <v>0</v>
      </c>
      <c r="DL77" s="80">
        <v>0</v>
      </c>
      <c r="DM77" s="80">
        <v>851</v>
      </c>
      <c r="DN77" s="80">
        <v>405</v>
      </c>
      <c r="DO77" s="80">
        <v>0</v>
      </c>
      <c r="DP77" s="80">
        <v>343</v>
      </c>
      <c r="DQ77" s="80">
        <v>103</v>
      </c>
      <c r="DR77" s="80">
        <v>0</v>
      </c>
      <c r="DS77" s="80">
        <v>0</v>
      </c>
      <c r="DT77" s="80">
        <v>0</v>
      </c>
      <c r="DU77" s="80">
        <v>0</v>
      </c>
      <c r="DV77" s="80">
        <v>0</v>
      </c>
      <c r="DW77" s="80">
        <v>1257</v>
      </c>
      <c r="DX77" s="80">
        <v>17742</v>
      </c>
      <c r="DY77" s="80">
        <v>9171</v>
      </c>
      <c r="DZ77" s="80">
        <v>8693</v>
      </c>
      <c r="EA77" s="80">
        <v>0</v>
      </c>
      <c r="EB77" s="80">
        <v>0</v>
      </c>
      <c r="EC77" s="80">
        <v>162</v>
      </c>
      <c r="ED77" s="80">
        <v>316</v>
      </c>
      <c r="EE77" s="80">
        <v>277</v>
      </c>
      <c r="EF77" s="80">
        <v>277</v>
      </c>
      <c r="EG77" s="80">
        <v>0</v>
      </c>
      <c r="EH77" s="80">
        <v>0</v>
      </c>
      <c r="EI77" s="80">
        <v>0</v>
      </c>
      <c r="EJ77" s="80">
        <v>0</v>
      </c>
      <c r="EK77" s="80">
        <v>65</v>
      </c>
      <c r="EL77" s="80">
        <v>0</v>
      </c>
      <c r="EM77" s="80">
        <v>21</v>
      </c>
      <c r="EN77" s="80">
        <v>44</v>
      </c>
      <c r="EO77" s="80">
        <v>8229</v>
      </c>
      <c r="EP77" s="80">
        <v>5129</v>
      </c>
      <c r="EQ77" s="80">
        <v>0</v>
      </c>
      <c r="ER77" s="80">
        <v>4131</v>
      </c>
      <c r="ES77" s="80">
        <v>253</v>
      </c>
      <c r="ET77" s="80">
        <v>3878</v>
      </c>
      <c r="EU77" s="80">
        <v>0</v>
      </c>
      <c r="EV77" s="80">
        <v>0</v>
      </c>
      <c r="EW77" s="80">
        <v>992</v>
      </c>
      <c r="EX77" s="80">
        <v>0</v>
      </c>
      <c r="EY77" s="80">
        <v>0</v>
      </c>
      <c r="EZ77" s="80">
        <v>0</v>
      </c>
      <c r="FA77" s="80">
        <v>6</v>
      </c>
      <c r="FB77" s="80">
        <v>0</v>
      </c>
      <c r="FC77" s="80">
        <v>0</v>
      </c>
      <c r="FD77" s="80">
        <v>3100</v>
      </c>
      <c r="FE77" s="80">
        <v>0</v>
      </c>
      <c r="FF77" s="80">
        <v>366</v>
      </c>
      <c r="FG77" s="80">
        <v>84</v>
      </c>
      <c r="FH77" s="80">
        <v>282</v>
      </c>
      <c r="FI77" s="80">
        <v>0</v>
      </c>
      <c r="FJ77" s="80">
        <v>0</v>
      </c>
      <c r="FK77" s="80">
        <v>209</v>
      </c>
      <c r="FL77" s="80">
        <v>0</v>
      </c>
      <c r="FM77" s="80">
        <v>0</v>
      </c>
      <c r="FN77" s="80">
        <v>1296</v>
      </c>
      <c r="FO77" s="80">
        <v>119</v>
      </c>
      <c r="FP77" s="80">
        <v>1110</v>
      </c>
      <c r="FQ77" s="80">
        <v>17742</v>
      </c>
      <c r="FR77" s="80">
        <v>3283</v>
      </c>
      <c r="FS77" s="80">
        <v>129</v>
      </c>
      <c r="FT77" s="100">
        <v>10870.868591309138</v>
      </c>
      <c r="FU77" s="100"/>
      <c r="FV77" s="100">
        <v>4981</v>
      </c>
      <c r="FW77" s="67">
        <v>703</v>
      </c>
      <c r="FX77" s="100">
        <f t="shared" si="10"/>
        <v>-14329</v>
      </c>
      <c r="FY77" s="100">
        <f t="shared" si="11"/>
        <v>-20537</v>
      </c>
      <c r="FZ77" s="100">
        <v>15148.5402078238</v>
      </c>
      <c r="GA77" s="67">
        <v>6208</v>
      </c>
      <c r="GB77" s="58">
        <f t="shared" si="8"/>
        <v>1227</v>
      </c>
      <c r="GC77" s="67">
        <v>709</v>
      </c>
      <c r="GD77" s="100">
        <v>1010</v>
      </c>
      <c r="GE77" s="100">
        <v>232</v>
      </c>
      <c r="GF77" s="58">
        <f t="shared" si="9"/>
        <v>778</v>
      </c>
      <c r="GG77" s="100">
        <v>-4128.4080000000004</v>
      </c>
      <c r="GH77" s="100">
        <v>-271.7906000000001</v>
      </c>
      <c r="GI77" s="100">
        <v>-10825.506875557585</v>
      </c>
      <c r="GJ77" s="67">
        <f t="shared" si="12"/>
        <v>6</v>
      </c>
      <c r="GK77" s="67"/>
      <c r="GM77" s="96"/>
    </row>
    <row r="78" spans="1:195" ht="13.5" customHeight="1" x14ac:dyDescent="0.2">
      <c r="A78" s="74">
        <v>205</v>
      </c>
      <c r="B78" s="75" t="s">
        <v>254</v>
      </c>
      <c r="C78" s="82" t="s">
        <v>254</v>
      </c>
      <c r="D78" s="76"/>
      <c r="E78" s="77" t="s">
        <v>234</v>
      </c>
      <c r="F78" s="78">
        <v>5</v>
      </c>
      <c r="G78" s="79">
        <v>37622</v>
      </c>
      <c r="H78" s="80">
        <v>49248</v>
      </c>
      <c r="I78" s="80">
        <v>29634</v>
      </c>
      <c r="J78" s="80">
        <v>5389</v>
      </c>
      <c r="K78" s="80">
        <v>5446</v>
      </c>
      <c r="L78" s="80">
        <v>8779</v>
      </c>
      <c r="M78" s="80">
        <v>0</v>
      </c>
      <c r="N78" s="80">
        <v>876</v>
      </c>
      <c r="O78" s="80">
        <v>280901</v>
      </c>
      <c r="P78" s="80">
        <v>94305</v>
      </c>
      <c r="Q78" s="80">
        <v>70660</v>
      </c>
      <c r="R78" s="80">
        <v>23645</v>
      </c>
      <c r="S78" s="80">
        <v>19686</v>
      </c>
      <c r="T78" s="80">
        <v>3959</v>
      </c>
      <c r="U78" s="80">
        <v>150787</v>
      </c>
      <c r="V78" s="80">
        <v>16684</v>
      </c>
      <c r="W78" s="80">
        <v>12904</v>
      </c>
      <c r="X78" s="80">
        <v>6221</v>
      </c>
      <c r="Y78" s="80">
        <v>-230777</v>
      </c>
      <c r="Z78" s="80">
        <v>138123</v>
      </c>
      <c r="AA78" s="80">
        <v>122195</v>
      </c>
      <c r="AB78" s="80">
        <v>6127</v>
      </c>
      <c r="AC78" s="80">
        <v>9801</v>
      </c>
      <c r="AD78" s="80">
        <v>99516</v>
      </c>
      <c r="AE78" s="80">
        <v>4862</v>
      </c>
      <c r="AF78" s="80">
        <v>4585</v>
      </c>
      <c r="AG78" s="80">
        <v>1631</v>
      </c>
      <c r="AH78" s="80">
        <v>1019</v>
      </c>
      <c r="AI78" s="80">
        <v>1241</v>
      </c>
      <c r="AJ78" s="80">
        <v>113</v>
      </c>
      <c r="AK78" s="80">
        <v>11724</v>
      </c>
      <c r="AL78" s="80">
        <v>13351</v>
      </c>
      <c r="AM78" s="80">
        <v>13351</v>
      </c>
      <c r="AN78" s="80">
        <v>0</v>
      </c>
      <c r="AO78" s="80">
        <v>0</v>
      </c>
      <c r="AP78" s="80">
        <v>0</v>
      </c>
      <c r="AQ78" s="80">
        <v>0</v>
      </c>
      <c r="AR78" s="80">
        <v>-1627</v>
      </c>
      <c r="AS78" s="80">
        <v>247</v>
      </c>
      <c r="AT78" s="80">
        <v>-2500</v>
      </c>
      <c r="AU78" s="80">
        <v>2915</v>
      </c>
      <c r="AV78" s="80">
        <v>-965</v>
      </c>
      <c r="AW78" s="81"/>
      <c r="AX78" s="80">
        <v>11498</v>
      </c>
      <c r="AY78" s="80">
        <v>11724</v>
      </c>
      <c r="AZ78" s="80">
        <v>0</v>
      </c>
      <c r="BA78" s="80">
        <v>-226</v>
      </c>
      <c r="BB78" s="80">
        <v>-25743</v>
      </c>
      <c r="BC78" s="80">
        <v>27107</v>
      </c>
      <c r="BD78" s="80">
        <v>1122</v>
      </c>
      <c r="BE78" s="80">
        <v>242</v>
      </c>
      <c r="BF78" s="80">
        <v>-14245</v>
      </c>
      <c r="BG78" s="80">
        <v>18664</v>
      </c>
      <c r="BH78" s="80">
        <v>-1483</v>
      </c>
      <c r="BI78" s="80">
        <v>1603</v>
      </c>
      <c r="BJ78" s="80">
        <v>120</v>
      </c>
      <c r="BK78" s="80">
        <v>17076</v>
      </c>
      <c r="BL78" s="80">
        <v>25000</v>
      </c>
      <c r="BM78" s="80">
        <v>12664</v>
      </c>
      <c r="BN78" s="80">
        <v>4740</v>
      </c>
      <c r="BO78" s="80">
        <v>0</v>
      </c>
      <c r="BP78" s="80">
        <v>3071</v>
      </c>
      <c r="BQ78" s="80">
        <v>-36</v>
      </c>
      <c r="BR78" s="80">
        <v>-268</v>
      </c>
      <c r="BS78" s="80">
        <v>6931</v>
      </c>
      <c r="BT78" s="80">
        <v>-3556</v>
      </c>
      <c r="BU78" s="80">
        <v>4419</v>
      </c>
      <c r="BV78" s="80">
        <v>4419</v>
      </c>
      <c r="BW78" s="80">
        <v>0</v>
      </c>
      <c r="BX78" s="81"/>
      <c r="BY78" s="80">
        <v>335383</v>
      </c>
      <c r="BZ78" s="80">
        <v>978</v>
      </c>
      <c r="CA78" s="80">
        <v>102</v>
      </c>
      <c r="CB78" s="80">
        <v>876</v>
      </c>
      <c r="CC78" s="80">
        <v>0</v>
      </c>
      <c r="CD78" s="80">
        <v>212580</v>
      </c>
      <c r="CE78" s="80">
        <v>32948</v>
      </c>
      <c r="CF78" s="80">
        <v>96225</v>
      </c>
      <c r="CG78" s="80">
        <v>66941</v>
      </c>
      <c r="CH78" s="80">
        <v>5011</v>
      </c>
      <c r="CI78" s="80">
        <v>1136</v>
      </c>
      <c r="CJ78" s="80">
        <v>1126</v>
      </c>
      <c r="CK78" s="80">
        <v>10319</v>
      </c>
      <c r="CL78" s="80">
        <v>121825</v>
      </c>
      <c r="CM78" s="80">
        <v>49880</v>
      </c>
      <c r="CN78" s="80">
        <v>6882</v>
      </c>
      <c r="CO78" s="80">
        <v>42998</v>
      </c>
      <c r="CP78" s="80">
        <v>0</v>
      </c>
      <c r="CQ78" s="80">
        <v>70994</v>
      </c>
      <c r="CR78" s="80">
        <v>0</v>
      </c>
      <c r="CS78" s="80">
        <v>0</v>
      </c>
      <c r="CT78" s="80">
        <v>70994</v>
      </c>
      <c r="CU78" s="80">
        <v>951</v>
      </c>
      <c r="CV78" s="80">
        <v>186</v>
      </c>
      <c r="CW78" s="80">
        <v>0</v>
      </c>
      <c r="CX78" s="80">
        <v>186</v>
      </c>
      <c r="CY78" s="80">
        <v>0</v>
      </c>
      <c r="CZ78" s="80">
        <v>17494</v>
      </c>
      <c r="DA78" s="80">
        <v>1587</v>
      </c>
      <c r="DB78" s="80">
        <v>12</v>
      </c>
      <c r="DC78" s="80">
        <v>1575</v>
      </c>
      <c r="DD78" s="80">
        <v>0</v>
      </c>
      <c r="DE78" s="80">
        <v>0</v>
      </c>
      <c r="DF78" s="80">
        <v>0</v>
      </c>
      <c r="DG78" s="80">
        <v>11488</v>
      </c>
      <c r="DH78" s="80">
        <v>1048</v>
      </c>
      <c r="DI78" s="80">
        <v>881</v>
      </c>
      <c r="DJ78" s="80">
        <v>0</v>
      </c>
      <c r="DK78" s="80">
        <v>167</v>
      </c>
      <c r="DL78" s="80">
        <v>0</v>
      </c>
      <c r="DM78" s="80">
        <v>10440</v>
      </c>
      <c r="DN78" s="80">
        <v>5537</v>
      </c>
      <c r="DO78" s="80">
        <v>0</v>
      </c>
      <c r="DP78" s="80">
        <v>1601</v>
      </c>
      <c r="DQ78" s="80">
        <v>3302</v>
      </c>
      <c r="DR78" s="80">
        <v>0</v>
      </c>
      <c r="DS78" s="80">
        <v>0</v>
      </c>
      <c r="DT78" s="80">
        <v>0</v>
      </c>
      <c r="DU78" s="80">
        <v>0</v>
      </c>
      <c r="DV78" s="80">
        <v>0</v>
      </c>
      <c r="DW78" s="80">
        <v>4419</v>
      </c>
      <c r="DX78" s="80">
        <v>353063</v>
      </c>
      <c r="DY78" s="80">
        <v>225904</v>
      </c>
      <c r="DZ78" s="80">
        <v>148905</v>
      </c>
      <c r="EA78" s="80">
        <v>0</v>
      </c>
      <c r="EB78" s="80">
        <v>3312</v>
      </c>
      <c r="EC78" s="80">
        <v>74652</v>
      </c>
      <c r="ED78" s="80">
        <v>-965</v>
      </c>
      <c r="EE78" s="80">
        <v>7066</v>
      </c>
      <c r="EF78" s="80">
        <v>2466</v>
      </c>
      <c r="EG78" s="80">
        <v>4600</v>
      </c>
      <c r="EH78" s="80">
        <v>0</v>
      </c>
      <c r="EI78" s="80">
        <v>0</v>
      </c>
      <c r="EJ78" s="80">
        <v>0</v>
      </c>
      <c r="EK78" s="80">
        <v>464</v>
      </c>
      <c r="EL78" s="80">
        <v>0</v>
      </c>
      <c r="EM78" s="80">
        <v>206</v>
      </c>
      <c r="EN78" s="80">
        <v>258</v>
      </c>
      <c r="EO78" s="80">
        <v>119629</v>
      </c>
      <c r="EP78" s="80">
        <v>73599</v>
      </c>
      <c r="EQ78" s="80">
        <v>0</v>
      </c>
      <c r="ER78" s="80">
        <v>66136</v>
      </c>
      <c r="ES78" s="80">
        <v>801</v>
      </c>
      <c r="ET78" s="80">
        <v>65335</v>
      </c>
      <c r="EU78" s="80">
        <v>0</v>
      </c>
      <c r="EV78" s="80">
        <v>0</v>
      </c>
      <c r="EW78" s="80">
        <v>3722</v>
      </c>
      <c r="EX78" s="80">
        <v>0</v>
      </c>
      <c r="EY78" s="80">
        <v>0</v>
      </c>
      <c r="EZ78" s="80">
        <v>0</v>
      </c>
      <c r="FA78" s="80">
        <v>3741</v>
      </c>
      <c r="FB78" s="80">
        <v>0</v>
      </c>
      <c r="FC78" s="80">
        <v>0</v>
      </c>
      <c r="FD78" s="80">
        <v>46030</v>
      </c>
      <c r="FE78" s="80">
        <v>0</v>
      </c>
      <c r="FF78" s="80">
        <v>11991</v>
      </c>
      <c r="FG78" s="80">
        <v>243</v>
      </c>
      <c r="FH78" s="80">
        <v>11748</v>
      </c>
      <c r="FI78" s="80">
        <v>0</v>
      </c>
      <c r="FJ78" s="80">
        <v>0</v>
      </c>
      <c r="FK78" s="80">
        <v>848</v>
      </c>
      <c r="FL78" s="80">
        <v>7446</v>
      </c>
      <c r="FM78" s="80">
        <v>1166</v>
      </c>
      <c r="FN78" s="80">
        <v>7498</v>
      </c>
      <c r="FO78" s="80">
        <v>1880</v>
      </c>
      <c r="FP78" s="80">
        <v>15201</v>
      </c>
      <c r="FQ78" s="80">
        <v>353063</v>
      </c>
      <c r="FR78" s="80">
        <v>40568</v>
      </c>
      <c r="FS78" s="80">
        <v>2629</v>
      </c>
      <c r="FT78" s="100">
        <v>175078.13301890582</v>
      </c>
      <c r="FU78" s="100"/>
      <c r="FV78" s="100">
        <v>70734</v>
      </c>
      <c r="FW78" s="67">
        <v>13032</v>
      </c>
      <c r="FX78" s="100">
        <f t="shared" si="10"/>
        <v>-137977</v>
      </c>
      <c r="FY78" s="100">
        <f t="shared" si="11"/>
        <v>-217426</v>
      </c>
      <c r="FZ78" s="100">
        <v>128822.91222258862</v>
      </c>
      <c r="GA78" s="67">
        <v>79449</v>
      </c>
      <c r="GB78" s="58">
        <f t="shared" si="8"/>
        <v>8715</v>
      </c>
      <c r="GC78" s="67">
        <v>13353</v>
      </c>
      <c r="GD78" s="100">
        <v>5501</v>
      </c>
      <c r="GE78" s="100">
        <v>5380</v>
      </c>
      <c r="GF78" s="58">
        <f t="shared" si="9"/>
        <v>121</v>
      </c>
      <c r="GG78" s="100">
        <v>-69968.332999999999</v>
      </c>
      <c r="GH78" s="100">
        <v>-1660.7357000000006</v>
      </c>
      <c r="GI78" s="100">
        <v>-57907.01994207118</v>
      </c>
      <c r="GJ78" s="67">
        <f t="shared" si="12"/>
        <v>321</v>
      </c>
      <c r="GK78" s="67"/>
      <c r="GM78" s="96"/>
    </row>
    <row r="79" spans="1:195" ht="13.5" customHeight="1" x14ac:dyDescent="0.2">
      <c r="A79" s="74">
        <v>208</v>
      </c>
      <c r="B79" s="75" t="s">
        <v>47</v>
      </c>
      <c r="C79" s="75" t="s">
        <v>47</v>
      </c>
      <c r="D79" s="76"/>
      <c r="E79" s="77" t="s">
        <v>216</v>
      </c>
      <c r="F79" s="78">
        <v>4</v>
      </c>
      <c r="G79" s="79">
        <v>12621</v>
      </c>
      <c r="H79" s="80">
        <v>21580</v>
      </c>
      <c r="I79" s="80">
        <v>12130</v>
      </c>
      <c r="J79" s="80">
        <v>5665</v>
      </c>
      <c r="K79" s="80">
        <v>1363</v>
      </c>
      <c r="L79" s="80">
        <v>2422</v>
      </c>
      <c r="M79" s="80">
        <v>0</v>
      </c>
      <c r="N79" s="80">
        <v>289</v>
      </c>
      <c r="O79" s="80">
        <v>83325</v>
      </c>
      <c r="P79" s="80">
        <v>43231</v>
      </c>
      <c r="Q79" s="80">
        <v>33326</v>
      </c>
      <c r="R79" s="80">
        <v>9905</v>
      </c>
      <c r="S79" s="80">
        <v>7875</v>
      </c>
      <c r="T79" s="80">
        <v>2030</v>
      </c>
      <c r="U79" s="80">
        <v>30171</v>
      </c>
      <c r="V79" s="80">
        <v>5389</v>
      </c>
      <c r="W79" s="80">
        <v>3303</v>
      </c>
      <c r="X79" s="80">
        <v>1231</v>
      </c>
      <c r="Y79" s="80">
        <v>-61456</v>
      </c>
      <c r="Z79" s="80">
        <v>38461</v>
      </c>
      <c r="AA79" s="80">
        <v>32831</v>
      </c>
      <c r="AB79" s="80">
        <v>2933</v>
      </c>
      <c r="AC79" s="80">
        <v>2697</v>
      </c>
      <c r="AD79" s="80">
        <v>29439</v>
      </c>
      <c r="AE79" s="80">
        <v>349</v>
      </c>
      <c r="AF79" s="80">
        <v>122</v>
      </c>
      <c r="AG79" s="80">
        <v>607</v>
      </c>
      <c r="AH79" s="80">
        <v>24</v>
      </c>
      <c r="AI79" s="80">
        <v>210</v>
      </c>
      <c r="AJ79" s="80">
        <v>170</v>
      </c>
      <c r="AK79" s="80">
        <v>6793</v>
      </c>
      <c r="AL79" s="80">
        <v>5007</v>
      </c>
      <c r="AM79" s="80">
        <v>4650</v>
      </c>
      <c r="AN79" s="80">
        <v>357</v>
      </c>
      <c r="AO79" s="80">
        <v>438</v>
      </c>
      <c r="AP79" s="80">
        <v>438</v>
      </c>
      <c r="AQ79" s="80">
        <v>0</v>
      </c>
      <c r="AR79" s="80">
        <v>2224</v>
      </c>
      <c r="AS79" s="80">
        <v>54</v>
      </c>
      <c r="AT79" s="80">
        <v>0</v>
      </c>
      <c r="AU79" s="80">
        <v>0</v>
      </c>
      <c r="AV79" s="80">
        <v>2278</v>
      </c>
      <c r="AW79" s="81"/>
      <c r="AX79" s="80">
        <v>6513</v>
      </c>
      <c r="AY79" s="80">
        <v>6793</v>
      </c>
      <c r="AZ79" s="80">
        <v>438</v>
      </c>
      <c r="BA79" s="80">
        <v>-718</v>
      </c>
      <c r="BB79" s="80">
        <v>-5010</v>
      </c>
      <c r="BC79" s="80">
        <v>8979</v>
      </c>
      <c r="BD79" s="80">
        <v>1542</v>
      </c>
      <c r="BE79" s="80">
        <v>2427</v>
      </c>
      <c r="BF79" s="80">
        <v>1503</v>
      </c>
      <c r="BG79" s="80">
        <v>-1315</v>
      </c>
      <c r="BH79" s="80">
        <v>-625</v>
      </c>
      <c r="BI79" s="80">
        <v>628</v>
      </c>
      <c r="BJ79" s="80">
        <v>3</v>
      </c>
      <c r="BK79" s="80">
        <v>-875</v>
      </c>
      <c r="BL79" s="80">
        <v>10651</v>
      </c>
      <c r="BM79" s="80">
        <v>4126</v>
      </c>
      <c r="BN79" s="80">
        <v>-7400</v>
      </c>
      <c r="BO79" s="80">
        <v>0</v>
      </c>
      <c r="BP79" s="80">
        <v>185</v>
      </c>
      <c r="BQ79" s="80">
        <v>9</v>
      </c>
      <c r="BR79" s="80">
        <v>25</v>
      </c>
      <c r="BS79" s="80">
        <v>599</v>
      </c>
      <c r="BT79" s="80">
        <v>-448</v>
      </c>
      <c r="BU79" s="80">
        <v>185</v>
      </c>
      <c r="BV79" s="80">
        <v>15535</v>
      </c>
      <c r="BW79" s="80">
        <v>15350</v>
      </c>
      <c r="BX79" s="81"/>
      <c r="BY79" s="80">
        <v>92563</v>
      </c>
      <c r="BZ79" s="80">
        <v>226</v>
      </c>
      <c r="CA79" s="80">
        <v>73</v>
      </c>
      <c r="CB79" s="80">
        <v>153</v>
      </c>
      <c r="CC79" s="80">
        <v>0</v>
      </c>
      <c r="CD79" s="80">
        <v>70426</v>
      </c>
      <c r="CE79" s="80">
        <v>19151</v>
      </c>
      <c r="CF79" s="80">
        <v>35322</v>
      </c>
      <c r="CG79" s="80">
        <v>13526</v>
      </c>
      <c r="CH79" s="80">
        <v>657</v>
      </c>
      <c r="CI79" s="80">
        <v>21</v>
      </c>
      <c r="CJ79" s="80">
        <v>21</v>
      </c>
      <c r="CK79" s="80">
        <v>1749</v>
      </c>
      <c r="CL79" s="80">
        <v>21911</v>
      </c>
      <c r="CM79" s="80">
        <v>19493</v>
      </c>
      <c r="CN79" s="80">
        <v>4296</v>
      </c>
      <c r="CO79" s="80">
        <v>15197</v>
      </c>
      <c r="CP79" s="80">
        <v>0</v>
      </c>
      <c r="CQ79" s="80">
        <v>2064</v>
      </c>
      <c r="CR79" s="80">
        <v>0</v>
      </c>
      <c r="CS79" s="80">
        <v>573</v>
      </c>
      <c r="CT79" s="80">
        <v>1491</v>
      </c>
      <c r="CU79" s="80">
        <v>354</v>
      </c>
      <c r="CV79" s="80">
        <v>357</v>
      </c>
      <c r="CW79" s="80">
        <v>2</v>
      </c>
      <c r="CX79" s="80">
        <v>26</v>
      </c>
      <c r="CY79" s="80">
        <v>329</v>
      </c>
      <c r="CZ79" s="80">
        <v>22943</v>
      </c>
      <c r="DA79" s="80">
        <v>53</v>
      </c>
      <c r="DB79" s="80">
        <v>53</v>
      </c>
      <c r="DC79" s="80">
        <v>0</v>
      </c>
      <c r="DD79" s="80">
        <v>0</v>
      </c>
      <c r="DE79" s="80">
        <v>0</v>
      </c>
      <c r="DF79" s="80">
        <v>0</v>
      </c>
      <c r="DG79" s="80">
        <v>7355</v>
      </c>
      <c r="DH79" s="80">
        <v>1546</v>
      </c>
      <c r="DI79" s="80">
        <v>1267</v>
      </c>
      <c r="DJ79" s="80">
        <v>54</v>
      </c>
      <c r="DK79" s="80">
        <v>225</v>
      </c>
      <c r="DL79" s="80">
        <v>0</v>
      </c>
      <c r="DM79" s="80">
        <v>5809</v>
      </c>
      <c r="DN79" s="80">
        <v>2841</v>
      </c>
      <c r="DO79" s="80">
        <v>155</v>
      </c>
      <c r="DP79" s="80">
        <v>1145</v>
      </c>
      <c r="DQ79" s="80">
        <v>1668</v>
      </c>
      <c r="DR79" s="80">
        <v>13062</v>
      </c>
      <c r="DS79" s="80">
        <v>0</v>
      </c>
      <c r="DT79" s="80">
        <v>0</v>
      </c>
      <c r="DU79" s="80">
        <v>1627</v>
      </c>
      <c r="DV79" s="80">
        <v>11435</v>
      </c>
      <c r="DW79" s="80">
        <v>2473</v>
      </c>
      <c r="DX79" s="80">
        <v>115863</v>
      </c>
      <c r="DY79" s="80">
        <v>67395</v>
      </c>
      <c r="DZ79" s="80">
        <v>40332</v>
      </c>
      <c r="EA79" s="80">
        <v>0</v>
      </c>
      <c r="EB79" s="80">
        <v>8681</v>
      </c>
      <c r="EC79" s="80">
        <v>16108</v>
      </c>
      <c r="ED79" s="80">
        <v>2274</v>
      </c>
      <c r="EE79" s="80">
        <v>1489</v>
      </c>
      <c r="EF79" s="80">
        <v>1489</v>
      </c>
      <c r="EG79" s="80">
        <v>0</v>
      </c>
      <c r="EH79" s="80">
        <v>0</v>
      </c>
      <c r="EI79" s="80">
        <v>0</v>
      </c>
      <c r="EJ79" s="80">
        <v>0</v>
      </c>
      <c r="EK79" s="80">
        <v>414</v>
      </c>
      <c r="EL79" s="80">
        <v>18</v>
      </c>
      <c r="EM79" s="80">
        <v>26</v>
      </c>
      <c r="EN79" s="80">
        <v>370</v>
      </c>
      <c r="EO79" s="80">
        <v>46564</v>
      </c>
      <c r="EP79" s="80">
        <v>15830</v>
      </c>
      <c r="EQ79" s="80">
        <v>0</v>
      </c>
      <c r="ER79" s="80">
        <v>11821</v>
      </c>
      <c r="ES79" s="80">
        <v>115</v>
      </c>
      <c r="ET79" s="80">
        <v>11706</v>
      </c>
      <c r="EU79" s="80">
        <v>0</v>
      </c>
      <c r="EV79" s="80">
        <v>0</v>
      </c>
      <c r="EW79" s="80">
        <v>783</v>
      </c>
      <c r="EX79" s="80">
        <v>0</v>
      </c>
      <c r="EY79" s="80">
        <v>0</v>
      </c>
      <c r="EZ79" s="80">
        <v>0</v>
      </c>
      <c r="FA79" s="80">
        <v>3226</v>
      </c>
      <c r="FB79" s="80">
        <v>0</v>
      </c>
      <c r="FC79" s="80">
        <v>0</v>
      </c>
      <c r="FD79" s="80">
        <v>30734</v>
      </c>
      <c r="FE79" s="80">
        <v>0</v>
      </c>
      <c r="FF79" s="80">
        <v>19540</v>
      </c>
      <c r="FG79" s="80">
        <v>16540</v>
      </c>
      <c r="FH79" s="80">
        <v>3000</v>
      </c>
      <c r="FI79" s="80">
        <v>0</v>
      </c>
      <c r="FJ79" s="80">
        <v>0</v>
      </c>
      <c r="FK79" s="80">
        <v>522</v>
      </c>
      <c r="FL79" s="80">
        <v>0</v>
      </c>
      <c r="FM79" s="80">
        <v>31</v>
      </c>
      <c r="FN79" s="80">
        <v>4009</v>
      </c>
      <c r="FO79" s="80">
        <v>969</v>
      </c>
      <c r="FP79" s="80">
        <v>5663</v>
      </c>
      <c r="FQ79" s="80">
        <v>115862</v>
      </c>
      <c r="FR79" s="80">
        <v>14609</v>
      </c>
      <c r="FS79" s="80">
        <v>4314</v>
      </c>
      <c r="FT79" s="100">
        <v>51509.106225104391</v>
      </c>
      <c r="FU79" s="100"/>
      <c r="FV79" s="100">
        <v>23785</v>
      </c>
      <c r="FW79" s="67">
        <v>4900</v>
      </c>
      <c r="FX79" s="100">
        <f t="shared" si="10"/>
        <v>-22741</v>
      </c>
      <c r="FY79" s="100">
        <f t="shared" si="11"/>
        <v>-56449</v>
      </c>
      <c r="FZ79" s="100">
        <v>33763.077015576724</v>
      </c>
      <c r="GA79" s="67">
        <v>33708</v>
      </c>
      <c r="GB79" s="58">
        <f t="shared" si="8"/>
        <v>9923</v>
      </c>
      <c r="GC79" s="67">
        <v>5005</v>
      </c>
      <c r="GD79" s="100">
        <v>5665</v>
      </c>
      <c r="GE79" s="100">
        <v>1901</v>
      </c>
      <c r="GF79" s="58">
        <f t="shared" si="9"/>
        <v>3764</v>
      </c>
      <c r="GG79" s="100">
        <v>-19799.436000000002</v>
      </c>
      <c r="GH79" s="100">
        <v>-886.03570000000013</v>
      </c>
      <c r="GI79" s="100">
        <v>-13119.062090300777</v>
      </c>
      <c r="GJ79" s="67">
        <f t="shared" si="12"/>
        <v>105</v>
      </c>
      <c r="GK79" s="67"/>
      <c r="GM79" s="96"/>
    </row>
    <row r="80" spans="1:195" ht="13.5" customHeight="1" x14ac:dyDescent="0.2">
      <c r="A80" s="74">
        <v>211</v>
      </c>
      <c r="B80" s="75" t="s">
        <v>48</v>
      </c>
      <c r="C80" s="75" t="s">
        <v>48</v>
      </c>
      <c r="D80" s="76"/>
      <c r="E80" s="77" t="s">
        <v>214</v>
      </c>
      <c r="F80" s="78">
        <v>5</v>
      </c>
      <c r="G80" s="79">
        <v>30607</v>
      </c>
      <c r="H80" s="80">
        <v>47302</v>
      </c>
      <c r="I80" s="80">
        <v>26174</v>
      </c>
      <c r="J80" s="80">
        <v>11655</v>
      </c>
      <c r="K80" s="80">
        <v>3909</v>
      </c>
      <c r="L80" s="80">
        <v>5564</v>
      </c>
      <c r="M80" s="80">
        <v>0</v>
      </c>
      <c r="N80" s="80">
        <v>35</v>
      </c>
      <c r="O80" s="80">
        <v>187851</v>
      </c>
      <c r="P80" s="80">
        <v>87242</v>
      </c>
      <c r="Q80" s="80">
        <v>67512</v>
      </c>
      <c r="R80" s="80">
        <v>19730</v>
      </c>
      <c r="S80" s="80">
        <v>15651</v>
      </c>
      <c r="T80" s="80">
        <v>4079</v>
      </c>
      <c r="U80" s="80">
        <v>71890</v>
      </c>
      <c r="V80" s="80">
        <v>9849</v>
      </c>
      <c r="W80" s="80">
        <v>14157</v>
      </c>
      <c r="X80" s="80">
        <v>4713</v>
      </c>
      <c r="Y80" s="80">
        <v>-140514</v>
      </c>
      <c r="Z80" s="80">
        <v>121621</v>
      </c>
      <c r="AA80" s="80">
        <v>111088</v>
      </c>
      <c r="AB80" s="80">
        <v>3781</v>
      </c>
      <c r="AC80" s="80">
        <v>6752</v>
      </c>
      <c r="AD80" s="80">
        <v>35982</v>
      </c>
      <c r="AE80" s="80">
        <v>1277</v>
      </c>
      <c r="AF80" s="80">
        <v>12</v>
      </c>
      <c r="AG80" s="80">
        <v>8405</v>
      </c>
      <c r="AH80" s="80">
        <v>248</v>
      </c>
      <c r="AI80" s="80">
        <v>1214</v>
      </c>
      <c r="AJ80" s="80">
        <v>5926</v>
      </c>
      <c r="AK80" s="80">
        <v>18366</v>
      </c>
      <c r="AL80" s="80">
        <v>12707</v>
      </c>
      <c r="AM80" s="80">
        <v>12506</v>
      </c>
      <c r="AN80" s="80">
        <v>201</v>
      </c>
      <c r="AO80" s="80">
        <v>0</v>
      </c>
      <c r="AP80" s="80">
        <v>0</v>
      </c>
      <c r="AQ80" s="80">
        <v>0</v>
      </c>
      <c r="AR80" s="80">
        <v>5659</v>
      </c>
      <c r="AS80" s="80">
        <v>10</v>
      </c>
      <c r="AT80" s="80">
        <v>0</v>
      </c>
      <c r="AU80" s="80">
        <v>0</v>
      </c>
      <c r="AV80" s="80">
        <v>5669</v>
      </c>
      <c r="AW80" s="81"/>
      <c r="AX80" s="80">
        <v>17068</v>
      </c>
      <c r="AY80" s="80">
        <v>18366</v>
      </c>
      <c r="AZ80" s="80">
        <v>0</v>
      </c>
      <c r="BA80" s="80">
        <v>-1298</v>
      </c>
      <c r="BB80" s="80">
        <v>-12995</v>
      </c>
      <c r="BC80" s="80">
        <v>15759</v>
      </c>
      <c r="BD80" s="80">
        <v>361</v>
      </c>
      <c r="BE80" s="80">
        <v>2403</v>
      </c>
      <c r="BF80" s="80">
        <v>4073</v>
      </c>
      <c r="BG80" s="80">
        <v>-2804</v>
      </c>
      <c r="BH80" s="80">
        <v>26</v>
      </c>
      <c r="BI80" s="80">
        <v>5</v>
      </c>
      <c r="BJ80" s="80">
        <v>31</v>
      </c>
      <c r="BK80" s="80">
        <v>-3807</v>
      </c>
      <c r="BL80" s="80">
        <v>7000</v>
      </c>
      <c r="BM80" s="80">
        <v>10807</v>
      </c>
      <c r="BN80" s="80">
        <v>0</v>
      </c>
      <c r="BO80" s="80">
        <v>0</v>
      </c>
      <c r="BP80" s="80">
        <v>977</v>
      </c>
      <c r="BQ80" s="80">
        <v>73</v>
      </c>
      <c r="BR80" s="80">
        <v>68</v>
      </c>
      <c r="BS80" s="80">
        <v>740</v>
      </c>
      <c r="BT80" s="80">
        <v>96</v>
      </c>
      <c r="BU80" s="80">
        <v>1269</v>
      </c>
      <c r="BV80" s="80">
        <v>36352</v>
      </c>
      <c r="BW80" s="80">
        <v>35083</v>
      </c>
      <c r="BX80" s="81"/>
      <c r="BY80" s="80">
        <v>164827</v>
      </c>
      <c r="BZ80" s="80">
        <v>1031</v>
      </c>
      <c r="CA80" s="80">
        <v>0</v>
      </c>
      <c r="CB80" s="80">
        <v>892</v>
      </c>
      <c r="CC80" s="80">
        <v>139</v>
      </c>
      <c r="CD80" s="80">
        <v>131619</v>
      </c>
      <c r="CE80" s="80">
        <v>22154</v>
      </c>
      <c r="CF80" s="80">
        <v>64621</v>
      </c>
      <c r="CG80" s="80">
        <v>38443</v>
      </c>
      <c r="CH80" s="80">
        <v>2417</v>
      </c>
      <c r="CI80" s="80">
        <v>284</v>
      </c>
      <c r="CJ80" s="80">
        <v>283</v>
      </c>
      <c r="CK80" s="80">
        <v>3700</v>
      </c>
      <c r="CL80" s="80">
        <v>32177</v>
      </c>
      <c r="CM80" s="80">
        <v>31779</v>
      </c>
      <c r="CN80" s="80">
        <v>9117</v>
      </c>
      <c r="CO80" s="80">
        <v>22662</v>
      </c>
      <c r="CP80" s="80">
        <v>0</v>
      </c>
      <c r="CQ80" s="80">
        <v>46</v>
      </c>
      <c r="CR80" s="80">
        <v>0</v>
      </c>
      <c r="CS80" s="80">
        <v>0</v>
      </c>
      <c r="CT80" s="80">
        <v>46</v>
      </c>
      <c r="CU80" s="80">
        <v>352</v>
      </c>
      <c r="CV80" s="80">
        <v>2821</v>
      </c>
      <c r="CW80" s="80">
        <v>14</v>
      </c>
      <c r="CX80" s="80">
        <v>2585</v>
      </c>
      <c r="CY80" s="80">
        <v>222</v>
      </c>
      <c r="CZ80" s="80">
        <v>47052</v>
      </c>
      <c r="DA80" s="80">
        <v>0</v>
      </c>
      <c r="DB80" s="80">
        <v>0</v>
      </c>
      <c r="DC80" s="80">
        <v>0</v>
      </c>
      <c r="DD80" s="80">
        <v>0</v>
      </c>
      <c r="DE80" s="80">
        <v>0</v>
      </c>
      <c r="DF80" s="80">
        <v>0</v>
      </c>
      <c r="DG80" s="80">
        <v>10699</v>
      </c>
      <c r="DH80" s="80">
        <v>2642</v>
      </c>
      <c r="DI80" s="80">
        <v>436</v>
      </c>
      <c r="DJ80" s="80">
        <v>984</v>
      </c>
      <c r="DK80" s="80">
        <v>1222</v>
      </c>
      <c r="DL80" s="80">
        <v>0</v>
      </c>
      <c r="DM80" s="80">
        <v>8057</v>
      </c>
      <c r="DN80" s="80">
        <v>3769</v>
      </c>
      <c r="DO80" s="80">
        <v>2</v>
      </c>
      <c r="DP80" s="80">
        <v>2084</v>
      </c>
      <c r="DQ80" s="80">
        <v>2202</v>
      </c>
      <c r="DR80" s="80">
        <v>24339</v>
      </c>
      <c r="DS80" s="80">
        <v>11319</v>
      </c>
      <c r="DT80" s="80">
        <v>250</v>
      </c>
      <c r="DU80" s="80">
        <v>2478</v>
      </c>
      <c r="DV80" s="80">
        <v>10292</v>
      </c>
      <c r="DW80" s="80">
        <v>12014</v>
      </c>
      <c r="DX80" s="80">
        <v>214700</v>
      </c>
      <c r="DY80" s="80">
        <v>115890</v>
      </c>
      <c r="DZ80" s="80">
        <v>66725</v>
      </c>
      <c r="EA80" s="80">
        <v>0</v>
      </c>
      <c r="EB80" s="80">
        <v>0</v>
      </c>
      <c r="EC80" s="80">
        <v>43495</v>
      </c>
      <c r="ED80" s="80">
        <v>5670</v>
      </c>
      <c r="EE80" s="80">
        <v>122</v>
      </c>
      <c r="EF80" s="80">
        <v>122</v>
      </c>
      <c r="EG80" s="80">
        <v>0</v>
      </c>
      <c r="EH80" s="80">
        <v>0</v>
      </c>
      <c r="EI80" s="80">
        <v>0</v>
      </c>
      <c r="EJ80" s="80">
        <v>0</v>
      </c>
      <c r="EK80" s="80">
        <v>2806</v>
      </c>
      <c r="EL80" s="80">
        <v>81</v>
      </c>
      <c r="EM80" s="80">
        <v>2267</v>
      </c>
      <c r="EN80" s="80">
        <v>458</v>
      </c>
      <c r="EO80" s="80">
        <v>95882</v>
      </c>
      <c r="EP80" s="80">
        <v>61701</v>
      </c>
      <c r="EQ80" s="80">
        <v>0</v>
      </c>
      <c r="ER80" s="80">
        <v>50779</v>
      </c>
      <c r="ES80" s="80">
        <v>19488</v>
      </c>
      <c r="ET80" s="80">
        <v>31291</v>
      </c>
      <c r="EU80" s="80">
        <v>0</v>
      </c>
      <c r="EV80" s="80">
        <v>0</v>
      </c>
      <c r="EW80" s="80">
        <v>701</v>
      </c>
      <c r="EX80" s="80">
        <v>0</v>
      </c>
      <c r="EY80" s="80">
        <v>1077</v>
      </c>
      <c r="EZ80" s="80">
        <v>0</v>
      </c>
      <c r="FA80" s="80">
        <v>9144</v>
      </c>
      <c r="FB80" s="80">
        <v>0</v>
      </c>
      <c r="FC80" s="80">
        <v>0</v>
      </c>
      <c r="FD80" s="80">
        <v>34181</v>
      </c>
      <c r="FE80" s="80">
        <v>0</v>
      </c>
      <c r="FF80" s="80">
        <v>10646</v>
      </c>
      <c r="FG80" s="80">
        <v>2723</v>
      </c>
      <c r="FH80" s="80">
        <v>7798</v>
      </c>
      <c r="FI80" s="80">
        <v>0</v>
      </c>
      <c r="FJ80" s="80">
        <v>125</v>
      </c>
      <c r="FK80" s="80">
        <v>207</v>
      </c>
      <c r="FL80" s="80">
        <v>0</v>
      </c>
      <c r="FM80" s="80">
        <v>0</v>
      </c>
      <c r="FN80" s="80">
        <v>5511</v>
      </c>
      <c r="FO80" s="80">
        <v>2112</v>
      </c>
      <c r="FP80" s="80">
        <v>15705</v>
      </c>
      <c r="FQ80" s="80">
        <v>214700</v>
      </c>
      <c r="FR80" s="80">
        <v>39795</v>
      </c>
      <c r="FS80" s="80">
        <v>6304</v>
      </c>
      <c r="FT80" s="100">
        <v>103698.69204067942</v>
      </c>
      <c r="FU80" s="100"/>
      <c r="FV80" s="100">
        <v>45186</v>
      </c>
      <c r="FW80" s="67">
        <v>12524</v>
      </c>
      <c r="FX80" s="100">
        <f t="shared" si="10"/>
        <v>-54240</v>
      </c>
      <c r="FY80" s="100">
        <f t="shared" si="11"/>
        <v>-127807</v>
      </c>
      <c r="FZ80" s="100">
        <v>84260.68302865063</v>
      </c>
      <c r="GA80" s="67">
        <v>73567</v>
      </c>
      <c r="GB80" s="58">
        <f t="shared" si="8"/>
        <v>28381</v>
      </c>
      <c r="GC80" s="67">
        <v>12707</v>
      </c>
      <c r="GD80" s="100">
        <v>11507</v>
      </c>
      <c r="GE80" s="100">
        <v>3415</v>
      </c>
      <c r="GF80" s="58">
        <f t="shared" si="9"/>
        <v>8092</v>
      </c>
      <c r="GG80" s="100">
        <v>-64080.475000000006</v>
      </c>
      <c r="GH80" s="100">
        <v>-1136.2451000000001</v>
      </c>
      <c r="GI80" s="100">
        <v>-18627.438641316014</v>
      </c>
      <c r="GJ80" s="67">
        <f t="shared" si="12"/>
        <v>183</v>
      </c>
      <c r="GK80" s="67"/>
      <c r="GM80" s="96"/>
    </row>
    <row r="81" spans="1:195" ht="13.5" customHeight="1" x14ac:dyDescent="0.2">
      <c r="A81" s="74">
        <v>213</v>
      </c>
      <c r="B81" s="75" t="s">
        <v>49</v>
      </c>
      <c r="C81" s="75" t="s">
        <v>49</v>
      </c>
      <c r="D81" s="76"/>
      <c r="E81" s="77" t="s">
        <v>220</v>
      </c>
      <c r="F81" s="78">
        <v>3</v>
      </c>
      <c r="G81" s="79">
        <v>5628</v>
      </c>
      <c r="H81" s="80">
        <v>5413</v>
      </c>
      <c r="I81" s="80">
        <v>1465</v>
      </c>
      <c r="J81" s="80">
        <v>2572</v>
      </c>
      <c r="K81" s="80">
        <v>588</v>
      </c>
      <c r="L81" s="80">
        <v>788</v>
      </c>
      <c r="M81" s="80">
        <v>0</v>
      </c>
      <c r="N81" s="80">
        <v>0</v>
      </c>
      <c r="O81" s="80">
        <v>40731</v>
      </c>
      <c r="P81" s="80">
        <v>18308</v>
      </c>
      <c r="Q81" s="80">
        <v>13884</v>
      </c>
      <c r="R81" s="80">
        <v>4424</v>
      </c>
      <c r="S81" s="80">
        <v>3607</v>
      </c>
      <c r="T81" s="80">
        <v>817</v>
      </c>
      <c r="U81" s="80">
        <v>17355</v>
      </c>
      <c r="V81" s="80">
        <v>2254</v>
      </c>
      <c r="W81" s="80">
        <v>1885</v>
      </c>
      <c r="X81" s="80">
        <v>929</v>
      </c>
      <c r="Y81" s="80">
        <v>-35318</v>
      </c>
      <c r="Z81" s="80">
        <v>18092</v>
      </c>
      <c r="AA81" s="80">
        <v>13713</v>
      </c>
      <c r="AB81" s="80">
        <v>2655</v>
      </c>
      <c r="AC81" s="80">
        <v>1724</v>
      </c>
      <c r="AD81" s="80">
        <v>19138</v>
      </c>
      <c r="AE81" s="80">
        <v>89</v>
      </c>
      <c r="AF81" s="80">
        <v>31</v>
      </c>
      <c r="AG81" s="80">
        <v>126</v>
      </c>
      <c r="AH81" s="80">
        <v>116</v>
      </c>
      <c r="AI81" s="80">
        <v>67</v>
      </c>
      <c r="AJ81" s="80">
        <v>1</v>
      </c>
      <c r="AK81" s="80">
        <v>2001</v>
      </c>
      <c r="AL81" s="80">
        <v>1978</v>
      </c>
      <c r="AM81" s="80">
        <v>1978</v>
      </c>
      <c r="AN81" s="80">
        <v>0</v>
      </c>
      <c r="AO81" s="80">
        <v>0</v>
      </c>
      <c r="AP81" s="80">
        <v>0</v>
      </c>
      <c r="AQ81" s="80">
        <v>0</v>
      </c>
      <c r="AR81" s="80">
        <v>23</v>
      </c>
      <c r="AS81" s="80">
        <v>0</v>
      </c>
      <c r="AT81" s="80">
        <v>0</v>
      </c>
      <c r="AU81" s="80">
        <v>0</v>
      </c>
      <c r="AV81" s="80">
        <v>23</v>
      </c>
      <c r="AW81" s="81"/>
      <c r="AX81" s="80">
        <v>1466</v>
      </c>
      <c r="AY81" s="80">
        <v>2001</v>
      </c>
      <c r="AZ81" s="80">
        <v>0</v>
      </c>
      <c r="BA81" s="80">
        <v>-535</v>
      </c>
      <c r="BB81" s="80">
        <v>-5908</v>
      </c>
      <c r="BC81" s="80">
        <v>8276</v>
      </c>
      <c r="BD81" s="80">
        <v>2145</v>
      </c>
      <c r="BE81" s="80">
        <v>223</v>
      </c>
      <c r="BF81" s="80">
        <v>-4442</v>
      </c>
      <c r="BG81" s="80">
        <v>4021</v>
      </c>
      <c r="BH81" s="80">
        <v>149</v>
      </c>
      <c r="BI81" s="80">
        <v>0</v>
      </c>
      <c r="BJ81" s="80">
        <v>149</v>
      </c>
      <c r="BK81" s="80">
        <v>5333</v>
      </c>
      <c r="BL81" s="80">
        <v>8000</v>
      </c>
      <c r="BM81" s="80">
        <v>967</v>
      </c>
      <c r="BN81" s="80">
        <v>-1700</v>
      </c>
      <c r="BO81" s="80">
        <v>0</v>
      </c>
      <c r="BP81" s="80">
        <v>-1461</v>
      </c>
      <c r="BQ81" s="80">
        <v>16</v>
      </c>
      <c r="BR81" s="80">
        <v>-5</v>
      </c>
      <c r="BS81" s="80">
        <v>-1829</v>
      </c>
      <c r="BT81" s="80">
        <v>357</v>
      </c>
      <c r="BU81" s="80">
        <v>-411</v>
      </c>
      <c r="BV81" s="80">
        <v>552</v>
      </c>
      <c r="BW81" s="80">
        <v>963</v>
      </c>
      <c r="BX81" s="81"/>
      <c r="BY81" s="80">
        <v>43071</v>
      </c>
      <c r="BZ81" s="80">
        <v>236</v>
      </c>
      <c r="CA81" s="80">
        <v>236</v>
      </c>
      <c r="CB81" s="80">
        <v>0</v>
      </c>
      <c r="CC81" s="80">
        <v>0</v>
      </c>
      <c r="CD81" s="80">
        <v>33092</v>
      </c>
      <c r="CE81" s="80">
        <v>4175</v>
      </c>
      <c r="CF81" s="80">
        <v>13958</v>
      </c>
      <c r="CG81" s="80">
        <v>10514</v>
      </c>
      <c r="CH81" s="80">
        <v>223</v>
      </c>
      <c r="CI81" s="80">
        <v>140</v>
      </c>
      <c r="CJ81" s="80">
        <v>140</v>
      </c>
      <c r="CK81" s="80">
        <v>4082</v>
      </c>
      <c r="CL81" s="80">
        <v>9743</v>
      </c>
      <c r="CM81" s="80">
        <v>8069</v>
      </c>
      <c r="CN81" s="80">
        <v>1709</v>
      </c>
      <c r="CO81" s="80">
        <v>6360</v>
      </c>
      <c r="CP81" s="80">
        <v>0</v>
      </c>
      <c r="CQ81" s="80">
        <v>1665</v>
      </c>
      <c r="CR81" s="80">
        <v>0</v>
      </c>
      <c r="CS81" s="80">
        <v>0</v>
      </c>
      <c r="CT81" s="80">
        <v>1665</v>
      </c>
      <c r="CU81" s="80">
        <v>9</v>
      </c>
      <c r="CV81" s="80">
        <v>22</v>
      </c>
      <c r="CW81" s="80">
        <v>13</v>
      </c>
      <c r="CX81" s="80">
        <v>9</v>
      </c>
      <c r="CY81" s="80">
        <v>0</v>
      </c>
      <c r="CZ81" s="80">
        <v>4459</v>
      </c>
      <c r="DA81" s="80">
        <v>39</v>
      </c>
      <c r="DB81" s="80">
        <v>39</v>
      </c>
      <c r="DC81" s="80">
        <v>0</v>
      </c>
      <c r="DD81" s="80">
        <v>0</v>
      </c>
      <c r="DE81" s="80">
        <v>0</v>
      </c>
      <c r="DF81" s="80">
        <v>0</v>
      </c>
      <c r="DG81" s="80">
        <v>3868</v>
      </c>
      <c r="DH81" s="80">
        <v>1956</v>
      </c>
      <c r="DI81" s="80">
        <v>0</v>
      </c>
      <c r="DJ81" s="80">
        <v>1956</v>
      </c>
      <c r="DK81" s="80">
        <v>0</v>
      </c>
      <c r="DL81" s="80">
        <v>0</v>
      </c>
      <c r="DM81" s="80">
        <v>1912</v>
      </c>
      <c r="DN81" s="80">
        <v>704</v>
      </c>
      <c r="DO81" s="80">
        <v>119</v>
      </c>
      <c r="DP81" s="80">
        <v>595</v>
      </c>
      <c r="DQ81" s="80">
        <v>494</v>
      </c>
      <c r="DR81" s="80">
        <v>0</v>
      </c>
      <c r="DS81" s="80">
        <v>0</v>
      </c>
      <c r="DT81" s="80">
        <v>0</v>
      </c>
      <c r="DU81" s="80">
        <v>0</v>
      </c>
      <c r="DV81" s="80">
        <v>0</v>
      </c>
      <c r="DW81" s="80">
        <v>552</v>
      </c>
      <c r="DX81" s="80">
        <v>47552</v>
      </c>
      <c r="DY81" s="80">
        <v>23560</v>
      </c>
      <c r="DZ81" s="80">
        <v>18418</v>
      </c>
      <c r="EA81" s="80">
        <v>0</v>
      </c>
      <c r="EB81" s="80">
        <v>0</v>
      </c>
      <c r="EC81" s="80">
        <v>5119</v>
      </c>
      <c r="ED81" s="80">
        <v>23</v>
      </c>
      <c r="EE81" s="80">
        <v>0</v>
      </c>
      <c r="EF81" s="80">
        <v>0</v>
      </c>
      <c r="EG81" s="80">
        <v>0</v>
      </c>
      <c r="EH81" s="80">
        <v>0</v>
      </c>
      <c r="EI81" s="80">
        <v>0</v>
      </c>
      <c r="EJ81" s="80">
        <v>0</v>
      </c>
      <c r="EK81" s="80">
        <v>635</v>
      </c>
      <c r="EL81" s="80">
        <v>22</v>
      </c>
      <c r="EM81" s="80">
        <v>602</v>
      </c>
      <c r="EN81" s="80">
        <v>11</v>
      </c>
      <c r="EO81" s="80">
        <v>23358</v>
      </c>
      <c r="EP81" s="80">
        <v>11429</v>
      </c>
      <c r="EQ81" s="80">
        <v>0</v>
      </c>
      <c r="ER81" s="80">
        <v>11229</v>
      </c>
      <c r="ES81" s="80">
        <v>1000</v>
      </c>
      <c r="ET81" s="80">
        <v>10229</v>
      </c>
      <c r="EU81" s="80">
        <v>0</v>
      </c>
      <c r="EV81" s="80">
        <v>0</v>
      </c>
      <c r="EW81" s="80">
        <v>0</v>
      </c>
      <c r="EX81" s="80">
        <v>0</v>
      </c>
      <c r="EY81" s="80">
        <v>17</v>
      </c>
      <c r="EZ81" s="80">
        <v>0</v>
      </c>
      <c r="FA81" s="80">
        <v>183</v>
      </c>
      <c r="FB81" s="80">
        <v>0</v>
      </c>
      <c r="FC81" s="80">
        <v>0</v>
      </c>
      <c r="FD81" s="80">
        <v>11929</v>
      </c>
      <c r="FE81" s="80">
        <v>0</v>
      </c>
      <c r="FF81" s="80">
        <v>5850</v>
      </c>
      <c r="FG81" s="80">
        <v>0</v>
      </c>
      <c r="FH81" s="80">
        <v>5600</v>
      </c>
      <c r="FI81" s="80">
        <v>250</v>
      </c>
      <c r="FJ81" s="80">
        <v>0</v>
      </c>
      <c r="FK81" s="80">
        <v>0</v>
      </c>
      <c r="FL81" s="80">
        <v>411</v>
      </c>
      <c r="FM81" s="80">
        <v>0</v>
      </c>
      <c r="FN81" s="80">
        <v>3124</v>
      </c>
      <c r="FO81" s="80">
        <v>319</v>
      </c>
      <c r="FP81" s="80">
        <v>2225</v>
      </c>
      <c r="FQ81" s="80">
        <v>47553</v>
      </c>
      <c r="FR81" s="80">
        <v>4863</v>
      </c>
      <c r="FS81" s="80">
        <v>2549</v>
      </c>
      <c r="FT81" s="100">
        <v>17966.791575853393</v>
      </c>
      <c r="FU81" s="100"/>
      <c r="FV81" s="100">
        <v>6892</v>
      </c>
      <c r="FW81" s="67">
        <v>1902</v>
      </c>
      <c r="FX81" s="100">
        <f t="shared" si="10"/>
        <v>-23443</v>
      </c>
      <c r="FY81" s="100">
        <f t="shared" si="11"/>
        <v>-33340</v>
      </c>
      <c r="FZ81" s="100">
        <v>23972.726131545554</v>
      </c>
      <c r="GA81" s="67">
        <v>9897</v>
      </c>
      <c r="GB81" s="58">
        <f t="shared" si="8"/>
        <v>3005</v>
      </c>
      <c r="GC81" s="67">
        <v>1978</v>
      </c>
      <c r="GD81" s="100">
        <v>2571</v>
      </c>
      <c r="GE81" s="100">
        <v>453</v>
      </c>
      <c r="GF81" s="58">
        <f t="shared" si="9"/>
        <v>2118</v>
      </c>
      <c r="GG81" s="100">
        <v>-8275.3420000000006</v>
      </c>
      <c r="GH81" s="100">
        <v>-828.85105000000033</v>
      </c>
      <c r="GI81" s="100">
        <v>-15180.222168300994</v>
      </c>
      <c r="GJ81" s="67">
        <f t="shared" si="12"/>
        <v>76</v>
      </c>
      <c r="GK81" s="67"/>
      <c r="GM81" s="96"/>
    </row>
    <row r="82" spans="1:195" ht="13.5" customHeight="1" x14ac:dyDescent="0.2">
      <c r="A82" s="74">
        <v>214</v>
      </c>
      <c r="B82" s="75" t="s">
        <v>50</v>
      </c>
      <c r="C82" s="75" t="s">
        <v>50</v>
      </c>
      <c r="D82" s="76"/>
      <c r="E82" s="77" t="s">
        <v>224</v>
      </c>
      <c r="F82" s="78">
        <v>4</v>
      </c>
      <c r="G82" s="79">
        <v>11769</v>
      </c>
      <c r="H82" s="80">
        <v>9403</v>
      </c>
      <c r="I82" s="80">
        <v>5020</v>
      </c>
      <c r="J82" s="80">
        <v>918</v>
      </c>
      <c r="K82" s="80">
        <v>894</v>
      </c>
      <c r="L82" s="80">
        <v>2571</v>
      </c>
      <c r="M82" s="80">
        <v>0</v>
      </c>
      <c r="N82" s="80">
        <v>111</v>
      </c>
      <c r="O82" s="80">
        <v>75078</v>
      </c>
      <c r="P82" s="80">
        <v>22137</v>
      </c>
      <c r="Q82" s="80">
        <v>16644</v>
      </c>
      <c r="R82" s="80">
        <v>5493</v>
      </c>
      <c r="S82" s="80">
        <v>4585</v>
      </c>
      <c r="T82" s="80">
        <v>908</v>
      </c>
      <c r="U82" s="80">
        <v>46074</v>
      </c>
      <c r="V82" s="80">
        <v>3466</v>
      </c>
      <c r="W82" s="80">
        <v>1537</v>
      </c>
      <c r="X82" s="80">
        <v>1864</v>
      </c>
      <c r="Y82" s="80">
        <v>-65564</v>
      </c>
      <c r="Z82" s="80">
        <v>41345</v>
      </c>
      <c r="AA82" s="80">
        <v>35602</v>
      </c>
      <c r="AB82" s="80">
        <v>2595</v>
      </c>
      <c r="AC82" s="80">
        <v>3148</v>
      </c>
      <c r="AD82" s="80">
        <v>26144</v>
      </c>
      <c r="AE82" s="80">
        <v>877</v>
      </c>
      <c r="AF82" s="80">
        <v>12</v>
      </c>
      <c r="AG82" s="80">
        <v>1116</v>
      </c>
      <c r="AH82" s="80">
        <v>32</v>
      </c>
      <c r="AI82" s="80">
        <v>232</v>
      </c>
      <c r="AJ82" s="80">
        <v>19</v>
      </c>
      <c r="AK82" s="80">
        <v>2802</v>
      </c>
      <c r="AL82" s="80">
        <v>2508</v>
      </c>
      <c r="AM82" s="80">
        <v>2508</v>
      </c>
      <c r="AN82" s="80">
        <v>0</v>
      </c>
      <c r="AO82" s="80">
        <v>0</v>
      </c>
      <c r="AP82" s="80">
        <v>0</v>
      </c>
      <c r="AQ82" s="80">
        <v>0</v>
      </c>
      <c r="AR82" s="80">
        <v>294</v>
      </c>
      <c r="AS82" s="80">
        <v>0</v>
      </c>
      <c r="AT82" s="80">
        <v>0</v>
      </c>
      <c r="AU82" s="80">
        <v>0</v>
      </c>
      <c r="AV82" s="80">
        <v>294</v>
      </c>
      <c r="AW82" s="81"/>
      <c r="AX82" s="80">
        <v>2740</v>
      </c>
      <c r="AY82" s="80">
        <v>2802</v>
      </c>
      <c r="AZ82" s="80">
        <v>0</v>
      </c>
      <c r="BA82" s="80">
        <v>-62</v>
      </c>
      <c r="BB82" s="80">
        <v>-7702</v>
      </c>
      <c r="BC82" s="80">
        <v>8357</v>
      </c>
      <c r="BD82" s="80">
        <v>437</v>
      </c>
      <c r="BE82" s="80">
        <v>218</v>
      </c>
      <c r="BF82" s="80">
        <v>-4962</v>
      </c>
      <c r="BG82" s="80">
        <v>4083</v>
      </c>
      <c r="BH82" s="80">
        <v>22</v>
      </c>
      <c r="BI82" s="80">
        <v>43</v>
      </c>
      <c r="BJ82" s="80">
        <v>65</v>
      </c>
      <c r="BK82" s="80">
        <v>2939</v>
      </c>
      <c r="BL82" s="80">
        <v>8000</v>
      </c>
      <c r="BM82" s="80">
        <v>5061</v>
      </c>
      <c r="BN82" s="80">
        <v>0</v>
      </c>
      <c r="BO82" s="80">
        <v>0</v>
      </c>
      <c r="BP82" s="80">
        <v>1122</v>
      </c>
      <c r="BQ82" s="80">
        <v>48</v>
      </c>
      <c r="BR82" s="80">
        <v>-21</v>
      </c>
      <c r="BS82" s="80">
        <v>764</v>
      </c>
      <c r="BT82" s="80">
        <v>331</v>
      </c>
      <c r="BU82" s="80">
        <v>-878</v>
      </c>
      <c r="BV82" s="80">
        <v>1709</v>
      </c>
      <c r="BW82" s="80">
        <v>2587</v>
      </c>
      <c r="BX82" s="81"/>
      <c r="BY82" s="80">
        <v>54967</v>
      </c>
      <c r="BZ82" s="80">
        <v>641</v>
      </c>
      <c r="CA82" s="80">
        <v>79</v>
      </c>
      <c r="CB82" s="80">
        <v>112</v>
      </c>
      <c r="CC82" s="80">
        <v>450</v>
      </c>
      <c r="CD82" s="80">
        <v>39175</v>
      </c>
      <c r="CE82" s="80">
        <v>5267</v>
      </c>
      <c r="CF82" s="80">
        <v>21347</v>
      </c>
      <c r="CG82" s="80">
        <v>6306</v>
      </c>
      <c r="CH82" s="80">
        <v>563</v>
      </c>
      <c r="CI82" s="80">
        <v>20</v>
      </c>
      <c r="CJ82" s="80">
        <v>20</v>
      </c>
      <c r="CK82" s="80">
        <v>5672</v>
      </c>
      <c r="CL82" s="80">
        <v>15151</v>
      </c>
      <c r="CM82" s="80">
        <v>13445</v>
      </c>
      <c r="CN82" s="80">
        <v>5672</v>
      </c>
      <c r="CO82" s="80">
        <v>7773</v>
      </c>
      <c r="CP82" s="80">
        <v>0</v>
      </c>
      <c r="CQ82" s="80">
        <v>1617</v>
      </c>
      <c r="CR82" s="80">
        <v>0</v>
      </c>
      <c r="CS82" s="80">
        <v>0</v>
      </c>
      <c r="CT82" s="80">
        <v>1617</v>
      </c>
      <c r="CU82" s="80">
        <v>89</v>
      </c>
      <c r="CV82" s="80">
        <v>38</v>
      </c>
      <c r="CW82" s="80">
        <v>34</v>
      </c>
      <c r="CX82" s="80">
        <v>4</v>
      </c>
      <c r="CY82" s="80">
        <v>0</v>
      </c>
      <c r="CZ82" s="80">
        <v>5325</v>
      </c>
      <c r="DA82" s="80">
        <v>198</v>
      </c>
      <c r="DB82" s="80">
        <v>198</v>
      </c>
      <c r="DC82" s="80">
        <v>0</v>
      </c>
      <c r="DD82" s="80">
        <v>0</v>
      </c>
      <c r="DE82" s="80">
        <v>0</v>
      </c>
      <c r="DF82" s="80">
        <v>0</v>
      </c>
      <c r="DG82" s="80">
        <v>3418</v>
      </c>
      <c r="DH82" s="80">
        <v>529</v>
      </c>
      <c r="DI82" s="80">
        <v>0</v>
      </c>
      <c r="DJ82" s="80">
        <v>529</v>
      </c>
      <c r="DK82" s="80">
        <v>0</v>
      </c>
      <c r="DL82" s="80">
        <v>0</v>
      </c>
      <c r="DM82" s="80">
        <v>2889</v>
      </c>
      <c r="DN82" s="80">
        <v>1119</v>
      </c>
      <c r="DO82" s="80">
        <v>246</v>
      </c>
      <c r="DP82" s="80">
        <v>1176</v>
      </c>
      <c r="DQ82" s="80">
        <v>348</v>
      </c>
      <c r="DR82" s="80">
        <v>28</v>
      </c>
      <c r="DS82" s="80">
        <v>28</v>
      </c>
      <c r="DT82" s="80">
        <v>0</v>
      </c>
      <c r="DU82" s="80">
        <v>0</v>
      </c>
      <c r="DV82" s="80">
        <v>0</v>
      </c>
      <c r="DW82" s="80">
        <v>1681</v>
      </c>
      <c r="DX82" s="80">
        <v>60330</v>
      </c>
      <c r="DY82" s="80">
        <v>16461</v>
      </c>
      <c r="DZ82" s="80">
        <v>15636</v>
      </c>
      <c r="EA82" s="80">
        <v>0</v>
      </c>
      <c r="EB82" s="80">
        <v>0</v>
      </c>
      <c r="EC82" s="80">
        <v>531</v>
      </c>
      <c r="ED82" s="80">
        <v>294</v>
      </c>
      <c r="EE82" s="80">
        <v>0</v>
      </c>
      <c r="EF82" s="80">
        <v>0</v>
      </c>
      <c r="EG82" s="80">
        <v>0</v>
      </c>
      <c r="EH82" s="80">
        <v>0</v>
      </c>
      <c r="EI82" s="80">
        <v>0</v>
      </c>
      <c r="EJ82" s="80">
        <v>0</v>
      </c>
      <c r="EK82" s="80">
        <v>207</v>
      </c>
      <c r="EL82" s="80">
        <v>4</v>
      </c>
      <c r="EM82" s="80">
        <v>54</v>
      </c>
      <c r="EN82" s="80">
        <v>149</v>
      </c>
      <c r="EO82" s="80">
        <v>43662</v>
      </c>
      <c r="EP82" s="80">
        <v>29931</v>
      </c>
      <c r="EQ82" s="80">
        <v>0</v>
      </c>
      <c r="ER82" s="80">
        <v>27814</v>
      </c>
      <c r="ES82" s="80">
        <v>13500</v>
      </c>
      <c r="ET82" s="80">
        <v>14314</v>
      </c>
      <c r="EU82" s="80">
        <v>0</v>
      </c>
      <c r="EV82" s="80">
        <v>0</v>
      </c>
      <c r="EW82" s="80">
        <v>740</v>
      </c>
      <c r="EX82" s="80">
        <v>167</v>
      </c>
      <c r="EY82" s="80">
        <v>0</v>
      </c>
      <c r="EZ82" s="80">
        <v>0</v>
      </c>
      <c r="FA82" s="80">
        <v>1210</v>
      </c>
      <c r="FB82" s="80">
        <v>0</v>
      </c>
      <c r="FC82" s="80">
        <v>0</v>
      </c>
      <c r="FD82" s="80">
        <v>13731</v>
      </c>
      <c r="FE82" s="80">
        <v>0</v>
      </c>
      <c r="FF82" s="80">
        <v>5075</v>
      </c>
      <c r="FG82" s="80">
        <v>2520</v>
      </c>
      <c r="FH82" s="80">
        <v>2555</v>
      </c>
      <c r="FI82" s="80">
        <v>0</v>
      </c>
      <c r="FJ82" s="80">
        <v>0</v>
      </c>
      <c r="FK82" s="80">
        <v>420</v>
      </c>
      <c r="FL82" s="80">
        <v>167</v>
      </c>
      <c r="FM82" s="80">
        <v>29</v>
      </c>
      <c r="FN82" s="80">
        <v>3252</v>
      </c>
      <c r="FO82" s="80">
        <v>476</v>
      </c>
      <c r="FP82" s="80">
        <v>4312</v>
      </c>
      <c r="FQ82" s="80">
        <v>60330</v>
      </c>
      <c r="FR82" s="80">
        <v>21572</v>
      </c>
      <c r="FS82" s="80">
        <v>1882</v>
      </c>
      <c r="FT82" s="100">
        <v>38991.05361508629</v>
      </c>
      <c r="FU82" s="100"/>
      <c r="FV82" s="100">
        <v>13849</v>
      </c>
      <c r="FW82" s="67">
        <v>2508</v>
      </c>
      <c r="FX82" s="100">
        <f t="shared" si="10"/>
        <v>-48509</v>
      </c>
      <c r="FY82" s="100">
        <f t="shared" si="11"/>
        <v>-63056</v>
      </c>
      <c r="FZ82" s="100">
        <v>39584.655136715679</v>
      </c>
      <c r="GA82" s="67">
        <v>14547</v>
      </c>
      <c r="GB82" s="58">
        <f t="shared" si="8"/>
        <v>698</v>
      </c>
      <c r="GC82" s="67">
        <v>2508</v>
      </c>
      <c r="GD82" s="100">
        <v>918</v>
      </c>
      <c r="GE82" s="100">
        <v>918</v>
      </c>
      <c r="GF82" s="58">
        <f t="shared" si="9"/>
        <v>0</v>
      </c>
      <c r="GG82" s="100">
        <v>-19812.194</v>
      </c>
      <c r="GH82" s="100">
        <v>-740.88580000000024</v>
      </c>
      <c r="GI82" s="100">
        <v>-19327.377739424512</v>
      </c>
      <c r="GJ82" s="67">
        <f t="shared" si="12"/>
        <v>0</v>
      </c>
      <c r="GK82" s="67"/>
      <c r="GM82" s="96"/>
    </row>
    <row r="83" spans="1:195" ht="13.5" customHeight="1" x14ac:dyDescent="0.2">
      <c r="A83" s="74">
        <v>216</v>
      </c>
      <c r="B83" s="75" t="s">
        <v>51</v>
      </c>
      <c r="C83" s="75" t="s">
        <v>51</v>
      </c>
      <c r="D83" s="76"/>
      <c r="E83" s="77" t="s">
        <v>231</v>
      </c>
      <c r="F83" s="78">
        <v>1</v>
      </c>
      <c r="G83" s="79">
        <v>1462</v>
      </c>
      <c r="H83" s="80">
        <v>5284</v>
      </c>
      <c r="I83" s="80">
        <v>3539</v>
      </c>
      <c r="J83" s="80">
        <v>88</v>
      </c>
      <c r="K83" s="80">
        <v>1030</v>
      </c>
      <c r="L83" s="80">
        <v>627</v>
      </c>
      <c r="M83" s="80">
        <v>0</v>
      </c>
      <c r="N83" s="80">
        <v>0</v>
      </c>
      <c r="O83" s="80">
        <v>14392</v>
      </c>
      <c r="P83" s="80">
        <v>4081</v>
      </c>
      <c r="Q83" s="80">
        <v>3074</v>
      </c>
      <c r="R83" s="80">
        <v>1007</v>
      </c>
      <c r="S83" s="80">
        <v>833</v>
      </c>
      <c r="T83" s="80">
        <v>174</v>
      </c>
      <c r="U83" s="80">
        <v>8599</v>
      </c>
      <c r="V83" s="80">
        <v>1385</v>
      </c>
      <c r="W83" s="80">
        <v>101</v>
      </c>
      <c r="X83" s="80">
        <v>226</v>
      </c>
      <c r="Y83" s="80">
        <v>-9108</v>
      </c>
      <c r="Z83" s="80">
        <v>4311</v>
      </c>
      <c r="AA83" s="80">
        <v>3343</v>
      </c>
      <c r="AB83" s="80">
        <v>577</v>
      </c>
      <c r="AC83" s="80">
        <v>391</v>
      </c>
      <c r="AD83" s="80">
        <v>6196</v>
      </c>
      <c r="AE83" s="80">
        <v>29</v>
      </c>
      <c r="AF83" s="80">
        <v>23</v>
      </c>
      <c r="AG83" s="80">
        <v>74</v>
      </c>
      <c r="AH83" s="80">
        <v>0</v>
      </c>
      <c r="AI83" s="80">
        <v>62</v>
      </c>
      <c r="AJ83" s="80">
        <v>6</v>
      </c>
      <c r="AK83" s="80">
        <v>1428</v>
      </c>
      <c r="AL83" s="80">
        <v>943</v>
      </c>
      <c r="AM83" s="80">
        <v>943</v>
      </c>
      <c r="AN83" s="80">
        <v>0</v>
      </c>
      <c r="AO83" s="80">
        <v>-37</v>
      </c>
      <c r="AP83" s="80">
        <v>0</v>
      </c>
      <c r="AQ83" s="80">
        <v>37</v>
      </c>
      <c r="AR83" s="80">
        <v>448</v>
      </c>
      <c r="AS83" s="80">
        <v>1</v>
      </c>
      <c r="AT83" s="80">
        <v>0</v>
      </c>
      <c r="AU83" s="80">
        <v>0</v>
      </c>
      <c r="AV83" s="80">
        <v>449</v>
      </c>
      <c r="AW83" s="81"/>
      <c r="AX83" s="80">
        <v>1349</v>
      </c>
      <c r="AY83" s="80">
        <v>1428</v>
      </c>
      <c r="AZ83" s="80">
        <v>-37</v>
      </c>
      <c r="BA83" s="80">
        <v>-42</v>
      </c>
      <c r="BB83" s="80">
        <v>-797</v>
      </c>
      <c r="BC83" s="80">
        <v>2121</v>
      </c>
      <c r="BD83" s="80">
        <v>1273</v>
      </c>
      <c r="BE83" s="80">
        <v>51</v>
      </c>
      <c r="BF83" s="80">
        <v>552</v>
      </c>
      <c r="BG83" s="80">
        <v>-484</v>
      </c>
      <c r="BH83" s="80">
        <v>0</v>
      </c>
      <c r="BI83" s="80">
        <v>0</v>
      </c>
      <c r="BJ83" s="80">
        <v>0</v>
      </c>
      <c r="BK83" s="80">
        <v>-41</v>
      </c>
      <c r="BL83" s="80">
        <v>1300</v>
      </c>
      <c r="BM83" s="80">
        <v>1101</v>
      </c>
      <c r="BN83" s="80">
        <v>-240</v>
      </c>
      <c r="BO83" s="80">
        <v>294</v>
      </c>
      <c r="BP83" s="80">
        <v>-737</v>
      </c>
      <c r="BQ83" s="80">
        <v>-3</v>
      </c>
      <c r="BR83" s="80">
        <v>-60</v>
      </c>
      <c r="BS83" s="80">
        <v>-245</v>
      </c>
      <c r="BT83" s="80">
        <v>-429</v>
      </c>
      <c r="BU83" s="80">
        <v>68</v>
      </c>
      <c r="BV83" s="80">
        <v>2934</v>
      </c>
      <c r="BW83" s="80">
        <v>2866</v>
      </c>
      <c r="BX83" s="81"/>
      <c r="BY83" s="80">
        <v>19260</v>
      </c>
      <c r="BZ83" s="80">
        <v>117</v>
      </c>
      <c r="CA83" s="80">
        <v>0</v>
      </c>
      <c r="CB83" s="80">
        <v>117</v>
      </c>
      <c r="CC83" s="80">
        <v>0</v>
      </c>
      <c r="CD83" s="80">
        <v>16777</v>
      </c>
      <c r="CE83" s="80">
        <v>971</v>
      </c>
      <c r="CF83" s="80">
        <v>13098</v>
      </c>
      <c r="CG83" s="80">
        <v>2335</v>
      </c>
      <c r="CH83" s="80">
        <v>356</v>
      </c>
      <c r="CI83" s="80">
        <v>0</v>
      </c>
      <c r="CJ83" s="80">
        <v>0</v>
      </c>
      <c r="CK83" s="80">
        <v>17</v>
      </c>
      <c r="CL83" s="80">
        <v>2366</v>
      </c>
      <c r="CM83" s="80">
        <v>2366</v>
      </c>
      <c r="CN83" s="80">
        <v>636</v>
      </c>
      <c r="CO83" s="80">
        <v>1730</v>
      </c>
      <c r="CP83" s="80">
        <v>0</v>
      </c>
      <c r="CQ83" s="80">
        <v>0</v>
      </c>
      <c r="CR83" s="80">
        <v>0</v>
      </c>
      <c r="CS83" s="80">
        <v>0</v>
      </c>
      <c r="CT83" s="80">
        <v>0</v>
      </c>
      <c r="CU83" s="80">
        <v>0</v>
      </c>
      <c r="CV83" s="80">
        <v>4</v>
      </c>
      <c r="CW83" s="80">
        <v>0</v>
      </c>
      <c r="CX83" s="80">
        <v>4</v>
      </c>
      <c r="CY83" s="80">
        <v>0</v>
      </c>
      <c r="CZ83" s="80">
        <v>4918</v>
      </c>
      <c r="DA83" s="80">
        <v>85</v>
      </c>
      <c r="DB83" s="80">
        <v>85</v>
      </c>
      <c r="DC83" s="80">
        <v>0</v>
      </c>
      <c r="DD83" s="80">
        <v>0</v>
      </c>
      <c r="DE83" s="80">
        <v>0</v>
      </c>
      <c r="DF83" s="80">
        <v>0</v>
      </c>
      <c r="DG83" s="80">
        <v>1898</v>
      </c>
      <c r="DH83" s="80">
        <v>434</v>
      </c>
      <c r="DI83" s="80">
        <v>31</v>
      </c>
      <c r="DJ83" s="80">
        <v>403</v>
      </c>
      <c r="DK83" s="80">
        <v>0</v>
      </c>
      <c r="DL83" s="80">
        <v>0</v>
      </c>
      <c r="DM83" s="80">
        <v>1464</v>
      </c>
      <c r="DN83" s="80">
        <v>1259</v>
      </c>
      <c r="DO83" s="80">
        <v>33</v>
      </c>
      <c r="DP83" s="80">
        <v>161</v>
      </c>
      <c r="DQ83" s="80">
        <v>11</v>
      </c>
      <c r="DR83" s="80">
        <v>2093</v>
      </c>
      <c r="DS83" s="80">
        <v>568</v>
      </c>
      <c r="DT83" s="80">
        <v>272</v>
      </c>
      <c r="DU83" s="80">
        <v>1253</v>
      </c>
      <c r="DV83" s="80">
        <v>0</v>
      </c>
      <c r="DW83" s="80">
        <v>842</v>
      </c>
      <c r="DX83" s="80">
        <v>24182</v>
      </c>
      <c r="DY83" s="80">
        <v>13882</v>
      </c>
      <c r="DZ83" s="80">
        <v>3505</v>
      </c>
      <c r="EA83" s="80">
        <v>0</v>
      </c>
      <c r="EB83" s="80">
        <v>0</v>
      </c>
      <c r="EC83" s="80">
        <v>9928</v>
      </c>
      <c r="ED83" s="80">
        <v>449</v>
      </c>
      <c r="EE83" s="80">
        <v>14</v>
      </c>
      <c r="EF83" s="80">
        <v>14</v>
      </c>
      <c r="EG83" s="80">
        <v>0</v>
      </c>
      <c r="EH83" s="80">
        <v>0</v>
      </c>
      <c r="EI83" s="80">
        <v>0</v>
      </c>
      <c r="EJ83" s="80">
        <v>0</v>
      </c>
      <c r="EK83" s="80">
        <v>20</v>
      </c>
      <c r="EL83" s="80">
        <v>0</v>
      </c>
      <c r="EM83" s="80">
        <v>20</v>
      </c>
      <c r="EN83" s="80">
        <v>0</v>
      </c>
      <c r="EO83" s="80">
        <v>10266</v>
      </c>
      <c r="EP83" s="80">
        <v>6233</v>
      </c>
      <c r="EQ83" s="80">
        <v>0</v>
      </c>
      <c r="ER83" s="80">
        <v>5755</v>
      </c>
      <c r="ES83" s="80">
        <v>700</v>
      </c>
      <c r="ET83" s="80">
        <v>5055</v>
      </c>
      <c r="EU83" s="80">
        <v>0</v>
      </c>
      <c r="EV83" s="80">
        <v>0</v>
      </c>
      <c r="EW83" s="80">
        <v>370</v>
      </c>
      <c r="EX83" s="80">
        <v>0</v>
      </c>
      <c r="EY83" s="80">
        <v>0</v>
      </c>
      <c r="EZ83" s="80">
        <v>0</v>
      </c>
      <c r="FA83" s="80">
        <v>108</v>
      </c>
      <c r="FB83" s="80">
        <v>0</v>
      </c>
      <c r="FC83" s="80">
        <v>0</v>
      </c>
      <c r="FD83" s="80">
        <v>4033</v>
      </c>
      <c r="FE83" s="80">
        <v>0</v>
      </c>
      <c r="FF83" s="80">
        <v>1046</v>
      </c>
      <c r="FG83" s="80">
        <v>180</v>
      </c>
      <c r="FH83" s="80">
        <v>866</v>
      </c>
      <c r="FI83" s="80">
        <v>0</v>
      </c>
      <c r="FJ83" s="80">
        <v>0</v>
      </c>
      <c r="FK83" s="80">
        <v>111</v>
      </c>
      <c r="FL83" s="80">
        <v>1800</v>
      </c>
      <c r="FM83" s="80">
        <v>76</v>
      </c>
      <c r="FN83" s="80">
        <v>410</v>
      </c>
      <c r="FO83" s="80">
        <v>69</v>
      </c>
      <c r="FP83" s="80">
        <v>521</v>
      </c>
      <c r="FQ83" s="80">
        <v>24182</v>
      </c>
      <c r="FR83" s="80">
        <v>0</v>
      </c>
      <c r="FS83" s="80">
        <v>2739</v>
      </c>
      <c r="FT83" s="100">
        <v>8435.8882789100408</v>
      </c>
      <c r="FU83" s="100"/>
      <c r="FV83" s="100">
        <v>6289</v>
      </c>
      <c r="FW83" s="67">
        <v>943</v>
      </c>
      <c r="FX83" s="100">
        <f t="shared" si="10"/>
        <v>-1870</v>
      </c>
      <c r="FY83" s="100">
        <f t="shared" si="11"/>
        <v>-8165</v>
      </c>
      <c r="FZ83" s="100">
        <v>6929.9983405947432</v>
      </c>
      <c r="GA83" s="67">
        <v>6295</v>
      </c>
      <c r="GB83" s="58">
        <f t="shared" si="8"/>
        <v>6</v>
      </c>
      <c r="GC83" s="67">
        <v>943</v>
      </c>
      <c r="GD83" s="100">
        <v>88</v>
      </c>
      <c r="GE83" s="100">
        <v>88</v>
      </c>
      <c r="GF83" s="58">
        <f t="shared" si="9"/>
        <v>0</v>
      </c>
      <c r="GG83" s="100">
        <v>-1882.6780000000001</v>
      </c>
      <c r="GH83" s="100">
        <v>-163.55515000000008</v>
      </c>
      <c r="GI83" s="100">
        <v>-4934.5065279001828</v>
      </c>
      <c r="GJ83" s="67">
        <f t="shared" si="12"/>
        <v>0</v>
      </c>
      <c r="GK83" s="67"/>
      <c r="GM83" s="96"/>
    </row>
    <row r="84" spans="1:195" ht="13.5" customHeight="1" x14ac:dyDescent="0.2">
      <c r="A84" s="74">
        <v>217</v>
      </c>
      <c r="B84" s="75" t="s">
        <v>52</v>
      </c>
      <c r="C84" s="75" t="s">
        <v>52</v>
      </c>
      <c r="D84" s="76"/>
      <c r="E84" s="77" t="s">
        <v>228</v>
      </c>
      <c r="F84" s="78">
        <v>3</v>
      </c>
      <c r="G84" s="79">
        <v>5590</v>
      </c>
      <c r="H84" s="80">
        <v>3058</v>
      </c>
      <c r="I84" s="80">
        <v>847</v>
      </c>
      <c r="J84" s="80">
        <v>592</v>
      </c>
      <c r="K84" s="80">
        <v>354</v>
      </c>
      <c r="L84" s="80">
        <v>1265</v>
      </c>
      <c r="M84" s="80">
        <v>0</v>
      </c>
      <c r="N84" s="80">
        <v>0</v>
      </c>
      <c r="O84" s="80">
        <v>32727</v>
      </c>
      <c r="P84" s="80">
        <v>9442</v>
      </c>
      <c r="Q84" s="80">
        <v>7085</v>
      </c>
      <c r="R84" s="80">
        <v>2357</v>
      </c>
      <c r="S84" s="80">
        <v>1995</v>
      </c>
      <c r="T84" s="80">
        <v>362</v>
      </c>
      <c r="U84" s="80">
        <v>20557</v>
      </c>
      <c r="V84" s="80">
        <v>1862</v>
      </c>
      <c r="W84" s="80">
        <v>575</v>
      </c>
      <c r="X84" s="80">
        <v>291</v>
      </c>
      <c r="Y84" s="80">
        <v>-29669</v>
      </c>
      <c r="Z84" s="80">
        <v>18568</v>
      </c>
      <c r="AA84" s="80">
        <v>16114</v>
      </c>
      <c r="AB84" s="80">
        <v>1147</v>
      </c>
      <c r="AC84" s="80">
        <v>1307</v>
      </c>
      <c r="AD84" s="80">
        <v>12824</v>
      </c>
      <c r="AE84" s="80">
        <v>3</v>
      </c>
      <c r="AF84" s="80">
        <v>7</v>
      </c>
      <c r="AG84" s="80">
        <v>17</v>
      </c>
      <c r="AH84" s="80">
        <v>7</v>
      </c>
      <c r="AI84" s="80">
        <v>13</v>
      </c>
      <c r="AJ84" s="80">
        <v>8</v>
      </c>
      <c r="AK84" s="80">
        <v>1726</v>
      </c>
      <c r="AL84" s="80">
        <v>1070</v>
      </c>
      <c r="AM84" s="80">
        <v>1070</v>
      </c>
      <c r="AN84" s="80">
        <v>0</v>
      </c>
      <c r="AO84" s="80">
        <v>0</v>
      </c>
      <c r="AP84" s="80">
        <v>0</v>
      </c>
      <c r="AQ84" s="80">
        <v>0</v>
      </c>
      <c r="AR84" s="80">
        <v>656</v>
      </c>
      <c r="AS84" s="80">
        <v>102</v>
      </c>
      <c r="AT84" s="80">
        <v>0</v>
      </c>
      <c r="AU84" s="80">
        <v>0</v>
      </c>
      <c r="AV84" s="80">
        <v>758</v>
      </c>
      <c r="AW84" s="81"/>
      <c r="AX84" s="80">
        <v>1717</v>
      </c>
      <c r="AY84" s="80">
        <v>1726</v>
      </c>
      <c r="AZ84" s="80">
        <v>0</v>
      </c>
      <c r="BA84" s="80">
        <v>-9</v>
      </c>
      <c r="BB84" s="80">
        <v>-871</v>
      </c>
      <c r="BC84" s="80">
        <v>897</v>
      </c>
      <c r="BD84" s="80">
        <v>0</v>
      </c>
      <c r="BE84" s="80">
        <v>26</v>
      </c>
      <c r="BF84" s="80">
        <v>846</v>
      </c>
      <c r="BG84" s="80">
        <v>118</v>
      </c>
      <c r="BH84" s="80">
        <v>33</v>
      </c>
      <c r="BI84" s="80">
        <v>0</v>
      </c>
      <c r="BJ84" s="80">
        <v>33</v>
      </c>
      <c r="BK84" s="80">
        <v>274</v>
      </c>
      <c r="BL84" s="80">
        <v>0</v>
      </c>
      <c r="BM84" s="80">
        <v>526</v>
      </c>
      <c r="BN84" s="80">
        <v>800</v>
      </c>
      <c r="BO84" s="80">
        <v>0</v>
      </c>
      <c r="BP84" s="80">
        <v>-189</v>
      </c>
      <c r="BQ84" s="80">
        <v>-16</v>
      </c>
      <c r="BR84" s="80">
        <v>0</v>
      </c>
      <c r="BS84" s="80">
        <v>-156</v>
      </c>
      <c r="BT84" s="80">
        <v>-17</v>
      </c>
      <c r="BU84" s="80">
        <v>964</v>
      </c>
      <c r="BV84" s="80">
        <v>1427</v>
      </c>
      <c r="BW84" s="80">
        <v>463</v>
      </c>
      <c r="BX84" s="81"/>
      <c r="BY84" s="80">
        <v>31030</v>
      </c>
      <c r="BZ84" s="80">
        <v>425</v>
      </c>
      <c r="CA84" s="80">
        <v>26</v>
      </c>
      <c r="CB84" s="80">
        <v>399</v>
      </c>
      <c r="CC84" s="80">
        <v>0</v>
      </c>
      <c r="CD84" s="80">
        <v>24476</v>
      </c>
      <c r="CE84" s="80">
        <v>2715</v>
      </c>
      <c r="CF84" s="80">
        <v>17991</v>
      </c>
      <c r="CG84" s="80">
        <v>3409</v>
      </c>
      <c r="CH84" s="80">
        <v>324</v>
      </c>
      <c r="CI84" s="80">
        <v>0</v>
      </c>
      <c r="CJ84" s="80">
        <v>0</v>
      </c>
      <c r="CK84" s="80">
        <v>37</v>
      </c>
      <c r="CL84" s="80">
        <v>6129</v>
      </c>
      <c r="CM84" s="80">
        <v>5292</v>
      </c>
      <c r="CN84" s="80">
        <v>1017</v>
      </c>
      <c r="CO84" s="80">
        <v>4275</v>
      </c>
      <c r="CP84" s="80">
        <v>0</v>
      </c>
      <c r="CQ84" s="80">
        <v>774</v>
      </c>
      <c r="CR84" s="80">
        <v>0</v>
      </c>
      <c r="CS84" s="80">
        <v>0</v>
      </c>
      <c r="CT84" s="80">
        <v>774</v>
      </c>
      <c r="CU84" s="80">
        <v>63</v>
      </c>
      <c r="CV84" s="80">
        <v>843</v>
      </c>
      <c r="CW84" s="80">
        <v>0</v>
      </c>
      <c r="CX84" s="80">
        <v>525</v>
      </c>
      <c r="CY84" s="80">
        <v>318</v>
      </c>
      <c r="CZ84" s="80">
        <v>2493</v>
      </c>
      <c r="DA84" s="80">
        <v>0</v>
      </c>
      <c r="DB84" s="80">
        <v>0</v>
      </c>
      <c r="DC84" s="80">
        <v>0</v>
      </c>
      <c r="DD84" s="80">
        <v>0</v>
      </c>
      <c r="DE84" s="80">
        <v>0</v>
      </c>
      <c r="DF84" s="80">
        <v>0</v>
      </c>
      <c r="DG84" s="80">
        <v>1066</v>
      </c>
      <c r="DH84" s="80">
        <v>0</v>
      </c>
      <c r="DI84" s="80">
        <v>0</v>
      </c>
      <c r="DJ84" s="80">
        <v>0</v>
      </c>
      <c r="DK84" s="80">
        <v>0</v>
      </c>
      <c r="DL84" s="80">
        <v>0</v>
      </c>
      <c r="DM84" s="80">
        <v>1066</v>
      </c>
      <c r="DN84" s="80">
        <v>236</v>
      </c>
      <c r="DO84" s="80">
        <v>64</v>
      </c>
      <c r="DP84" s="80">
        <v>671</v>
      </c>
      <c r="DQ84" s="80">
        <v>95</v>
      </c>
      <c r="DR84" s="80">
        <v>0</v>
      </c>
      <c r="DS84" s="80">
        <v>0</v>
      </c>
      <c r="DT84" s="80">
        <v>0</v>
      </c>
      <c r="DU84" s="80">
        <v>0</v>
      </c>
      <c r="DV84" s="80">
        <v>0</v>
      </c>
      <c r="DW84" s="80">
        <v>1427</v>
      </c>
      <c r="DX84" s="80">
        <v>34366</v>
      </c>
      <c r="DY84" s="80">
        <v>16767</v>
      </c>
      <c r="DZ84" s="80">
        <v>7252</v>
      </c>
      <c r="EA84" s="80">
        <v>2012</v>
      </c>
      <c r="EB84" s="80">
        <v>1100</v>
      </c>
      <c r="EC84" s="80">
        <v>5645</v>
      </c>
      <c r="ED84" s="80">
        <v>758</v>
      </c>
      <c r="EE84" s="80">
        <v>634</v>
      </c>
      <c r="EF84" s="80">
        <v>634</v>
      </c>
      <c r="EG84" s="80">
        <v>0</v>
      </c>
      <c r="EH84" s="80">
        <v>0</v>
      </c>
      <c r="EI84" s="80">
        <v>0</v>
      </c>
      <c r="EJ84" s="80">
        <v>0</v>
      </c>
      <c r="EK84" s="80">
        <v>901</v>
      </c>
      <c r="EL84" s="80">
        <v>0</v>
      </c>
      <c r="EM84" s="80">
        <v>843</v>
      </c>
      <c r="EN84" s="80">
        <v>58</v>
      </c>
      <c r="EO84" s="80">
        <v>16064</v>
      </c>
      <c r="EP84" s="80">
        <v>263</v>
      </c>
      <c r="EQ84" s="80">
        <v>0</v>
      </c>
      <c r="ER84" s="80">
        <v>263</v>
      </c>
      <c r="ES84" s="80">
        <v>263</v>
      </c>
      <c r="ET84" s="80">
        <v>0</v>
      </c>
      <c r="EU84" s="80">
        <v>0</v>
      </c>
      <c r="EV84" s="80">
        <v>0</v>
      </c>
      <c r="EW84" s="80">
        <v>0</v>
      </c>
      <c r="EX84" s="80">
        <v>0</v>
      </c>
      <c r="EY84" s="80">
        <v>0</v>
      </c>
      <c r="EZ84" s="80">
        <v>0</v>
      </c>
      <c r="FA84" s="80">
        <v>0</v>
      </c>
      <c r="FB84" s="80">
        <v>0</v>
      </c>
      <c r="FC84" s="80">
        <v>0</v>
      </c>
      <c r="FD84" s="80">
        <v>15801</v>
      </c>
      <c r="FE84" s="80">
        <v>13300</v>
      </c>
      <c r="FF84" s="80">
        <v>526</v>
      </c>
      <c r="FG84" s="80">
        <v>526</v>
      </c>
      <c r="FH84" s="80">
        <v>0</v>
      </c>
      <c r="FI84" s="80">
        <v>0</v>
      </c>
      <c r="FJ84" s="80">
        <v>0</v>
      </c>
      <c r="FK84" s="80">
        <v>0</v>
      </c>
      <c r="FL84" s="80">
        <v>0</v>
      </c>
      <c r="FM84" s="80">
        <v>44</v>
      </c>
      <c r="FN84" s="80">
        <v>654</v>
      </c>
      <c r="FO84" s="80">
        <v>186</v>
      </c>
      <c r="FP84" s="80">
        <v>1091</v>
      </c>
      <c r="FQ84" s="80">
        <v>34366</v>
      </c>
      <c r="FR84" s="80">
        <v>3701</v>
      </c>
      <c r="FS84" s="80">
        <v>1473</v>
      </c>
      <c r="FT84" s="100">
        <v>17729.701580226694</v>
      </c>
      <c r="FU84" s="100"/>
      <c r="FV84" s="100">
        <v>6661</v>
      </c>
      <c r="FW84" s="67">
        <v>1051</v>
      </c>
      <c r="FX84" s="100">
        <f t="shared" si="10"/>
        <v>-21854</v>
      </c>
      <c r="FY84" s="100">
        <f t="shared" si="11"/>
        <v>-28599</v>
      </c>
      <c r="FZ84" s="100">
        <v>18223.947991227054</v>
      </c>
      <c r="GA84" s="67">
        <v>6745</v>
      </c>
      <c r="GB84" s="58">
        <f t="shared" si="8"/>
        <v>84</v>
      </c>
      <c r="GC84" s="67">
        <v>1071</v>
      </c>
      <c r="GD84" s="100">
        <v>594</v>
      </c>
      <c r="GE84" s="100">
        <v>594</v>
      </c>
      <c r="GF84" s="58">
        <f t="shared" si="9"/>
        <v>0</v>
      </c>
      <c r="GG84" s="100">
        <v>-9287.2260000000006</v>
      </c>
      <c r="GH84" s="100">
        <v>-355.13170000000019</v>
      </c>
      <c r="GI84" s="100">
        <v>-8735.0921127917518</v>
      </c>
      <c r="GJ84" s="67">
        <f t="shared" si="12"/>
        <v>20</v>
      </c>
      <c r="GK84" s="67"/>
      <c r="GM84" s="96"/>
    </row>
    <row r="85" spans="1:195" ht="13.5" customHeight="1" x14ac:dyDescent="0.2">
      <c r="A85" s="74">
        <v>272</v>
      </c>
      <c r="B85" s="75" t="s">
        <v>264</v>
      </c>
      <c r="C85" s="82" t="s">
        <v>264</v>
      </c>
      <c r="D85" s="76"/>
      <c r="E85" s="77" t="s">
        <v>228</v>
      </c>
      <c r="F85" s="78">
        <v>5</v>
      </c>
      <c r="G85" s="79">
        <v>47570</v>
      </c>
      <c r="H85" s="80">
        <v>86609</v>
      </c>
      <c r="I85" s="80">
        <v>53016</v>
      </c>
      <c r="J85" s="80">
        <v>14084</v>
      </c>
      <c r="K85" s="80">
        <v>5352</v>
      </c>
      <c r="L85" s="80">
        <v>14157</v>
      </c>
      <c r="M85" s="80">
        <v>0</v>
      </c>
      <c r="N85" s="80">
        <v>1527</v>
      </c>
      <c r="O85" s="80">
        <v>342272</v>
      </c>
      <c r="P85" s="80">
        <v>164650</v>
      </c>
      <c r="Q85" s="80">
        <v>127863</v>
      </c>
      <c r="R85" s="80">
        <v>36787</v>
      </c>
      <c r="S85" s="80">
        <v>29274</v>
      </c>
      <c r="T85" s="80">
        <v>7513</v>
      </c>
      <c r="U85" s="80">
        <v>132522</v>
      </c>
      <c r="V85" s="80">
        <v>18433</v>
      </c>
      <c r="W85" s="80">
        <v>17070</v>
      </c>
      <c r="X85" s="80">
        <v>9597</v>
      </c>
      <c r="Y85" s="80">
        <v>-254136</v>
      </c>
      <c r="Z85" s="80">
        <v>182108</v>
      </c>
      <c r="AA85" s="80">
        <v>153250</v>
      </c>
      <c r="AB85" s="80">
        <v>14686</v>
      </c>
      <c r="AC85" s="80">
        <v>14172</v>
      </c>
      <c r="AD85" s="80">
        <v>78907</v>
      </c>
      <c r="AE85" s="80">
        <v>-1814</v>
      </c>
      <c r="AF85" s="80">
        <v>400</v>
      </c>
      <c r="AG85" s="80">
        <v>637</v>
      </c>
      <c r="AH85" s="80">
        <v>205</v>
      </c>
      <c r="AI85" s="80">
        <v>2731</v>
      </c>
      <c r="AJ85" s="80">
        <v>120</v>
      </c>
      <c r="AK85" s="80">
        <v>5065</v>
      </c>
      <c r="AL85" s="80">
        <v>15319</v>
      </c>
      <c r="AM85" s="80">
        <v>15319</v>
      </c>
      <c r="AN85" s="80">
        <v>0</v>
      </c>
      <c r="AO85" s="80">
        <v>0</v>
      </c>
      <c r="AP85" s="80">
        <v>0</v>
      </c>
      <c r="AQ85" s="80">
        <v>0</v>
      </c>
      <c r="AR85" s="80">
        <v>-10254</v>
      </c>
      <c r="AS85" s="80">
        <v>284</v>
      </c>
      <c r="AT85" s="80">
        <v>0</v>
      </c>
      <c r="AU85" s="80">
        <v>395</v>
      </c>
      <c r="AV85" s="80">
        <v>-9575</v>
      </c>
      <c r="AW85" s="81"/>
      <c r="AX85" s="80">
        <v>609</v>
      </c>
      <c r="AY85" s="80">
        <v>5065</v>
      </c>
      <c r="AZ85" s="80">
        <v>0</v>
      </c>
      <c r="BA85" s="80">
        <v>-4456</v>
      </c>
      <c r="BB85" s="80">
        <v>-59847</v>
      </c>
      <c r="BC85" s="80">
        <v>67623</v>
      </c>
      <c r="BD85" s="80">
        <v>2996</v>
      </c>
      <c r="BE85" s="80">
        <v>4780</v>
      </c>
      <c r="BF85" s="80">
        <v>-59238</v>
      </c>
      <c r="BG85" s="80">
        <v>55557</v>
      </c>
      <c r="BH85" s="80">
        <v>956</v>
      </c>
      <c r="BI85" s="80">
        <v>213</v>
      </c>
      <c r="BJ85" s="80">
        <v>1169</v>
      </c>
      <c r="BK85" s="80">
        <v>-32534</v>
      </c>
      <c r="BL85" s="80">
        <v>39000</v>
      </c>
      <c r="BM85" s="80">
        <v>69957</v>
      </c>
      <c r="BN85" s="80">
        <v>-1577</v>
      </c>
      <c r="BO85" s="80">
        <v>0</v>
      </c>
      <c r="BP85" s="80">
        <v>87135</v>
      </c>
      <c r="BQ85" s="80">
        <v>-30</v>
      </c>
      <c r="BR85" s="80">
        <v>75</v>
      </c>
      <c r="BS85" s="80">
        <v>99738</v>
      </c>
      <c r="BT85" s="80">
        <v>-12648</v>
      </c>
      <c r="BU85" s="80">
        <v>-3681</v>
      </c>
      <c r="BV85" s="80">
        <v>21308</v>
      </c>
      <c r="BW85" s="80">
        <v>24989</v>
      </c>
      <c r="BX85" s="81"/>
      <c r="BY85" s="80">
        <v>425409</v>
      </c>
      <c r="BZ85" s="80">
        <v>3018</v>
      </c>
      <c r="CA85" s="80">
        <v>2151</v>
      </c>
      <c r="CB85" s="80">
        <v>867</v>
      </c>
      <c r="CC85" s="80">
        <v>0</v>
      </c>
      <c r="CD85" s="80">
        <v>279686</v>
      </c>
      <c r="CE85" s="80">
        <v>47677</v>
      </c>
      <c r="CF85" s="80">
        <v>133113</v>
      </c>
      <c r="CG85" s="80">
        <v>79166</v>
      </c>
      <c r="CH85" s="80">
        <v>6923</v>
      </c>
      <c r="CI85" s="80">
        <v>1885</v>
      </c>
      <c r="CJ85" s="80">
        <v>1863</v>
      </c>
      <c r="CK85" s="80">
        <v>10922</v>
      </c>
      <c r="CL85" s="80">
        <v>142705</v>
      </c>
      <c r="CM85" s="80">
        <v>140294</v>
      </c>
      <c r="CN85" s="80">
        <v>10821</v>
      </c>
      <c r="CO85" s="80">
        <v>129473</v>
      </c>
      <c r="CP85" s="80">
        <v>0</v>
      </c>
      <c r="CQ85" s="80">
        <v>1990</v>
      </c>
      <c r="CR85" s="80">
        <v>0</v>
      </c>
      <c r="CS85" s="80">
        <v>0</v>
      </c>
      <c r="CT85" s="80">
        <v>1990</v>
      </c>
      <c r="CU85" s="80">
        <v>421</v>
      </c>
      <c r="CV85" s="80">
        <v>1139</v>
      </c>
      <c r="CW85" s="80">
        <v>62</v>
      </c>
      <c r="CX85" s="80">
        <v>534</v>
      </c>
      <c r="CY85" s="80">
        <v>543</v>
      </c>
      <c r="CZ85" s="80">
        <v>46985</v>
      </c>
      <c r="DA85" s="80">
        <v>365</v>
      </c>
      <c r="DB85" s="80">
        <v>358</v>
      </c>
      <c r="DC85" s="80">
        <v>0</v>
      </c>
      <c r="DD85" s="80">
        <v>0</v>
      </c>
      <c r="DE85" s="80">
        <v>7</v>
      </c>
      <c r="DF85" s="80">
        <v>0</v>
      </c>
      <c r="DG85" s="80">
        <v>25312</v>
      </c>
      <c r="DH85" s="80">
        <v>1368</v>
      </c>
      <c r="DI85" s="80">
        <v>0</v>
      </c>
      <c r="DJ85" s="80">
        <v>377</v>
      </c>
      <c r="DK85" s="80">
        <v>991</v>
      </c>
      <c r="DL85" s="80">
        <v>0</v>
      </c>
      <c r="DM85" s="80">
        <v>23944</v>
      </c>
      <c r="DN85" s="80">
        <v>7502</v>
      </c>
      <c r="DO85" s="80">
        <v>11096</v>
      </c>
      <c r="DP85" s="80">
        <v>4341</v>
      </c>
      <c r="DQ85" s="80">
        <v>1005</v>
      </c>
      <c r="DR85" s="80">
        <v>0</v>
      </c>
      <c r="DS85" s="80">
        <v>0</v>
      </c>
      <c r="DT85" s="80">
        <v>0</v>
      </c>
      <c r="DU85" s="80">
        <v>0</v>
      </c>
      <c r="DV85" s="80">
        <v>0</v>
      </c>
      <c r="DW85" s="80">
        <v>21308</v>
      </c>
      <c r="DX85" s="80">
        <v>473533</v>
      </c>
      <c r="DY85" s="80">
        <v>168791</v>
      </c>
      <c r="DZ85" s="80">
        <v>127834</v>
      </c>
      <c r="EA85" s="80">
        <v>19121</v>
      </c>
      <c r="EB85" s="80">
        <v>4961</v>
      </c>
      <c r="EC85" s="80">
        <v>26450</v>
      </c>
      <c r="ED85" s="80">
        <v>-9575</v>
      </c>
      <c r="EE85" s="80">
        <v>11098</v>
      </c>
      <c r="EF85" s="80">
        <v>5823</v>
      </c>
      <c r="EG85" s="80">
        <v>5275</v>
      </c>
      <c r="EH85" s="80">
        <v>2317</v>
      </c>
      <c r="EI85" s="80">
        <v>227</v>
      </c>
      <c r="EJ85" s="80">
        <v>2090</v>
      </c>
      <c r="EK85" s="80">
        <v>2023</v>
      </c>
      <c r="EL85" s="80">
        <v>28</v>
      </c>
      <c r="EM85" s="80">
        <v>600</v>
      </c>
      <c r="EN85" s="80">
        <v>1395</v>
      </c>
      <c r="EO85" s="80">
        <v>289304</v>
      </c>
      <c r="EP85" s="80">
        <v>208213</v>
      </c>
      <c r="EQ85" s="80">
        <v>0</v>
      </c>
      <c r="ER85" s="80">
        <v>207917</v>
      </c>
      <c r="ES85" s="80">
        <v>50133</v>
      </c>
      <c r="ET85" s="80">
        <v>148516</v>
      </c>
      <c r="EU85" s="80">
        <v>0</v>
      </c>
      <c r="EV85" s="80">
        <v>9268</v>
      </c>
      <c r="EW85" s="80">
        <v>261</v>
      </c>
      <c r="EX85" s="80">
        <v>3</v>
      </c>
      <c r="EY85" s="80">
        <v>0</v>
      </c>
      <c r="EZ85" s="80">
        <v>0</v>
      </c>
      <c r="FA85" s="80">
        <v>32</v>
      </c>
      <c r="FB85" s="80">
        <v>0</v>
      </c>
      <c r="FC85" s="80">
        <v>0</v>
      </c>
      <c r="FD85" s="80">
        <v>81091</v>
      </c>
      <c r="FE85" s="80">
        <v>0</v>
      </c>
      <c r="FF85" s="80">
        <v>42542</v>
      </c>
      <c r="FG85" s="80">
        <v>9152</v>
      </c>
      <c r="FH85" s="80">
        <v>30459</v>
      </c>
      <c r="FI85" s="80">
        <v>0</v>
      </c>
      <c r="FJ85" s="80">
        <v>2931</v>
      </c>
      <c r="FK85" s="80">
        <v>165</v>
      </c>
      <c r="FL85" s="80">
        <v>0</v>
      </c>
      <c r="FM85" s="80">
        <v>0</v>
      </c>
      <c r="FN85" s="80">
        <v>7876</v>
      </c>
      <c r="FO85" s="80">
        <v>2814</v>
      </c>
      <c r="FP85" s="80">
        <v>27694</v>
      </c>
      <c r="FQ85" s="80">
        <v>473533</v>
      </c>
      <c r="FR85" s="80">
        <v>145976</v>
      </c>
      <c r="FS85" s="80">
        <v>3018</v>
      </c>
      <c r="FT85" s="100">
        <v>184939.28090297926</v>
      </c>
      <c r="FU85" s="100"/>
      <c r="FV85" s="100">
        <v>90062</v>
      </c>
      <c r="FW85" s="67">
        <v>14396</v>
      </c>
      <c r="FX85" s="100">
        <f t="shared" si="10"/>
        <v>-87178</v>
      </c>
      <c r="FY85" s="100">
        <f t="shared" si="11"/>
        <v>-238817</v>
      </c>
      <c r="FZ85" s="100">
        <v>163203.32771450104</v>
      </c>
      <c r="GA85" s="67">
        <v>151639</v>
      </c>
      <c r="GB85" s="58">
        <f t="shared" si="8"/>
        <v>61577</v>
      </c>
      <c r="GC85" s="67">
        <v>15319</v>
      </c>
      <c r="GD85" s="100">
        <v>13961</v>
      </c>
      <c r="GE85" s="100">
        <v>5016</v>
      </c>
      <c r="GF85" s="58">
        <f t="shared" si="9"/>
        <v>8945</v>
      </c>
      <c r="GG85" s="100">
        <v>-87405.042000000001</v>
      </c>
      <c r="GH85" s="100">
        <v>-4172.8845500000025</v>
      </c>
      <c r="GI85" s="100">
        <v>-71192.974657424827</v>
      </c>
      <c r="GJ85" s="67">
        <f t="shared" si="12"/>
        <v>923</v>
      </c>
      <c r="GK85" s="67"/>
      <c r="GM85" s="96"/>
    </row>
    <row r="86" spans="1:195" ht="13.5" customHeight="1" x14ac:dyDescent="0.2">
      <c r="A86" s="74">
        <v>72</v>
      </c>
      <c r="B86" s="75" t="s">
        <v>227</v>
      </c>
      <c r="C86" s="82" t="s">
        <v>227</v>
      </c>
      <c r="D86" s="76"/>
      <c r="E86" s="77" t="s">
        <v>216</v>
      </c>
      <c r="F86" s="78">
        <v>1</v>
      </c>
      <c r="G86" s="79">
        <v>993</v>
      </c>
      <c r="H86" s="80">
        <v>1467</v>
      </c>
      <c r="I86" s="80">
        <v>405</v>
      </c>
      <c r="J86" s="80">
        <v>439</v>
      </c>
      <c r="K86" s="80">
        <v>114</v>
      </c>
      <c r="L86" s="80">
        <v>509</v>
      </c>
      <c r="M86" s="80">
        <v>0</v>
      </c>
      <c r="N86" s="80">
        <v>0</v>
      </c>
      <c r="O86" s="80">
        <v>7814</v>
      </c>
      <c r="P86" s="80">
        <v>3558</v>
      </c>
      <c r="Q86" s="80">
        <v>2762</v>
      </c>
      <c r="R86" s="80">
        <v>796</v>
      </c>
      <c r="S86" s="80">
        <v>653</v>
      </c>
      <c r="T86" s="80">
        <v>143</v>
      </c>
      <c r="U86" s="80">
        <v>2807</v>
      </c>
      <c r="V86" s="80">
        <v>843</v>
      </c>
      <c r="W86" s="80">
        <v>542</v>
      </c>
      <c r="X86" s="80">
        <v>64</v>
      </c>
      <c r="Y86" s="80">
        <v>-6347</v>
      </c>
      <c r="Z86" s="80">
        <v>3433</v>
      </c>
      <c r="AA86" s="80">
        <v>3048</v>
      </c>
      <c r="AB86" s="80">
        <v>94</v>
      </c>
      <c r="AC86" s="80">
        <v>291</v>
      </c>
      <c r="AD86" s="80">
        <v>3397</v>
      </c>
      <c r="AE86" s="80">
        <v>50</v>
      </c>
      <c r="AF86" s="80">
        <v>4</v>
      </c>
      <c r="AG86" s="80">
        <v>57</v>
      </c>
      <c r="AH86" s="80">
        <v>1</v>
      </c>
      <c r="AI86" s="80">
        <v>10</v>
      </c>
      <c r="AJ86" s="80">
        <v>1</v>
      </c>
      <c r="AK86" s="80">
        <v>533</v>
      </c>
      <c r="AL86" s="80">
        <v>415</v>
      </c>
      <c r="AM86" s="80">
        <v>415</v>
      </c>
      <c r="AN86" s="80">
        <v>0</v>
      </c>
      <c r="AO86" s="80">
        <v>0</v>
      </c>
      <c r="AP86" s="80">
        <v>0</v>
      </c>
      <c r="AQ86" s="80">
        <v>0</v>
      </c>
      <c r="AR86" s="80">
        <v>118</v>
      </c>
      <c r="AS86" s="80">
        <v>0</v>
      </c>
      <c r="AT86" s="80">
        <v>124</v>
      </c>
      <c r="AU86" s="80">
        <v>0</v>
      </c>
      <c r="AV86" s="80">
        <v>242</v>
      </c>
      <c r="AW86" s="81"/>
      <c r="AX86" s="80">
        <v>541</v>
      </c>
      <c r="AY86" s="80">
        <v>533</v>
      </c>
      <c r="AZ86" s="80">
        <v>0</v>
      </c>
      <c r="BA86" s="80">
        <v>8</v>
      </c>
      <c r="BB86" s="80">
        <v>-396</v>
      </c>
      <c r="BC86" s="80">
        <v>691</v>
      </c>
      <c r="BD86" s="80">
        <v>90</v>
      </c>
      <c r="BE86" s="80">
        <v>205</v>
      </c>
      <c r="BF86" s="80">
        <v>145</v>
      </c>
      <c r="BG86" s="80">
        <v>1072</v>
      </c>
      <c r="BH86" s="80">
        <v>8</v>
      </c>
      <c r="BI86" s="80">
        <v>0</v>
      </c>
      <c r="BJ86" s="80">
        <v>8</v>
      </c>
      <c r="BK86" s="80">
        <v>899</v>
      </c>
      <c r="BL86" s="80">
        <v>1000</v>
      </c>
      <c r="BM86" s="80">
        <v>88</v>
      </c>
      <c r="BN86" s="80">
        <v>-13</v>
      </c>
      <c r="BO86" s="80">
        <v>0</v>
      </c>
      <c r="BP86" s="80">
        <v>165</v>
      </c>
      <c r="BQ86" s="80">
        <v>-7</v>
      </c>
      <c r="BR86" s="80">
        <v>9</v>
      </c>
      <c r="BS86" s="80">
        <v>-266</v>
      </c>
      <c r="BT86" s="80">
        <v>429</v>
      </c>
      <c r="BU86" s="80">
        <v>1217</v>
      </c>
      <c r="BV86" s="80">
        <v>3076</v>
      </c>
      <c r="BW86" s="80">
        <v>1859</v>
      </c>
      <c r="BX86" s="81"/>
      <c r="BY86" s="80">
        <v>9214</v>
      </c>
      <c r="BZ86" s="80">
        <v>47</v>
      </c>
      <c r="CA86" s="80">
        <v>31</v>
      </c>
      <c r="CB86" s="80">
        <v>16</v>
      </c>
      <c r="CC86" s="80">
        <v>0</v>
      </c>
      <c r="CD86" s="80">
        <v>8350</v>
      </c>
      <c r="CE86" s="80">
        <v>524</v>
      </c>
      <c r="CF86" s="80">
        <v>6842</v>
      </c>
      <c r="CG86" s="80">
        <v>482</v>
      </c>
      <c r="CH86" s="80">
        <v>55</v>
      </c>
      <c r="CI86" s="80">
        <v>5</v>
      </c>
      <c r="CJ86" s="80">
        <v>5</v>
      </c>
      <c r="CK86" s="80">
        <v>442</v>
      </c>
      <c r="CL86" s="80">
        <v>817</v>
      </c>
      <c r="CM86" s="80">
        <v>812</v>
      </c>
      <c r="CN86" s="80">
        <v>700</v>
      </c>
      <c r="CO86" s="80">
        <v>112</v>
      </c>
      <c r="CP86" s="80">
        <v>0</v>
      </c>
      <c r="CQ86" s="80">
        <v>5</v>
      </c>
      <c r="CR86" s="80">
        <v>0</v>
      </c>
      <c r="CS86" s="80">
        <v>0</v>
      </c>
      <c r="CT86" s="80">
        <v>5</v>
      </c>
      <c r="CU86" s="80">
        <v>0</v>
      </c>
      <c r="CV86" s="80">
        <v>909</v>
      </c>
      <c r="CW86" s="80">
        <v>0</v>
      </c>
      <c r="CX86" s="80">
        <v>898</v>
      </c>
      <c r="CY86" s="80">
        <v>11</v>
      </c>
      <c r="CZ86" s="80">
        <v>3681</v>
      </c>
      <c r="DA86" s="80">
        <v>123</v>
      </c>
      <c r="DB86" s="80">
        <v>123</v>
      </c>
      <c r="DC86" s="80">
        <v>0</v>
      </c>
      <c r="DD86" s="80">
        <v>0</v>
      </c>
      <c r="DE86" s="80">
        <v>0</v>
      </c>
      <c r="DF86" s="80">
        <v>0</v>
      </c>
      <c r="DG86" s="80">
        <v>482</v>
      </c>
      <c r="DH86" s="80">
        <v>300</v>
      </c>
      <c r="DI86" s="80">
        <v>0</v>
      </c>
      <c r="DJ86" s="80">
        <v>300</v>
      </c>
      <c r="DK86" s="80">
        <v>0</v>
      </c>
      <c r="DL86" s="80">
        <v>0</v>
      </c>
      <c r="DM86" s="80">
        <v>182</v>
      </c>
      <c r="DN86" s="80">
        <v>69</v>
      </c>
      <c r="DO86" s="80">
        <v>0</v>
      </c>
      <c r="DP86" s="80">
        <v>91</v>
      </c>
      <c r="DQ86" s="80">
        <v>22</v>
      </c>
      <c r="DR86" s="80">
        <v>1500</v>
      </c>
      <c r="DS86" s="80">
        <v>0</v>
      </c>
      <c r="DT86" s="80">
        <v>0</v>
      </c>
      <c r="DU86" s="80">
        <v>0</v>
      </c>
      <c r="DV86" s="80">
        <v>1500</v>
      </c>
      <c r="DW86" s="80">
        <v>1576</v>
      </c>
      <c r="DX86" s="80">
        <v>13804</v>
      </c>
      <c r="DY86" s="80">
        <v>5647</v>
      </c>
      <c r="DZ86" s="80">
        <v>3288</v>
      </c>
      <c r="EA86" s="80">
        <v>0</v>
      </c>
      <c r="EB86" s="80">
        <v>0</v>
      </c>
      <c r="EC86" s="80">
        <v>2117</v>
      </c>
      <c r="ED86" s="80">
        <v>242</v>
      </c>
      <c r="EE86" s="80">
        <v>3778</v>
      </c>
      <c r="EF86" s="80">
        <v>2773</v>
      </c>
      <c r="EG86" s="80">
        <v>1005</v>
      </c>
      <c r="EH86" s="80">
        <v>0</v>
      </c>
      <c r="EI86" s="80">
        <v>0</v>
      </c>
      <c r="EJ86" s="80">
        <v>0</v>
      </c>
      <c r="EK86" s="80">
        <v>898</v>
      </c>
      <c r="EL86" s="80">
        <v>0</v>
      </c>
      <c r="EM86" s="80">
        <v>898</v>
      </c>
      <c r="EN86" s="80">
        <v>0</v>
      </c>
      <c r="EO86" s="80">
        <v>3481</v>
      </c>
      <c r="EP86" s="80">
        <v>2037</v>
      </c>
      <c r="EQ86" s="80">
        <v>0</v>
      </c>
      <c r="ER86" s="80">
        <v>1808</v>
      </c>
      <c r="ES86" s="80">
        <v>480</v>
      </c>
      <c r="ET86" s="80">
        <v>1328</v>
      </c>
      <c r="EU86" s="80">
        <v>0</v>
      </c>
      <c r="EV86" s="80">
        <v>0</v>
      </c>
      <c r="EW86" s="80">
        <v>0</v>
      </c>
      <c r="EX86" s="80">
        <v>0</v>
      </c>
      <c r="EY86" s="80">
        <v>0</v>
      </c>
      <c r="EZ86" s="80">
        <v>0</v>
      </c>
      <c r="FA86" s="80">
        <v>229</v>
      </c>
      <c r="FB86" s="80">
        <v>0</v>
      </c>
      <c r="FC86" s="80">
        <v>0</v>
      </c>
      <c r="FD86" s="80">
        <v>1444</v>
      </c>
      <c r="FE86" s="80">
        <v>0</v>
      </c>
      <c r="FF86" s="80">
        <v>153</v>
      </c>
      <c r="FG86" s="80">
        <v>25</v>
      </c>
      <c r="FH86" s="80">
        <v>98</v>
      </c>
      <c r="FI86" s="80">
        <v>30</v>
      </c>
      <c r="FJ86" s="80">
        <v>0</v>
      </c>
      <c r="FK86" s="80">
        <v>0</v>
      </c>
      <c r="FL86" s="80">
        <v>0</v>
      </c>
      <c r="FM86" s="80">
        <v>5</v>
      </c>
      <c r="FN86" s="80">
        <v>482</v>
      </c>
      <c r="FO86" s="80">
        <v>71</v>
      </c>
      <c r="FP86" s="80">
        <v>733</v>
      </c>
      <c r="FQ86" s="80">
        <v>13804</v>
      </c>
      <c r="FR86" s="80">
        <v>240</v>
      </c>
      <c r="FS86" s="80">
        <v>125</v>
      </c>
      <c r="FT86" s="100">
        <v>3798.2509562390323</v>
      </c>
      <c r="FU86" s="100"/>
      <c r="FV86" s="100">
        <v>1520</v>
      </c>
      <c r="FW86" s="67">
        <v>402</v>
      </c>
      <c r="FX86" s="100">
        <f t="shared" si="10"/>
        <v>-3924</v>
      </c>
      <c r="FY86" s="100">
        <f t="shared" si="11"/>
        <v>-5932</v>
      </c>
      <c r="FZ86" s="100">
        <v>3941.8228254948758</v>
      </c>
      <c r="GA86" s="67">
        <v>2008</v>
      </c>
      <c r="GB86" s="58">
        <f t="shared" si="8"/>
        <v>488</v>
      </c>
      <c r="GC86" s="67">
        <v>415</v>
      </c>
      <c r="GD86" s="100">
        <v>441</v>
      </c>
      <c r="GE86" s="100">
        <v>60</v>
      </c>
      <c r="GF86" s="58">
        <f t="shared" si="9"/>
        <v>381</v>
      </c>
      <c r="GG86" s="100">
        <v>-1855.4960000000001</v>
      </c>
      <c r="GH86" s="100">
        <v>-30.781250000000014</v>
      </c>
      <c r="GI86" s="100">
        <v>-2077.1301558341634</v>
      </c>
      <c r="GJ86" s="67">
        <f t="shared" si="12"/>
        <v>13</v>
      </c>
      <c r="GK86" s="67"/>
      <c r="GM86" s="96"/>
    </row>
    <row r="87" spans="1:195" ht="13.5" customHeight="1" x14ac:dyDescent="0.2">
      <c r="A87" s="74">
        <v>226</v>
      </c>
      <c r="B87" s="75" t="s">
        <v>53</v>
      </c>
      <c r="C87" s="75" t="s">
        <v>53</v>
      </c>
      <c r="D87" s="76"/>
      <c r="E87" s="77" t="s">
        <v>231</v>
      </c>
      <c r="F87" s="78">
        <v>2</v>
      </c>
      <c r="G87" s="79">
        <v>4268</v>
      </c>
      <c r="H87" s="80">
        <v>9681</v>
      </c>
      <c r="I87" s="80">
        <v>6575</v>
      </c>
      <c r="J87" s="80">
        <v>828</v>
      </c>
      <c r="K87" s="80">
        <v>415</v>
      </c>
      <c r="L87" s="80">
        <v>1863</v>
      </c>
      <c r="M87" s="80">
        <v>0</v>
      </c>
      <c r="N87" s="80">
        <v>0</v>
      </c>
      <c r="O87" s="80">
        <v>34434</v>
      </c>
      <c r="P87" s="80">
        <v>12484</v>
      </c>
      <c r="Q87" s="80">
        <v>9177</v>
      </c>
      <c r="R87" s="80">
        <v>3307</v>
      </c>
      <c r="S87" s="80">
        <v>2672</v>
      </c>
      <c r="T87" s="80">
        <v>635</v>
      </c>
      <c r="U87" s="80">
        <v>19467</v>
      </c>
      <c r="V87" s="80">
        <v>1548</v>
      </c>
      <c r="W87" s="80">
        <v>773</v>
      </c>
      <c r="X87" s="80">
        <v>162</v>
      </c>
      <c r="Y87" s="80">
        <v>-24753</v>
      </c>
      <c r="Z87" s="80">
        <v>12328</v>
      </c>
      <c r="AA87" s="80">
        <v>10168</v>
      </c>
      <c r="AB87" s="80">
        <v>1234</v>
      </c>
      <c r="AC87" s="80">
        <v>926</v>
      </c>
      <c r="AD87" s="80">
        <v>15067</v>
      </c>
      <c r="AE87" s="80">
        <v>96</v>
      </c>
      <c r="AF87" s="80">
        <v>45</v>
      </c>
      <c r="AG87" s="80">
        <v>83</v>
      </c>
      <c r="AH87" s="80">
        <v>0</v>
      </c>
      <c r="AI87" s="80">
        <v>26</v>
      </c>
      <c r="AJ87" s="80">
        <v>6</v>
      </c>
      <c r="AK87" s="80">
        <v>2738</v>
      </c>
      <c r="AL87" s="80">
        <v>1892</v>
      </c>
      <c r="AM87" s="80">
        <v>1892</v>
      </c>
      <c r="AN87" s="80">
        <v>0</v>
      </c>
      <c r="AO87" s="80">
        <v>0</v>
      </c>
      <c r="AP87" s="80">
        <v>0</v>
      </c>
      <c r="AQ87" s="80">
        <v>0</v>
      </c>
      <c r="AR87" s="80">
        <v>846</v>
      </c>
      <c r="AS87" s="80">
        <v>0</v>
      </c>
      <c r="AT87" s="80">
        <v>0</v>
      </c>
      <c r="AU87" s="80">
        <v>0</v>
      </c>
      <c r="AV87" s="80">
        <v>846</v>
      </c>
      <c r="AW87" s="81"/>
      <c r="AX87" s="80">
        <v>2738</v>
      </c>
      <c r="AY87" s="80">
        <v>2738</v>
      </c>
      <c r="AZ87" s="80">
        <v>0</v>
      </c>
      <c r="BA87" s="80">
        <v>0</v>
      </c>
      <c r="BB87" s="80">
        <v>-1048</v>
      </c>
      <c r="BC87" s="80">
        <v>1082</v>
      </c>
      <c r="BD87" s="80">
        <v>0</v>
      </c>
      <c r="BE87" s="80">
        <v>34</v>
      </c>
      <c r="BF87" s="80">
        <v>1690</v>
      </c>
      <c r="BG87" s="80">
        <v>-1750</v>
      </c>
      <c r="BH87" s="80">
        <v>-234</v>
      </c>
      <c r="BI87" s="80">
        <v>640</v>
      </c>
      <c r="BJ87" s="80">
        <v>406</v>
      </c>
      <c r="BK87" s="80">
        <v>0</v>
      </c>
      <c r="BL87" s="80">
        <v>0</v>
      </c>
      <c r="BM87" s="80">
        <v>200</v>
      </c>
      <c r="BN87" s="80">
        <v>200</v>
      </c>
      <c r="BO87" s="80">
        <v>222</v>
      </c>
      <c r="BP87" s="80">
        <v>-1738</v>
      </c>
      <c r="BQ87" s="80">
        <v>-7</v>
      </c>
      <c r="BR87" s="80">
        <v>-117</v>
      </c>
      <c r="BS87" s="80">
        <v>-1254</v>
      </c>
      <c r="BT87" s="80">
        <v>-360</v>
      </c>
      <c r="BU87" s="80">
        <v>-60</v>
      </c>
      <c r="BV87" s="80">
        <v>4788</v>
      </c>
      <c r="BW87" s="80">
        <v>4848</v>
      </c>
      <c r="BX87" s="81"/>
      <c r="BY87" s="80">
        <v>28141</v>
      </c>
      <c r="BZ87" s="80">
        <v>18</v>
      </c>
      <c r="CA87" s="80">
        <v>18</v>
      </c>
      <c r="CB87" s="80">
        <v>0</v>
      </c>
      <c r="CC87" s="80">
        <v>0</v>
      </c>
      <c r="CD87" s="80">
        <v>22183</v>
      </c>
      <c r="CE87" s="80">
        <v>2683</v>
      </c>
      <c r="CF87" s="80">
        <v>14447</v>
      </c>
      <c r="CG87" s="80">
        <v>4910</v>
      </c>
      <c r="CH87" s="80">
        <v>116</v>
      </c>
      <c r="CI87" s="80">
        <v>0</v>
      </c>
      <c r="CJ87" s="80">
        <v>0</v>
      </c>
      <c r="CK87" s="80">
        <v>27</v>
      </c>
      <c r="CL87" s="80">
        <v>5940</v>
      </c>
      <c r="CM87" s="80">
        <v>4883</v>
      </c>
      <c r="CN87" s="80">
        <v>1498</v>
      </c>
      <c r="CO87" s="80">
        <v>3385</v>
      </c>
      <c r="CP87" s="80">
        <v>0</v>
      </c>
      <c r="CQ87" s="80">
        <v>1057</v>
      </c>
      <c r="CR87" s="80">
        <v>0</v>
      </c>
      <c r="CS87" s="80">
        <v>0</v>
      </c>
      <c r="CT87" s="80">
        <v>1057</v>
      </c>
      <c r="CU87" s="80">
        <v>0</v>
      </c>
      <c r="CV87" s="80">
        <v>8</v>
      </c>
      <c r="CW87" s="80">
        <v>0</v>
      </c>
      <c r="CX87" s="80">
        <v>8</v>
      </c>
      <c r="CY87" s="80">
        <v>0</v>
      </c>
      <c r="CZ87" s="80">
        <v>7195</v>
      </c>
      <c r="DA87" s="80">
        <v>117</v>
      </c>
      <c r="DB87" s="80">
        <v>117</v>
      </c>
      <c r="DC87" s="80">
        <v>0</v>
      </c>
      <c r="DD87" s="80">
        <v>0</v>
      </c>
      <c r="DE87" s="80">
        <v>0</v>
      </c>
      <c r="DF87" s="80">
        <v>0</v>
      </c>
      <c r="DG87" s="80">
        <v>2291</v>
      </c>
      <c r="DH87" s="80">
        <v>0</v>
      </c>
      <c r="DI87" s="80">
        <v>0</v>
      </c>
      <c r="DJ87" s="80">
        <v>0</v>
      </c>
      <c r="DK87" s="80">
        <v>0</v>
      </c>
      <c r="DL87" s="80">
        <v>0</v>
      </c>
      <c r="DM87" s="80">
        <v>2291</v>
      </c>
      <c r="DN87" s="80">
        <v>1127</v>
      </c>
      <c r="DO87" s="80">
        <v>0</v>
      </c>
      <c r="DP87" s="80">
        <v>144</v>
      </c>
      <c r="DQ87" s="80">
        <v>1020</v>
      </c>
      <c r="DR87" s="80">
        <v>2008</v>
      </c>
      <c r="DS87" s="80">
        <v>2008</v>
      </c>
      <c r="DT87" s="80">
        <v>0</v>
      </c>
      <c r="DU87" s="80">
        <v>0</v>
      </c>
      <c r="DV87" s="80">
        <v>0</v>
      </c>
      <c r="DW87" s="80">
        <v>2779</v>
      </c>
      <c r="DX87" s="80">
        <v>35344</v>
      </c>
      <c r="DY87" s="80">
        <v>17732</v>
      </c>
      <c r="DZ87" s="80">
        <v>13877</v>
      </c>
      <c r="EA87" s="80">
        <v>0</v>
      </c>
      <c r="EB87" s="80">
        <v>556</v>
      </c>
      <c r="EC87" s="80">
        <v>2453</v>
      </c>
      <c r="ED87" s="80">
        <v>846</v>
      </c>
      <c r="EE87" s="80">
        <v>0</v>
      </c>
      <c r="EF87" s="80">
        <v>0</v>
      </c>
      <c r="EG87" s="80">
        <v>0</v>
      </c>
      <c r="EH87" s="80">
        <v>0</v>
      </c>
      <c r="EI87" s="80">
        <v>0</v>
      </c>
      <c r="EJ87" s="80">
        <v>0</v>
      </c>
      <c r="EK87" s="80">
        <v>16</v>
      </c>
      <c r="EL87" s="80">
        <v>0</v>
      </c>
      <c r="EM87" s="80">
        <v>16</v>
      </c>
      <c r="EN87" s="80">
        <v>0</v>
      </c>
      <c r="EO87" s="80">
        <v>17596</v>
      </c>
      <c r="EP87" s="80">
        <v>388</v>
      </c>
      <c r="EQ87" s="80">
        <v>0</v>
      </c>
      <c r="ER87" s="80">
        <v>0</v>
      </c>
      <c r="ES87" s="80">
        <v>0</v>
      </c>
      <c r="ET87" s="80">
        <v>0</v>
      </c>
      <c r="EU87" s="80">
        <v>0</v>
      </c>
      <c r="EV87" s="80">
        <v>0</v>
      </c>
      <c r="EW87" s="80">
        <v>0</v>
      </c>
      <c r="EX87" s="80">
        <v>0</v>
      </c>
      <c r="EY87" s="80">
        <v>0</v>
      </c>
      <c r="EZ87" s="80">
        <v>0</v>
      </c>
      <c r="FA87" s="80">
        <v>388</v>
      </c>
      <c r="FB87" s="80">
        <v>0</v>
      </c>
      <c r="FC87" s="80">
        <v>0</v>
      </c>
      <c r="FD87" s="80">
        <v>17208</v>
      </c>
      <c r="FE87" s="80">
        <v>0</v>
      </c>
      <c r="FF87" s="80">
        <v>14600</v>
      </c>
      <c r="FG87" s="80">
        <v>0</v>
      </c>
      <c r="FH87" s="80">
        <v>14600</v>
      </c>
      <c r="FI87" s="80">
        <v>0</v>
      </c>
      <c r="FJ87" s="80">
        <v>0</v>
      </c>
      <c r="FK87" s="80">
        <v>0</v>
      </c>
      <c r="FL87" s="80">
        <v>0</v>
      </c>
      <c r="FM87" s="80">
        <v>77</v>
      </c>
      <c r="FN87" s="80">
        <v>669</v>
      </c>
      <c r="FO87" s="80">
        <v>191</v>
      </c>
      <c r="FP87" s="80">
        <v>1671</v>
      </c>
      <c r="FQ87" s="80">
        <v>35344</v>
      </c>
      <c r="FR87" s="80">
        <v>2284</v>
      </c>
      <c r="FS87" s="80">
        <v>5466</v>
      </c>
      <c r="FT87" s="100">
        <v>19223.216249802779</v>
      </c>
      <c r="FU87" s="100"/>
      <c r="FV87" s="100">
        <v>11289</v>
      </c>
      <c r="FW87" s="67">
        <v>1886</v>
      </c>
      <c r="FX87" s="100">
        <f t="shared" si="10"/>
        <v>-11503</v>
      </c>
      <c r="FY87" s="100">
        <f t="shared" si="11"/>
        <v>-22861</v>
      </c>
      <c r="FZ87" s="100">
        <v>16506.473043903527</v>
      </c>
      <c r="GA87" s="67">
        <v>11358</v>
      </c>
      <c r="GB87" s="58">
        <f t="shared" si="8"/>
        <v>69</v>
      </c>
      <c r="GC87" s="67">
        <v>1892</v>
      </c>
      <c r="GD87" s="100">
        <v>883</v>
      </c>
      <c r="GE87" s="100">
        <v>883</v>
      </c>
      <c r="GF87" s="58">
        <f t="shared" si="9"/>
        <v>0</v>
      </c>
      <c r="GG87" s="100">
        <v>-6201.607</v>
      </c>
      <c r="GH87" s="100">
        <v>-375.90785000000011</v>
      </c>
      <c r="GI87" s="100">
        <v>-9974.1710303305772</v>
      </c>
      <c r="GJ87" s="67">
        <f t="shared" si="12"/>
        <v>6</v>
      </c>
      <c r="GK87" s="67"/>
      <c r="GM87" s="96"/>
    </row>
    <row r="88" spans="1:195" ht="13.5" customHeight="1" x14ac:dyDescent="0.2">
      <c r="A88" s="74">
        <v>230</v>
      </c>
      <c r="B88" s="75" t="s">
        <v>54</v>
      </c>
      <c r="C88" s="75" t="s">
        <v>54</v>
      </c>
      <c r="D88" s="76"/>
      <c r="E88" s="77" t="s">
        <v>224</v>
      </c>
      <c r="F88" s="78">
        <v>2</v>
      </c>
      <c r="G88" s="79">
        <v>2475</v>
      </c>
      <c r="H88" s="80">
        <v>1489</v>
      </c>
      <c r="I88" s="80">
        <v>501</v>
      </c>
      <c r="J88" s="80">
        <v>115</v>
      </c>
      <c r="K88" s="80">
        <v>117</v>
      </c>
      <c r="L88" s="80">
        <v>756</v>
      </c>
      <c r="M88" s="80">
        <v>0</v>
      </c>
      <c r="N88" s="80">
        <v>0</v>
      </c>
      <c r="O88" s="80">
        <v>15993</v>
      </c>
      <c r="P88" s="80">
        <v>3924</v>
      </c>
      <c r="Q88" s="80">
        <v>2889</v>
      </c>
      <c r="R88" s="80">
        <v>1035</v>
      </c>
      <c r="S88" s="80">
        <v>910</v>
      </c>
      <c r="T88" s="80">
        <v>125</v>
      </c>
      <c r="U88" s="80">
        <v>10715</v>
      </c>
      <c r="V88" s="80">
        <v>738</v>
      </c>
      <c r="W88" s="80">
        <v>470</v>
      </c>
      <c r="X88" s="80">
        <v>146</v>
      </c>
      <c r="Y88" s="80">
        <v>-14504</v>
      </c>
      <c r="Z88" s="80">
        <v>6660</v>
      </c>
      <c r="AA88" s="80">
        <v>5635</v>
      </c>
      <c r="AB88" s="80">
        <v>612</v>
      </c>
      <c r="AC88" s="80">
        <v>413</v>
      </c>
      <c r="AD88" s="80">
        <v>8674</v>
      </c>
      <c r="AE88" s="80">
        <v>413</v>
      </c>
      <c r="AF88" s="80">
        <v>0</v>
      </c>
      <c r="AG88" s="80">
        <v>413</v>
      </c>
      <c r="AH88" s="80">
        <v>2</v>
      </c>
      <c r="AI88" s="80">
        <v>0</v>
      </c>
      <c r="AJ88" s="80">
        <v>0</v>
      </c>
      <c r="AK88" s="80">
        <v>1243</v>
      </c>
      <c r="AL88" s="80">
        <v>830</v>
      </c>
      <c r="AM88" s="80">
        <v>830</v>
      </c>
      <c r="AN88" s="80">
        <v>0</v>
      </c>
      <c r="AO88" s="80">
        <v>0</v>
      </c>
      <c r="AP88" s="80">
        <v>0</v>
      </c>
      <c r="AQ88" s="80">
        <v>0</v>
      </c>
      <c r="AR88" s="80">
        <v>413</v>
      </c>
      <c r="AS88" s="80">
        <v>0</v>
      </c>
      <c r="AT88" s="80">
        <v>0</v>
      </c>
      <c r="AU88" s="80">
        <v>0</v>
      </c>
      <c r="AV88" s="80">
        <v>413</v>
      </c>
      <c r="AW88" s="81"/>
      <c r="AX88" s="80">
        <v>1243</v>
      </c>
      <c r="AY88" s="80">
        <v>1243</v>
      </c>
      <c r="AZ88" s="80">
        <v>0</v>
      </c>
      <c r="BA88" s="80">
        <v>0</v>
      </c>
      <c r="BB88" s="80">
        <v>-763</v>
      </c>
      <c r="BC88" s="80">
        <v>772</v>
      </c>
      <c r="BD88" s="80">
        <v>8</v>
      </c>
      <c r="BE88" s="80">
        <v>1</v>
      </c>
      <c r="BF88" s="80">
        <v>480</v>
      </c>
      <c r="BG88" s="80">
        <v>754</v>
      </c>
      <c r="BH88" s="80">
        <v>5</v>
      </c>
      <c r="BI88" s="80">
        <v>0</v>
      </c>
      <c r="BJ88" s="80">
        <v>5</v>
      </c>
      <c r="BK88" s="80">
        <v>0</v>
      </c>
      <c r="BL88" s="80">
        <v>0</v>
      </c>
      <c r="BM88" s="80">
        <v>0</v>
      </c>
      <c r="BN88" s="80">
        <v>0</v>
      </c>
      <c r="BO88" s="80">
        <v>0</v>
      </c>
      <c r="BP88" s="80">
        <v>749</v>
      </c>
      <c r="BQ88" s="80">
        <v>155</v>
      </c>
      <c r="BR88" s="80">
        <v>0</v>
      </c>
      <c r="BS88" s="80">
        <v>375</v>
      </c>
      <c r="BT88" s="80">
        <v>219</v>
      </c>
      <c r="BU88" s="80">
        <v>1235</v>
      </c>
      <c r="BV88" s="80">
        <v>2920</v>
      </c>
      <c r="BW88" s="80">
        <v>1685</v>
      </c>
      <c r="BX88" s="81"/>
      <c r="BY88" s="80">
        <v>13492</v>
      </c>
      <c r="BZ88" s="80">
        <v>520</v>
      </c>
      <c r="CA88" s="80">
        <v>9</v>
      </c>
      <c r="CB88" s="80">
        <v>511</v>
      </c>
      <c r="CC88" s="80">
        <v>0</v>
      </c>
      <c r="CD88" s="80">
        <v>10562</v>
      </c>
      <c r="CE88" s="80">
        <v>974</v>
      </c>
      <c r="CF88" s="80">
        <v>7359</v>
      </c>
      <c r="CG88" s="80">
        <v>2093</v>
      </c>
      <c r="CH88" s="80">
        <v>109</v>
      </c>
      <c r="CI88" s="80">
        <v>0</v>
      </c>
      <c r="CJ88" s="80">
        <v>0</v>
      </c>
      <c r="CK88" s="80">
        <v>27</v>
      </c>
      <c r="CL88" s="80">
        <v>2410</v>
      </c>
      <c r="CM88" s="80">
        <v>1903</v>
      </c>
      <c r="CN88" s="80">
        <v>1528</v>
      </c>
      <c r="CO88" s="80">
        <v>375</v>
      </c>
      <c r="CP88" s="80">
        <v>0</v>
      </c>
      <c r="CQ88" s="80">
        <v>246</v>
      </c>
      <c r="CR88" s="80">
        <v>0</v>
      </c>
      <c r="CS88" s="80">
        <v>0</v>
      </c>
      <c r="CT88" s="80">
        <v>246</v>
      </c>
      <c r="CU88" s="80">
        <v>261</v>
      </c>
      <c r="CV88" s="80">
        <v>0</v>
      </c>
      <c r="CW88" s="80">
        <v>0</v>
      </c>
      <c r="CX88" s="80">
        <v>0</v>
      </c>
      <c r="CY88" s="80">
        <v>0</v>
      </c>
      <c r="CZ88" s="80">
        <v>3510</v>
      </c>
      <c r="DA88" s="80">
        <v>0</v>
      </c>
      <c r="DB88" s="80">
        <v>0</v>
      </c>
      <c r="DC88" s="80">
        <v>0</v>
      </c>
      <c r="DD88" s="80">
        <v>0</v>
      </c>
      <c r="DE88" s="80">
        <v>0</v>
      </c>
      <c r="DF88" s="80">
        <v>0</v>
      </c>
      <c r="DG88" s="80">
        <v>590</v>
      </c>
      <c r="DH88" s="80">
        <v>15</v>
      </c>
      <c r="DI88" s="80">
        <v>0</v>
      </c>
      <c r="DJ88" s="80">
        <v>15</v>
      </c>
      <c r="DK88" s="80">
        <v>0</v>
      </c>
      <c r="DL88" s="80">
        <v>0</v>
      </c>
      <c r="DM88" s="80">
        <v>575</v>
      </c>
      <c r="DN88" s="80">
        <v>379</v>
      </c>
      <c r="DO88" s="80">
        <v>0</v>
      </c>
      <c r="DP88" s="80">
        <v>178</v>
      </c>
      <c r="DQ88" s="80">
        <v>18</v>
      </c>
      <c r="DR88" s="80">
        <v>1</v>
      </c>
      <c r="DS88" s="80">
        <v>1</v>
      </c>
      <c r="DT88" s="80">
        <v>0</v>
      </c>
      <c r="DU88" s="80">
        <v>0</v>
      </c>
      <c r="DV88" s="80">
        <v>0</v>
      </c>
      <c r="DW88" s="80">
        <v>2919</v>
      </c>
      <c r="DX88" s="80">
        <v>17002</v>
      </c>
      <c r="DY88" s="80">
        <v>15272</v>
      </c>
      <c r="DZ88" s="80">
        <v>5214</v>
      </c>
      <c r="EA88" s="80">
        <v>0</v>
      </c>
      <c r="EB88" s="80">
        <v>0</v>
      </c>
      <c r="EC88" s="80">
        <v>9645</v>
      </c>
      <c r="ED88" s="80">
        <v>413</v>
      </c>
      <c r="EE88" s="80">
        <v>0</v>
      </c>
      <c r="EF88" s="80">
        <v>0</v>
      </c>
      <c r="EG88" s="80">
        <v>0</v>
      </c>
      <c r="EH88" s="80">
        <v>0</v>
      </c>
      <c r="EI88" s="80">
        <v>0</v>
      </c>
      <c r="EJ88" s="80">
        <v>0</v>
      </c>
      <c r="EK88" s="80">
        <v>202</v>
      </c>
      <c r="EL88" s="80">
        <v>0</v>
      </c>
      <c r="EM88" s="80">
        <v>0</v>
      </c>
      <c r="EN88" s="80">
        <v>202</v>
      </c>
      <c r="EO88" s="80">
        <v>1528</v>
      </c>
      <c r="EP88" s="80">
        <v>49</v>
      </c>
      <c r="EQ88" s="80">
        <v>0</v>
      </c>
      <c r="ER88" s="80">
        <v>0</v>
      </c>
      <c r="ES88" s="80">
        <v>0</v>
      </c>
      <c r="ET88" s="80">
        <v>0</v>
      </c>
      <c r="EU88" s="80">
        <v>0</v>
      </c>
      <c r="EV88" s="80">
        <v>0</v>
      </c>
      <c r="EW88" s="80">
        <v>0</v>
      </c>
      <c r="EX88" s="80">
        <v>0</v>
      </c>
      <c r="EY88" s="80">
        <v>0</v>
      </c>
      <c r="EZ88" s="80">
        <v>0</v>
      </c>
      <c r="FA88" s="80">
        <v>49</v>
      </c>
      <c r="FB88" s="80">
        <v>0</v>
      </c>
      <c r="FC88" s="80">
        <v>0</v>
      </c>
      <c r="FD88" s="80">
        <v>1479</v>
      </c>
      <c r="FE88" s="80">
        <v>0</v>
      </c>
      <c r="FF88" s="80">
        <v>0</v>
      </c>
      <c r="FG88" s="80">
        <v>0</v>
      </c>
      <c r="FH88" s="80">
        <v>0</v>
      </c>
      <c r="FI88" s="80">
        <v>0</v>
      </c>
      <c r="FJ88" s="80">
        <v>0</v>
      </c>
      <c r="FK88" s="80">
        <v>0</v>
      </c>
      <c r="FL88" s="80">
        <v>0</v>
      </c>
      <c r="FM88" s="80">
        <v>2</v>
      </c>
      <c r="FN88" s="80">
        <v>1021</v>
      </c>
      <c r="FO88" s="80">
        <v>99</v>
      </c>
      <c r="FP88" s="80">
        <v>357</v>
      </c>
      <c r="FQ88" s="80">
        <v>17002</v>
      </c>
      <c r="FR88" s="80">
        <v>2844</v>
      </c>
      <c r="FS88" s="80">
        <v>340</v>
      </c>
      <c r="FT88" s="100">
        <v>7139.1423572577596</v>
      </c>
      <c r="FU88" s="100"/>
      <c r="FV88" s="100">
        <v>2378</v>
      </c>
      <c r="FW88" s="67">
        <v>830</v>
      </c>
      <c r="FX88" s="100">
        <f t="shared" si="10"/>
        <v>-11237</v>
      </c>
      <c r="FY88" s="100">
        <f t="shared" si="11"/>
        <v>-13674</v>
      </c>
      <c r="FZ88" s="100">
        <v>9117.2077957677611</v>
      </c>
      <c r="GA88" s="67">
        <v>2437</v>
      </c>
      <c r="GB88" s="58">
        <f t="shared" si="8"/>
        <v>59</v>
      </c>
      <c r="GC88" s="67">
        <v>830</v>
      </c>
      <c r="GD88" s="100">
        <v>115</v>
      </c>
      <c r="GE88" s="100">
        <v>115</v>
      </c>
      <c r="GF88" s="58">
        <f t="shared" si="9"/>
        <v>0</v>
      </c>
      <c r="GG88" s="100">
        <v>-3269.3409999999999</v>
      </c>
      <c r="GH88" s="100">
        <v>-195.79795000000007</v>
      </c>
      <c r="GI88" s="100">
        <v>-5692.6227494147652</v>
      </c>
      <c r="GJ88" s="67">
        <f t="shared" si="12"/>
        <v>0</v>
      </c>
      <c r="GK88" s="67"/>
      <c r="GM88" s="96"/>
    </row>
    <row r="89" spans="1:195" ht="13.5" customHeight="1" x14ac:dyDescent="0.2">
      <c r="A89" s="74">
        <v>231</v>
      </c>
      <c r="B89" s="75" t="s">
        <v>257</v>
      </c>
      <c r="C89" s="82" t="s">
        <v>257</v>
      </c>
      <c r="D89" s="76"/>
      <c r="E89" s="77" t="s">
        <v>248</v>
      </c>
      <c r="F89" s="78">
        <v>1</v>
      </c>
      <c r="G89" s="79">
        <v>1285</v>
      </c>
      <c r="H89" s="80">
        <v>2464</v>
      </c>
      <c r="I89" s="80">
        <v>482</v>
      </c>
      <c r="J89" s="80">
        <v>456</v>
      </c>
      <c r="K89" s="80">
        <v>69</v>
      </c>
      <c r="L89" s="80">
        <v>1457</v>
      </c>
      <c r="M89" s="80">
        <v>0</v>
      </c>
      <c r="N89" s="80">
        <v>0</v>
      </c>
      <c r="O89" s="80">
        <v>10160</v>
      </c>
      <c r="P89" s="80">
        <v>4208</v>
      </c>
      <c r="Q89" s="80">
        <v>3127</v>
      </c>
      <c r="R89" s="80">
        <v>1081</v>
      </c>
      <c r="S89" s="80">
        <v>984</v>
      </c>
      <c r="T89" s="80">
        <v>97</v>
      </c>
      <c r="U89" s="80">
        <v>4928</v>
      </c>
      <c r="V89" s="80">
        <v>716</v>
      </c>
      <c r="W89" s="80">
        <v>195</v>
      </c>
      <c r="X89" s="80">
        <v>113</v>
      </c>
      <c r="Y89" s="80">
        <v>-7696</v>
      </c>
      <c r="Z89" s="80">
        <v>6192</v>
      </c>
      <c r="AA89" s="80">
        <v>4692</v>
      </c>
      <c r="AB89" s="80">
        <v>892</v>
      </c>
      <c r="AC89" s="80">
        <v>608</v>
      </c>
      <c r="AD89" s="80">
        <v>1494</v>
      </c>
      <c r="AE89" s="80">
        <v>-33</v>
      </c>
      <c r="AF89" s="80">
        <v>0</v>
      </c>
      <c r="AG89" s="80">
        <v>8</v>
      </c>
      <c r="AH89" s="80">
        <v>5</v>
      </c>
      <c r="AI89" s="80">
        <v>0</v>
      </c>
      <c r="AJ89" s="80">
        <v>41</v>
      </c>
      <c r="AK89" s="80">
        <v>-43</v>
      </c>
      <c r="AL89" s="80">
        <v>902</v>
      </c>
      <c r="AM89" s="80">
        <v>902</v>
      </c>
      <c r="AN89" s="80">
        <v>0</v>
      </c>
      <c r="AO89" s="80">
        <v>0</v>
      </c>
      <c r="AP89" s="80">
        <v>0</v>
      </c>
      <c r="AQ89" s="80">
        <v>0</v>
      </c>
      <c r="AR89" s="80">
        <v>-945</v>
      </c>
      <c r="AS89" s="80">
        <v>0</v>
      </c>
      <c r="AT89" s="80">
        <v>0</v>
      </c>
      <c r="AU89" s="80">
        <v>0</v>
      </c>
      <c r="AV89" s="80">
        <v>-945</v>
      </c>
      <c r="AW89" s="81"/>
      <c r="AX89" s="80">
        <v>-43</v>
      </c>
      <c r="AY89" s="80">
        <v>-43</v>
      </c>
      <c r="AZ89" s="80">
        <v>0</v>
      </c>
      <c r="BA89" s="80">
        <v>0</v>
      </c>
      <c r="BB89" s="80">
        <v>-139</v>
      </c>
      <c r="BC89" s="80">
        <v>368</v>
      </c>
      <c r="BD89" s="80">
        <v>229</v>
      </c>
      <c r="BE89" s="80">
        <v>0</v>
      </c>
      <c r="BF89" s="80">
        <v>-182</v>
      </c>
      <c r="BG89" s="80">
        <v>-366</v>
      </c>
      <c r="BH89" s="80">
        <v>0</v>
      </c>
      <c r="BI89" s="80">
        <v>0</v>
      </c>
      <c r="BJ89" s="80">
        <v>0</v>
      </c>
      <c r="BK89" s="80">
        <v>-682</v>
      </c>
      <c r="BL89" s="80">
        <v>0</v>
      </c>
      <c r="BM89" s="80">
        <v>682</v>
      </c>
      <c r="BN89" s="80">
        <v>0</v>
      </c>
      <c r="BO89" s="80">
        <v>0</v>
      </c>
      <c r="BP89" s="80">
        <v>316</v>
      </c>
      <c r="BQ89" s="80">
        <v>0</v>
      </c>
      <c r="BR89" s="80">
        <v>0</v>
      </c>
      <c r="BS89" s="80">
        <v>-68</v>
      </c>
      <c r="BT89" s="80">
        <v>384</v>
      </c>
      <c r="BU89" s="80">
        <v>-547</v>
      </c>
      <c r="BV89" s="80">
        <v>123</v>
      </c>
      <c r="BW89" s="80">
        <v>670</v>
      </c>
      <c r="BX89" s="81"/>
      <c r="BY89" s="80">
        <v>17532</v>
      </c>
      <c r="BZ89" s="80">
        <v>0</v>
      </c>
      <c r="CA89" s="80">
        <v>0</v>
      </c>
      <c r="CB89" s="80">
        <v>0</v>
      </c>
      <c r="CC89" s="80">
        <v>0</v>
      </c>
      <c r="CD89" s="80">
        <v>13713</v>
      </c>
      <c r="CE89" s="80">
        <v>920</v>
      </c>
      <c r="CF89" s="80">
        <v>2888</v>
      </c>
      <c r="CG89" s="80">
        <v>9853</v>
      </c>
      <c r="CH89" s="80">
        <v>52</v>
      </c>
      <c r="CI89" s="80">
        <v>0</v>
      </c>
      <c r="CJ89" s="80">
        <v>0</v>
      </c>
      <c r="CK89" s="80">
        <v>0</v>
      </c>
      <c r="CL89" s="80">
        <v>3819</v>
      </c>
      <c r="CM89" s="80">
        <v>3819</v>
      </c>
      <c r="CN89" s="80">
        <v>620</v>
      </c>
      <c r="CO89" s="80">
        <v>3199</v>
      </c>
      <c r="CP89" s="80">
        <v>0</v>
      </c>
      <c r="CQ89" s="80">
        <v>0</v>
      </c>
      <c r="CR89" s="80">
        <v>0</v>
      </c>
      <c r="CS89" s="80">
        <v>0</v>
      </c>
      <c r="CT89" s="80">
        <v>0</v>
      </c>
      <c r="CU89" s="80">
        <v>0</v>
      </c>
      <c r="CV89" s="80">
        <v>29</v>
      </c>
      <c r="CW89" s="80">
        <v>0</v>
      </c>
      <c r="CX89" s="80">
        <v>29</v>
      </c>
      <c r="CY89" s="80">
        <v>0</v>
      </c>
      <c r="CZ89" s="80">
        <v>707</v>
      </c>
      <c r="DA89" s="80">
        <v>0</v>
      </c>
      <c r="DB89" s="80">
        <v>0</v>
      </c>
      <c r="DC89" s="80">
        <v>0</v>
      </c>
      <c r="DD89" s="80">
        <v>0</v>
      </c>
      <c r="DE89" s="80">
        <v>0</v>
      </c>
      <c r="DF89" s="80">
        <v>0</v>
      </c>
      <c r="DG89" s="80">
        <v>584</v>
      </c>
      <c r="DH89" s="80">
        <v>350</v>
      </c>
      <c r="DI89" s="80">
        <v>0</v>
      </c>
      <c r="DJ89" s="80">
        <v>350</v>
      </c>
      <c r="DK89" s="80">
        <v>0</v>
      </c>
      <c r="DL89" s="80">
        <v>0</v>
      </c>
      <c r="DM89" s="80">
        <v>234</v>
      </c>
      <c r="DN89" s="80">
        <v>211</v>
      </c>
      <c r="DO89" s="80">
        <v>0</v>
      </c>
      <c r="DP89" s="80">
        <v>23</v>
      </c>
      <c r="DQ89" s="80">
        <v>0</v>
      </c>
      <c r="DR89" s="80">
        <v>0</v>
      </c>
      <c r="DS89" s="80">
        <v>0</v>
      </c>
      <c r="DT89" s="80">
        <v>0</v>
      </c>
      <c r="DU89" s="80">
        <v>0</v>
      </c>
      <c r="DV89" s="80">
        <v>0</v>
      </c>
      <c r="DW89" s="80">
        <v>123</v>
      </c>
      <c r="DX89" s="80">
        <v>18268</v>
      </c>
      <c r="DY89" s="80">
        <v>13505</v>
      </c>
      <c r="DZ89" s="80">
        <v>4710</v>
      </c>
      <c r="EA89" s="80">
        <v>0</v>
      </c>
      <c r="EB89" s="80">
        <v>0</v>
      </c>
      <c r="EC89" s="80">
        <v>9740</v>
      </c>
      <c r="ED89" s="80">
        <v>-945</v>
      </c>
      <c r="EE89" s="80">
        <v>0</v>
      </c>
      <c r="EF89" s="80">
        <v>0</v>
      </c>
      <c r="EG89" s="80">
        <v>0</v>
      </c>
      <c r="EH89" s="80">
        <v>0</v>
      </c>
      <c r="EI89" s="80">
        <v>0</v>
      </c>
      <c r="EJ89" s="80">
        <v>0</v>
      </c>
      <c r="EK89" s="80">
        <v>69</v>
      </c>
      <c r="EL89" s="80">
        <v>0</v>
      </c>
      <c r="EM89" s="80">
        <v>69</v>
      </c>
      <c r="EN89" s="80">
        <v>0</v>
      </c>
      <c r="EO89" s="80">
        <v>4694</v>
      </c>
      <c r="EP89" s="80">
        <v>3104</v>
      </c>
      <c r="EQ89" s="80">
        <v>0</v>
      </c>
      <c r="ER89" s="80">
        <v>3104</v>
      </c>
      <c r="ES89" s="80">
        <v>1400</v>
      </c>
      <c r="ET89" s="80">
        <v>1704</v>
      </c>
      <c r="EU89" s="80">
        <v>0</v>
      </c>
      <c r="EV89" s="80">
        <v>0</v>
      </c>
      <c r="EW89" s="80">
        <v>0</v>
      </c>
      <c r="EX89" s="80">
        <v>0</v>
      </c>
      <c r="EY89" s="80">
        <v>0</v>
      </c>
      <c r="EZ89" s="80">
        <v>0</v>
      </c>
      <c r="FA89" s="80">
        <v>0</v>
      </c>
      <c r="FB89" s="80">
        <v>0</v>
      </c>
      <c r="FC89" s="80">
        <v>0</v>
      </c>
      <c r="FD89" s="80">
        <v>1590</v>
      </c>
      <c r="FE89" s="80">
        <v>0</v>
      </c>
      <c r="FF89" s="80">
        <v>0</v>
      </c>
      <c r="FG89" s="80">
        <v>0</v>
      </c>
      <c r="FH89" s="80">
        <v>0</v>
      </c>
      <c r="FI89" s="80">
        <v>0</v>
      </c>
      <c r="FJ89" s="80">
        <v>0</v>
      </c>
      <c r="FK89" s="80">
        <v>0</v>
      </c>
      <c r="FL89" s="80">
        <v>0</v>
      </c>
      <c r="FM89" s="80">
        <v>0</v>
      </c>
      <c r="FN89" s="80">
        <v>345</v>
      </c>
      <c r="FO89" s="80">
        <v>540</v>
      </c>
      <c r="FP89" s="80">
        <v>705</v>
      </c>
      <c r="FQ89" s="80">
        <v>18268</v>
      </c>
      <c r="FR89" s="80">
        <v>700</v>
      </c>
      <c r="FS89" s="80">
        <v>8</v>
      </c>
      <c r="FT89" s="100">
        <v>6077.8471550906561</v>
      </c>
      <c r="FU89" s="100"/>
      <c r="FV89" s="100">
        <v>3680</v>
      </c>
      <c r="FW89" s="67">
        <v>894</v>
      </c>
      <c r="FX89" s="100">
        <f t="shared" si="10"/>
        <v>-2640</v>
      </c>
      <c r="FY89" s="100">
        <f t="shared" si="11"/>
        <v>-6794</v>
      </c>
      <c r="FZ89" s="100">
        <v>5131.0004293910988</v>
      </c>
      <c r="GA89" s="67">
        <v>4154</v>
      </c>
      <c r="GB89" s="58">
        <f t="shared" si="8"/>
        <v>474</v>
      </c>
      <c r="GC89" s="67">
        <v>900</v>
      </c>
      <c r="GD89" s="100">
        <v>443</v>
      </c>
      <c r="GE89" s="100">
        <v>84</v>
      </c>
      <c r="GF89" s="58">
        <f t="shared" si="9"/>
        <v>359</v>
      </c>
      <c r="GG89" s="100">
        <v>-2759.2649999999999</v>
      </c>
      <c r="GH89" s="100">
        <v>-322.25885000000011</v>
      </c>
      <c r="GI89" s="100">
        <v>-2203.0269922143821</v>
      </c>
      <c r="GJ89" s="67">
        <f t="shared" si="12"/>
        <v>6</v>
      </c>
      <c r="GK89" s="67"/>
      <c r="GM89" s="96"/>
    </row>
    <row r="90" spans="1:195" ht="13.5" customHeight="1" x14ac:dyDescent="0.2">
      <c r="A90" s="74">
        <v>232</v>
      </c>
      <c r="B90" s="75" t="s">
        <v>55</v>
      </c>
      <c r="C90" s="75" t="s">
        <v>55</v>
      </c>
      <c r="D90" s="76"/>
      <c r="E90" s="77" t="s">
        <v>215</v>
      </c>
      <c r="F90" s="78">
        <v>4</v>
      </c>
      <c r="G90" s="79">
        <v>13875</v>
      </c>
      <c r="H90" s="80">
        <v>45891</v>
      </c>
      <c r="I90" s="80">
        <v>39702</v>
      </c>
      <c r="J90" s="80">
        <v>1220</v>
      </c>
      <c r="K90" s="80">
        <v>1328</v>
      </c>
      <c r="L90" s="80">
        <v>3641</v>
      </c>
      <c r="M90" s="80">
        <v>0</v>
      </c>
      <c r="N90" s="80">
        <v>150</v>
      </c>
      <c r="O90" s="80">
        <v>128273</v>
      </c>
      <c r="P90" s="80">
        <v>23275</v>
      </c>
      <c r="Q90" s="80">
        <v>17423</v>
      </c>
      <c r="R90" s="80">
        <v>5852</v>
      </c>
      <c r="S90" s="80">
        <v>4915</v>
      </c>
      <c r="T90" s="80">
        <v>937</v>
      </c>
      <c r="U90" s="80">
        <v>98455</v>
      </c>
      <c r="V90" s="80">
        <v>3557</v>
      </c>
      <c r="W90" s="80">
        <v>1795</v>
      </c>
      <c r="X90" s="80">
        <v>1191</v>
      </c>
      <c r="Y90" s="80">
        <v>-82232</v>
      </c>
      <c r="Z90" s="80">
        <v>46722</v>
      </c>
      <c r="AA90" s="80">
        <v>39413</v>
      </c>
      <c r="AB90" s="80">
        <v>3910</v>
      </c>
      <c r="AC90" s="80">
        <v>3399</v>
      </c>
      <c r="AD90" s="80">
        <v>37291</v>
      </c>
      <c r="AE90" s="80">
        <v>2280</v>
      </c>
      <c r="AF90" s="80">
        <v>17</v>
      </c>
      <c r="AG90" s="80">
        <v>3384</v>
      </c>
      <c r="AH90" s="80">
        <v>2046</v>
      </c>
      <c r="AI90" s="80">
        <v>1092</v>
      </c>
      <c r="AJ90" s="80">
        <v>29</v>
      </c>
      <c r="AK90" s="80">
        <v>4061</v>
      </c>
      <c r="AL90" s="80">
        <v>4317</v>
      </c>
      <c r="AM90" s="80">
        <v>4317</v>
      </c>
      <c r="AN90" s="80">
        <v>0</v>
      </c>
      <c r="AO90" s="80">
        <v>0</v>
      </c>
      <c r="AP90" s="80">
        <v>0</v>
      </c>
      <c r="AQ90" s="80">
        <v>0</v>
      </c>
      <c r="AR90" s="80">
        <v>-256</v>
      </c>
      <c r="AS90" s="80">
        <v>43</v>
      </c>
      <c r="AT90" s="80">
        <v>0</v>
      </c>
      <c r="AU90" s="80">
        <v>0</v>
      </c>
      <c r="AV90" s="80">
        <v>-213</v>
      </c>
      <c r="AW90" s="81"/>
      <c r="AX90" s="80">
        <v>4010</v>
      </c>
      <c r="AY90" s="80">
        <v>4061</v>
      </c>
      <c r="AZ90" s="80">
        <v>0</v>
      </c>
      <c r="BA90" s="80">
        <v>-51</v>
      </c>
      <c r="BB90" s="80">
        <v>-3409</v>
      </c>
      <c r="BC90" s="80">
        <v>3567</v>
      </c>
      <c r="BD90" s="80">
        <v>0</v>
      </c>
      <c r="BE90" s="80">
        <v>158</v>
      </c>
      <c r="BF90" s="80">
        <v>601</v>
      </c>
      <c r="BG90" s="80">
        <v>1620</v>
      </c>
      <c r="BH90" s="80">
        <v>41</v>
      </c>
      <c r="BI90" s="80">
        <v>37</v>
      </c>
      <c r="BJ90" s="80">
        <v>78</v>
      </c>
      <c r="BK90" s="80">
        <v>-624</v>
      </c>
      <c r="BL90" s="80">
        <v>3700</v>
      </c>
      <c r="BM90" s="80">
        <v>4324</v>
      </c>
      <c r="BN90" s="80">
        <v>0</v>
      </c>
      <c r="BO90" s="80">
        <v>140</v>
      </c>
      <c r="BP90" s="80">
        <v>2063</v>
      </c>
      <c r="BQ90" s="80">
        <v>0</v>
      </c>
      <c r="BR90" s="80">
        <v>-7</v>
      </c>
      <c r="BS90" s="80">
        <v>2179</v>
      </c>
      <c r="BT90" s="80">
        <v>-109</v>
      </c>
      <c r="BU90" s="80">
        <v>2221</v>
      </c>
      <c r="BV90" s="80">
        <v>12194</v>
      </c>
      <c r="BW90" s="80">
        <v>9973</v>
      </c>
      <c r="BX90" s="81"/>
      <c r="BY90" s="80">
        <v>88115</v>
      </c>
      <c r="BZ90" s="80">
        <v>336</v>
      </c>
      <c r="CA90" s="80">
        <v>10</v>
      </c>
      <c r="CB90" s="80">
        <v>326</v>
      </c>
      <c r="CC90" s="80">
        <v>0</v>
      </c>
      <c r="CD90" s="80">
        <v>75752</v>
      </c>
      <c r="CE90" s="80">
        <v>6272</v>
      </c>
      <c r="CF90" s="80">
        <v>58829</v>
      </c>
      <c r="CG90" s="80">
        <v>8422</v>
      </c>
      <c r="CH90" s="80">
        <v>747</v>
      </c>
      <c r="CI90" s="80">
        <v>30</v>
      </c>
      <c r="CJ90" s="80">
        <v>26</v>
      </c>
      <c r="CK90" s="80">
        <v>1452</v>
      </c>
      <c r="CL90" s="80">
        <v>12027</v>
      </c>
      <c r="CM90" s="80">
        <v>10755</v>
      </c>
      <c r="CN90" s="80">
        <v>7810</v>
      </c>
      <c r="CO90" s="80">
        <v>2945</v>
      </c>
      <c r="CP90" s="80">
        <v>0</v>
      </c>
      <c r="CQ90" s="80">
        <v>1272</v>
      </c>
      <c r="CR90" s="80">
        <v>0</v>
      </c>
      <c r="CS90" s="80">
        <v>0</v>
      </c>
      <c r="CT90" s="80">
        <v>1272</v>
      </c>
      <c r="CU90" s="80">
        <v>0</v>
      </c>
      <c r="CV90" s="80">
        <v>153</v>
      </c>
      <c r="CW90" s="80">
        <v>25</v>
      </c>
      <c r="CX90" s="80">
        <v>128</v>
      </c>
      <c r="CY90" s="80">
        <v>0</v>
      </c>
      <c r="CZ90" s="80">
        <v>16627</v>
      </c>
      <c r="DA90" s="80">
        <v>109</v>
      </c>
      <c r="DB90" s="80">
        <v>109</v>
      </c>
      <c r="DC90" s="80">
        <v>0</v>
      </c>
      <c r="DD90" s="80">
        <v>0</v>
      </c>
      <c r="DE90" s="80">
        <v>0</v>
      </c>
      <c r="DF90" s="80">
        <v>0</v>
      </c>
      <c r="DG90" s="80">
        <v>4324</v>
      </c>
      <c r="DH90" s="80">
        <v>308</v>
      </c>
      <c r="DI90" s="80">
        <v>308</v>
      </c>
      <c r="DJ90" s="80">
        <v>0</v>
      </c>
      <c r="DK90" s="80">
        <v>0</v>
      </c>
      <c r="DL90" s="80">
        <v>0</v>
      </c>
      <c r="DM90" s="80">
        <v>4016</v>
      </c>
      <c r="DN90" s="80">
        <v>2864</v>
      </c>
      <c r="DO90" s="80">
        <v>0</v>
      </c>
      <c r="DP90" s="80">
        <v>835</v>
      </c>
      <c r="DQ90" s="80">
        <v>317</v>
      </c>
      <c r="DR90" s="80">
        <v>8343</v>
      </c>
      <c r="DS90" s="80">
        <v>152</v>
      </c>
      <c r="DT90" s="80">
        <v>0</v>
      </c>
      <c r="DU90" s="80">
        <v>0</v>
      </c>
      <c r="DV90" s="80">
        <v>8191</v>
      </c>
      <c r="DW90" s="80">
        <v>3851</v>
      </c>
      <c r="DX90" s="80">
        <v>104895</v>
      </c>
      <c r="DY90" s="80">
        <v>32123</v>
      </c>
      <c r="DZ90" s="80">
        <v>42516</v>
      </c>
      <c r="EA90" s="80">
        <v>0</v>
      </c>
      <c r="EB90" s="80">
        <v>0</v>
      </c>
      <c r="EC90" s="80">
        <v>-10180</v>
      </c>
      <c r="ED90" s="80">
        <v>-213</v>
      </c>
      <c r="EE90" s="80">
        <v>540</v>
      </c>
      <c r="EF90" s="80">
        <v>540</v>
      </c>
      <c r="EG90" s="80">
        <v>0</v>
      </c>
      <c r="EH90" s="80">
        <v>0</v>
      </c>
      <c r="EI90" s="80">
        <v>0</v>
      </c>
      <c r="EJ90" s="80">
        <v>0</v>
      </c>
      <c r="EK90" s="80">
        <v>153</v>
      </c>
      <c r="EL90" s="80">
        <v>25</v>
      </c>
      <c r="EM90" s="80">
        <v>128</v>
      </c>
      <c r="EN90" s="80">
        <v>0</v>
      </c>
      <c r="EO90" s="80">
        <v>72079</v>
      </c>
      <c r="EP90" s="80">
        <v>47365</v>
      </c>
      <c r="EQ90" s="80">
        <v>0</v>
      </c>
      <c r="ER90" s="80">
        <v>46466</v>
      </c>
      <c r="ES90" s="80">
        <v>2200</v>
      </c>
      <c r="ET90" s="80">
        <v>44266</v>
      </c>
      <c r="EU90" s="80">
        <v>0</v>
      </c>
      <c r="EV90" s="80">
        <v>0</v>
      </c>
      <c r="EW90" s="80">
        <v>750</v>
      </c>
      <c r="EX90" s="80">
        <v>0</v>
      </c>
      <c r="EY90" s="80">
        <v>0</v>
      </c>
      <c r="EZ90" s="80">
        <v>0</v>
      </c>
      <c r="FA90" s="80">
        <v>149</v>
      </c>
      <c r="FB90" s="80">
        <v>0</v>
      </c>
      <c r="FC90" s="80">
        <v>0</v>
      </c>
      <c r="FD90" s="80">
        <v>24714</v>
      </c>
      <c r="FE90" s="80">
        <v>0</v>
      </c>
      <c r="FF90" s="80">
        <v>11750</v>
      </c>
      <c r="FG90" s="80">
        <v>4400</v>
      </c>
      <c r="FH90" s="80">
        <v>7350</v>
      </c>
      <c r="FI90" s="80">
        <v>0</v>
      </c>
      <c r="FJ90" s="80">
        <v>0</v>
      </c>
      <c r="FK90" s="80">
        <v>167</v>
      </c>
      <c r="FL90" s="80">
        <v>0</v>
      </c>
      <c r="FM90" s="80">
        <v>0</v>
      </c>
      <c r="FN90" s="80">
        <v>6864</v>
      </c>
      <c r="FO90" s="80">
        <v>433</v>
      </c>
      <c r="FP90" s="80">
        <v>5500</v>
      </c>
      <c r="FQ90" s="80">
        <v>104895</v>
      </c>
      <c r="FR90" s="80">
        <v>16837</v>
      </c>
      <c r="FS90" s="80">
        <v>3188</v>
      </c>
      <c r="FT90" s="100">
        <v>44209.504024941409</v>
      </c>
      <c r="FU90" s="100"/>
      <c r="FV90" s="100">
        <v>15275</v>
      </c>
      <c r="FW90" s="67">
        <v>4316</v>
      </c>
      <c r="FX90" s="100">
        <f t="shared" si="10"/>
        <v>-24699</v>
      </c>
      <c r="FY90" s="100">
        <f t="shared" si="11"/>
        <v>-77915</v>
      </c>
      <c r="FZ90" s="100">
        <v>53061.718085469634</v>
      </c>
      <c r="GA90" s="67">
        <v>53216</v>
      </c>
      <c r="GB90" s="58">
        <f t="shared" si="8"/>
        <v>37941</v>
      </c>
      <c r="GC90" s="67">
        <v>4317</v>
      </c>
      <c r="GD90" s="100">
        <v>1221</v>
      </c>
      <c r="GE90" s="100">
        <v>1221</v>
      </c>
      <c r="GF90" s="58">
        <f t="shared" si="9"/>
        <v>0</v>
      </c>
      <c r="GG90" s="100">
        <v>-20862.490000000002</v>
      </c>
      <c r="GH90" s="100">
        <v>-1138.0911500000004</v>
      </c>
      <c r="GI90" s="100">
        <v>-31463.688721467672</v>
      </c>
      <c r="GJ90" s="67">
        <f t="shared" si="12"/>
        <v>1</v>
      </c>
      <c r="GK90" s="67"/>
      <c r="GM90" s="96"/>
    </row>
    <row r="91" spans="1:195" ht="13.5" customHeight="1" x14ac:dyDescent="0.2">
      <c r="A91" s="74">
        <v>233</v>
      </c>
      <c r="B91" s="75" t="s">
        <v>56</v>
      </c>
      <c r="C91" s="75" t="s">
        <v>56</v>
      </c>
      <c r="D91" s="76"/>
      <c r="E91" s="77" t="s">
        <v>215</v>
      </c>
      <c r="F91" s="78">
        <v>4</v>
      </c>
      <c r="G91" s="79">
        <v>16784</v>
      </c>
      <c r="H91" s="80">
        <v>12723</v>
      </c>
      <c r="I91" s="80">
        <v>7209</v>
      </c>
      <c r="J91" s="80">
        <v>1992</v>
      </c>
      <c r="K91" s="80">
        <v>619</v>
      </c>
      <c r="L91" s="80">
        <v>2903</v>
      </c>
      <c r="M91" s="80">
        <v>0</v>
      </c>
      <c r="N91" s="80">
        <v>0</v>
      </c>
      <c r="O91" s="80">
        <v>108852</v>
      </c>
      <c r="P91" s="80">
        <v>33725</v>
      </c>
      <c r="Q91" s="80">
        <v>24908</v>
      </c>
      <c r="R91" s="80">
        <v>8817</v>
      </c>
      <c r="S91" s="80">
        <v>7286</v>
      </c>
      <c r="T91" s="80">
        <v>1531</v>
      </c>
      <c r="U91" s="80">
        <v>68363</v>
      </c>
      <c r="V91" s="80">
        <v>4127</v>
      </c>
      <c r="W91" s="80">
        <v>1495</v>
      </c>
      <c r="X91" s="80">
        <v>1142</v>
      </c>
      <c r="Y91" s="80">
        <v>-96129</v>
      </c>
      <c r="Z91" s="80">
        <v>56605</v>
      </c>
      <c r="AA91" s="80">
        <v>48710</v>
      </c>
      <c r="AB91" s="80">
        <v>3984</v>
      </c>
      <c r="AC91" s="80">
        <v>3911</v>
      </c>
      <c r="AD91" s="80">
        <v>45568</v>
      </c>
      <c r="AE91" s="80">
        <v>56</v>
      </c>
      <c r="AF91" s="80">
        <v>108</v>
      </c>
      <c r="AG91" s="80">
        <v>404</v>
      </c>
      <c r="AH91" s="80">
        <v>66</v>
      </c>
      <c r="AI91" s="80">
        <v>408</v>
      </c>
      <c r="AJ91" s="80">
        <v>48</v>
      </c>
      <c r="AK91" s="80">
        <v>6100</v>
      </c>
      <c r="AL91" s="80">
        <v>3942</v>
      </c>
      <c r="AM91" s="80">
        <v>3942</v>
      </c>
      <c r="AN91" s="80">
        <v>0</v>
      </c>
      <c r="AO91" s="80">
        <v>0</v>
      </c>
      <c r="AP91" s="80">
        <v>0</v>
      </c>
      <c r="AQ91" s="80">
        <v>0</v>
      </c>
      <c r="AR91" s="80">
        <v>2158</v>
      </c>
      <c r="AS91" s="80">
        <v>-299</v>
      </c>
      <c r="AT91" s="80">
        <v>387</v>
      </c>
      <c r="AU91" s="80">
        <v>93</v>
      </c>
      <c r="AV91" s="80">
        <v>2339</v>
      </c>
      <c r="AW91" s="81"/>
      <c r="AX91" s="80">
        <v>6161</v>
      </c>
      <c r="AY91" s="80">
        <v>6100</v>
      </c>
      <c r="AZ91" s="80">
        <v>0</v>
      </c>
      <c r="BA91" s="80">
        <v>61</v>
      </c>
      <c r="BB91" s="80">
        <v>-8858</v>
      </c>
      <c r="BC91" s="80">
        <v>9637</v>
      </c>
      <c r="BD91" s="80">
        <v>0</v>
      </c>
      <c r="BE91" s="80">
        <v>779</v>
      </c>
      <c r="BF91" s="80">
        <v>-2697</v>
      </c>
      <c r="BG91" s="80">
        <v>4411</v>
      </c>
      <c r="BH91" s="80">
        <v>53</v>
      </c>
      <c r="BI91" s="80">
        <v>0</v>
      </c>
      <c r="BJ91" s="80">
        <v>53</v>
      </c>
      <c r="BK91" s="80">
        <v>2186</v>
      </c>
      <c r="BL91" s="80">
        <v>7000</v>
      </c>
      <c r="BM91" s="80">
        <v>4562</v>
      </c>
      <c r="BN91" s="80">
        <v>-252</v>
      </c>
      <c r="BO91" s="80">
        <v>0</v>
      </c>
      <c r="BP91" s="80">
        <v>2172</v>
      </c>
      <c r="BQ91" s="80">
        <v>22</v>
      </c>
      <c r="BR91" s="80">
        <v>18</v>
      </c>
      <c r="BS91" s="80">
        <v>1673</v>
      </c>
      <c r="BT91" s="80">
        <v>459</v>
      </c>
      <c r="BU91" s="80">
        <v>1714</v>
      </c>
      <c r="BV91" s="80">
        <v>14753</v>
      </c>
      <c r="BW91" s="80">
        <v>13039</v>
      </c>
      <c r="BX91" s="81"/>
      <c r="BY91" s="80">
        <v>83841</v>
      </c>
      <c r="BZ91" s="80">
        <v>1626</v>
      </c>
      <c r="CA91" s="80">
        <v>81</v>
      </c>
      <c r="CB91" s="80">
        <v>1545</v>
      </c>
      <c r="CC91" s="80">
        <v>0</v>
      </c>
      <c r="CD91" s="80">
        <v>59599</v>
      </c>
      <c r="CE91" s="80">
        <v>10289</v>
      </c>
      <c r="CF91" s="80">
        <v>28324</v>
      </c>
      <c r="CG91" s="80">
        <v>14229</v>
      </c>
      <c r="CH91" s="80">
        <v>846</v>
      </c>
      <c r="CI91" s="80">
        <v>163</v>
      </c>
      <c r="CJ91" s="80">
        <v>160</v>
      </c>
      <c r="CK91" s="80">
        <v>5748</v>
      </c>
      <c r="CL91" s="80">
        <v>22616</v>
      </c>
      <c r="CM91" s="80">
        <v>19771</v>
      </c>
      <c r="CN91" s="80">
        <v>11941</v>
      </c>
      <c r="CO91" s="80">
        <v>7830</v>
      </c>
      <c r="CP91" s="80">
        <v>0</v>
      </c>
      <c r="CQ91" s="80">
        <v>2845</v>
      </c>
      <c r="CR91" s="80">
        <v>0</v>
      </c>
      <c r="CS91" s="80">
        <v>0</v>
      </c>
      <c r="CT91" s="80">
        <v>2845</v>
      </c>
      <c r="CU91" s="80">
        <v>0</v>
      </c>
      <c r="CV91" s="80">
        <v>152</v>
      </c>
      <c r="CW91" s="80">
        <v>0</v>
      </c>
      <c r="CX91" s="80">
        <v>38</v>
      </c>
      <c r="CY91" s="80">
        <v>114</v>
      </c>
      <c r="CZ91" s="80">
        <v>18825</v>
      </c>
      <c r="DA91" s="80">
        <v>21</v>
      </c>
      <c r="DB91" s="80">
        <v>21</v>
      </c>
      <c r="DC91" s="80">
        <v>0</v>
      </c>
      <c r="DD91" s="80">
        <v>0</v>
      </c>
      <c r="DE91" s="80">
        <v>0</v>
      </c>
      <c r="DF91" s="80">
        <v>0</v>
      </c>
      <c r="DG91" s="80">
        <v>4051</v>
      </c>
      <c r="DH91" s="80">
        <v>213</v>
      </c>
      <c r="DI91" s="80">
        <v>0</v>
      </c>
      <c r="DJ91" s="80">
        <v>213</v>
      </c>
      <c r="DK91" s="80">
        <v>0</v>
      </c>
      <c r="DL91" s="80">
        <v>0</v>
      </c>
      <c r="DM91" s="80">
        <v>3838</v>
      </c>
      <c r="DN91" s="80">
        <v>961</v>
      </c>
      <c r="DO91" s="80">
        <v>2236</v>
      </c>
      <c r="DP91" s="80">
        <v>577</v>
      </c>
      <c r="DQ91" s="80">
        <v>64</v>
      </c>
      <c r="DR91" s="80">
        <v>0</v>
      </c>
      <c r="DS91" s="80">
        <v>0</v>
      </c>
      <c r="DT91" s="80">
        <v>0</v>
      </c>
      <c r="DU91" s="80">
        <v>0</v>
      </c>
      <c r="DV91" s="80">
        <v>0</v>
      </c>
      <c r="DW91" s="80">
        <v>14753</v>
      </c>
      <c r="DX91" s="80">
        <v>102818</v>
      </c>
      <c r="DY91" s="80">
        <v>50811</v>
      </c>
      <c r="DZ91" s="80">
        <v>39575</v>
      </c>
      <c r="EA91" s="80">
        <v>0</v>
      </c>
      <c r="EB91" s="80">
        <v>964</v>
      </c>
      <c r="EC91" s="80">
        <v>7933</v>
      </c>
      <c r="ED91" s="80">
        <v>2339</v>
      </c>
      <c r="EE91" s="80">
        <v>4413</v>
      </c>
      <c r="EF91" s="80">
        <v>2638</v>
      </c>
      <c r="EG91" s="80">
        <v>1775</v>
      </c>
      <c r="EH91" s="80">
        <v>324</v>
      </c>
      <c r="EI91" s="80">
        <v>233</v>
      </c>
      <c r="EJ91" s="80">
        <v>91</v>
      </c>
      <c r="EK91" s="80">
        <v>511</v>
      </c>
      <c r="EL91" s="80">
        <v>0</v>
      </c>
      <c r="EM91" s="80">
        <v>16</v>
      </c>
      <c r="EN91" s="80">
        <v>495</v>
      </c>
      <c r="EO91" s="80">
        <v>46759</v>
      </c>
      <c r="EP91" s="80">
        <v>34262</v>
      </c>
      <c r="EQ91" s="80">
        <v>0</v>
      </c>
      <c r="ER91" s="80">
        <v>34137</v>
      </c>
      <c r="ES91" s="80">
        <v>6800</v>
      </c>
      <c r="ET91" s="80">
        <v>27337</v>
      </c>
      <c r="EU91" s="80">
        <v>0</v>
      </c>
      <c r="EV91" s="80">
        <v>0</v>
      </c>
      <c r="EW91" s="80">
        <v>125</v>
      </c>
      <c r="EX91" s="80">
        <v>0</v>
      </c>
      <c r="EY91" s="80">
        <v>0</v>
      </c>
      <c r="EZ91" s="80">
        <v>0</v>
      </c>
      <c r="FA91" s="80">
        <v>0</v>
      </c>
      <c r="FB91" s="80">
        <v>0</v>
      </c>
      <c r="FC91" s="80">
        <v>0</v>
      </c>
      <c r="FD91" s="80">
        <v>12497</v>
      </c>
      <c r="FE91" s="80">
        <v>0</v>
      </c>
      <c r="FF91" s="80">
        <v>3863</v>
      </c>
      <c r="FG91" s="80">
        <v>383</v>
      </c>
      <c r="FH91" s="80">
        <v>3480</v>
      </c>
      <c r="FI91" s="80">
        <v>0</v>
      </c>
      <c r="FJ91" s="80">
        <v>0</v>
      </c>
      <c r="FK91" s="80">
        <v>429</v>
      </c>
      <c r="FL91" s="80">
        <v>0</v>
      </c>
      <c r="FM91" s="80">
        <v>217</v>
      </c>
      <c r="FN91" s="80">
        <v>2928</v>
      </c>
      <c r="FO91" s="80">
        <v>1042</v>
      </c>
      <c r="FP91" s="80">
        <v>4018</v>
      </c>
      <c r="FQ91" s="80">
        <v>102818</v>
      </c>
      <c r="FR91" s="80">
        <v>52928</v>
      </c>
      <c r="FS91" s="80">
        <v>7054</v>
      </c>
      <c r="FT91" s="100">
        <v>58238.952759938489</v>
      </c>
      <c r="FU91" s="100"/>
      <c r="FV91" s="100">
        <v>22408</v>
      </c>
      <c r="FW91" s="67">
        <v>3938</v>
      </c>
      <c r="FX91" s="100">
        <f t="shared" si="10"/>
        <v>-69598</v>
      </c>
      <c r="FY91" s="100">
        <f t="shared" si="11"/>
        <v>-92187</v>
      </c>
      <c r="FZ91" s="100">
        <v>60237.297558111233</v>
      </c>
      <c r="GA91" s="67">
        <v>22589</v>
      </c>
      <c r="GB91" s="58">
        <f t="shared" si="8"/>
        <v>181</v>
      </c>
      <c r="GC91" s="67">
        <v>3941</v>
      </c>
      <c r="GD91" s="100">
        <v>1992</v>
      </c>
      <c r="GE91" s="100">
        <v>1992</v>
      </c>
      <c r="GF91" s="58">
        <f t="shared" si="9"/>
        <v>0</v>
      </c>
      <c r="GG91" s="100">
        <v>-26914.333000000002</v>
      </c>
      <c r="GH91" s="100">
        <v>-1159.9219000000005</v>
      </c>
      <c r="GI91" s="100">
        <v>-32487.646578829103</v>
      </c>
      <c r="GJ91" s="67">
        <f t="shared" si="12"/>
        <v>3</v>
      </c>
      <c r="GK91" s="67"/>
      <c r="GM91" s="96"/>
    </row>
    <row r="92" spans="1:195" ht="13.5" customHeight="1" x14ac:dyDescent="0.2">
      <c r="A92" s="74">
        <v>236</v>
      </c>
      <c r="B92" s="75" t="s">
        <v>259</v>
      </c>
      <c r="C92" s="82" t="s">
        <v>259</v>
      </c>
      <c r="D92" s="76"/>
      <c r="E92" s="77" t="s">
        <v>228</v>
      </c>
      <c r="F92" s="78">
        <v>2</v>
      </c>
      <c r="G92" s="79">
        <v>4305</v>
      </c>
      <c r="H92" s="80">
        <v>7138</v>
      </c>
      <c r="I92" s="80">
        <v>5340</v>
      </c>
      <c r="J92" s="80">
        <v>882</v>
      </c>
      <c r="K92" s="80">
        <v>191</v>
      </c>
      <c r="L92" s="80">
        <v>725</v>
      </c>
      <c r="M92" s="80">
        <v>0</v>
      </c>
      <c r="N92" s="80">
        <v>0</v>
      </c>
      <c r="O92" s="80">
        <v>29507</v>
      </c>
      <c r="P92" s="80">
        <v>11188</v>
      </c>
      <c r="Q92" s="80">
        <v>8520</v>
      </c>
      <c r="R92" s="80">
        <v>2668</v>
      </c>
      <c r="S92" s="80">
        <v>2189</v>
      </c>
      <c r="T92" s="80">
        <v>479</v>
      </c>
      <c r="U92" s="80">
        <v>15964</v>
      </c>
      <c r="V92" s="80">
        <v>1305</v>
      </c>
      <c r="W92" s="80">
        <v>889</v>
      </c>
      <c r="X92" s="80">
        <v>161</v>
      </c>
      <c r="Y92" s="80">
        <v>-22369</v>
      </c>
      <c r="Z92" s="80">
        <v>14528</v>
      </c>
      <c r="AA92" s="80">
        <v>12120</v>
      </c>
      <c r="AB92" s="80">
        <v>1513</v>
      </c>
      <c r="AC92" s="80">
        <v>895</v>
      </c>
      <c r="AD92" s="80">
        <v>9090</v>
      </c>
      <c r="AE92" s="80">
        <v>-303</v>
      </c>
      <c r="AF92" s="80">
        <v>1</v>
      </c>
      <c r="AG92" s="80">
        <v>7</v>
      </c>
      <c r="AH92" s="80">
        <v>0</v>
      </c>
      <c r="AI92" s="80">
        <v>310</v>
      </c>
      <c r="AJ92" s="80">
        <v>1</v>
      </c>
      <c r="AK92" s="80">
        <v>946</v>
      </c>
      <c r="AL92" s="80">
        <v>1113</v>
      </c>
      <c r="AM92" s="80">
        <v>1113</v>
      </c>
      <c r="AN92" s="80">
        <v>0</v>
      </c>
      <c r="AO92" s="80">
        <v>0</v>
      </c>
      <c r="AP92" s="80">
        <v>0</v>
      </c>
      <c r="AQ92" s="80">
        <v>0</v>
      </c>
      <c r="AR92" s="80">
        <v>-167</v>
      </c>
      <c r="AS92" s="80">
        <v>0</v>
      </c>
      <c r="AT92" s="80">
        <v>0</v>
      </c>
      <c r="AU92" s="80">
        <v>0</v>
      </c>
      <c r="AV92" s="80">
        <v>-167</v>
      </c>
      <c r="AW92" s="81"/>
      <c r="AX92" s="80">
        <v>898</v>
      </c>
      <c r="AY92" s="80">
        <v>946</v>
      </c>
      <c r="AZ92" s="80">
        <v>0</v>
      </c>
      <c r="BA92" s="80">
        <v>-48</v>
      </c>
      <c r="BB92" s="80">
        <v>-6596</v>
      </c>
      <c r="BC92" s="80">
        <v>6711</v>
      </c>
      <c r="BD92" s="80">
        <v>0</v>
      </c>
      <c r="BE92" s="80">
        <v>115</v>
      </c>
      <c r="BF92" s="80">
        <v>-5698</v>
      </c>
      <c r="BG92" s="80">
        <v>4635</v>
      </c>
      <c r="BH92" s="80">
        <v>-102</v>
      </c>
      <c r="BI92" s="80">
        <v>104</v>
      </c>
      <c r="BJ92" s="80">
        <v>2</v>
      </c>
      <c r="BK92" s="80">
        <v>4421</v>
      </c>
      <c r="BL92" s="80">
        <v>5000</v>
      </c>
      <c r="BM92" s="80">
        <v>1679</v>
      </c>
      <c r="BN92" s="80">
        <v>1100</v>
      </c>
      <c r="BO92" s="80">
        <v>0</v>
      </c>
      <c r="BP92" s="80">
        <v>316</v>
      </c>
      <c r="BQ92" s="80">
        <v>-10</v>
      </c>
      <c r="BR92" s="80">
        <v>-12</v>
      </c>
      <c r="BS92" s="80">
        <v>604</v>
      </c>
      <c r="BT92" s="80">
        <v>-266</v>
      </c>
      <c r="BU92" s="80">
        <v>-1063</v>
      </c>
      <c r="BV92" s="80">
        <v>144</v>
      </c>
      <c r="BW92" s="80">
        <v>1207</v>
      </c>
      <c r="BX92" s="81"/>
      <c r="BY92" s="80">
        <v>37554</v>
      </c>
      <c r="BZ92" s="80">
        <v>203</v>
      </c>
      <c r="CA92" s="80">
        <v>2</v>
      </c>
      <c r="CB92" s="80">
        <v>201</v>
      </c>
      <c r="CC92" s="80">
        <v>0</v>
      </c>
      <c r="CD92" s="80">
        <v>29987</v>
      </c>
      <c r="CE92" s="80">
        <v>1885</v>
      </c>
      <c r="CF92" s="80">
        <v>21359</v>
      </c>
      <c r="CG92" s="80">
        <v>3840</v>
      </c>
      <c r="CH92" s="80">
        <v>335</v>
      </c>
      <c r="CI92" s="80">
        <v>369</v>
      </c>
      <c r="CJ92" s="80">
        <v>369</v>
      </c>
      <c r="CK92" s="80">
        <v>2199</v>
      </c>
      <c r="CL92" s="80">
        <v>7364</v>
      </c>
      <c r="CM92" s="80">
        <v>6886</v>
      </c>
      <c r="CN92" s="80">
        <v>1010</v>
      </c>
      <c r="CO92" s="80">
        <v>5876</v>
      </c>
      <c r="CP92" s="80">
        <v>0</v>
      </c>
      <c r="CQ92" s="80">
        <v>0</v>
      </c>
      <c r="CR92" s="80">
        <v>0</v>
      </c>
      <c r="CS92" s="80">
        <v>0</v>
      </c>
      <c r="CT92" s="80">
        <v>0</v>
      </c>
      <c r="CU92" s="80">
        <v>478</v>
      </c>
      <c r="CV92" s="80">
        <v>25</v>
      </c>
      <c r="CW92" s="80">
        <v>0</v>
      </c>
      <c r="CX92" s="80">
        <v>13</v>
      </c>
      <c r="CY92" s="80">
        <v>12</v>
      </c>
      <c r="CZ92" s="80">
        <v>1282</v>
      </c>
      <c r="DA92" s="80">
        <v>60</v>
      </c>
      <c r="DB92" s="80">
        <v>60</v>
      </c>
      <c r="DC92" s="80">
        <v>0</v>
      </c>
      <c r="DD92" s="80">
        <v>0</v>
      </c>
      <c r="DE92" s="80">
        <v>0</v>
      </c>
      <c r="DF92" s="80">
        <v>0</v>
      </c>
      <c r="DG92" s="80">
        <v>1078</v>
      </c>
      <c r="DH92" s="80">
        <v>200</v>
      </c>
      <c r="DI92" s="80">
        <v>0</v>
      </c>
      <c r="DJ92" s="80">
        <v>200</v>
      </c>
      <c r="DK92" s="80">
        <v>0</v>
      </c>
      <c r="DL92" s="80">
        <v>0</v>
      </c>
      <c r="DM92" s="80">
        <v>878</v>
      </c>
      <c r="DN92" s="80">
        <v>297</v>
      </c>
      <c r="DO92" s="80">
        <v>0</v>
      </c>
      <c r="DP92" s="80">
        <v>4</v>
      </c>
      <c r="DQ92" s="80">
        <v>577</v>
      </c>
      <c r="DR92" s="80">
        <v>0</v>
      </c>
      <c r="DS92" s="80">
        <v>0</v>
      </c>
      <c r="DT92" s="80">
        <v>0</v>
      </c>
      <c r="DU92" s="80">
        <v>0</v>
      </c>
      <c r="DV92" s="80">
        <v>0</v>
      </c>
      <c r="DW92" s="80">
        <v>144</v>
      </c>
      <c r="DX92" s="80">
        <v>38861</v>
      </c>
      <c r="DY92" s="80">
        <v>9039</v>
      </c>
      <c r="DZ92" s="80">
        <v>9685</v>
      </c>
      <c r="EA92" s="80">
        <v>0</v>
      </c>
      <c r="EB92" s="80">
        <v>0</v>
      </c>
      <c r="EC92" s="80">
        <v>-479</v>
      </c>
      <c r="ED92" s="80">
        <v>-167</v>
      </c>
      <c r="EE92" s="80">
        <v>0</v>
      </c>
      <c r="EF92" s="80">
        <v>0</v>
      </c>
      <c r="EG92" s="80">
        <v>0</v>
      </c>
      <c r="EH92" s="80">
        <v>0</v>
      </c>
      <c r="EI92" s="80">
        <v>0</v>
      </c>
      <c r="EJ92" s="80">
        <v>0</v>
      </c>
      <c r="EK92" s="80">
        <v>374</v>
      </c>
      <c r="EL92" s="80">
        <v>0</v>
      </c>
      <c r="EM92" s="80">
        <v>366</v>
      </c>
      <c r="EN92" s="80">
        <v>8</v>
      </c>
      <c r="EO92" s="80">
        <v>29448</v>
      </c>
      <c r="EP92" s="80">
        <v>21321</v>
      </c>
      <c r="EQ92" s="80">
        <v>0</v>
      </c>
      <c r="ER92" s="80">
        <v>20436</v>
      </c>
      <c r="ES92" s="80">
        <v>0</v>
      </c>
      <c r="ET92" s="80">
        <v>20436</v>
      </c>
      <c r="EU92" s="80">
        <v>0</v>
      </c>
      <c r="EV92" s="80">
        <v>0</v>
      </c>
      <c r="EW92" s="80">
        <v>0</v>
      </c>
      <c r="EX92" s="80">
        <v>0</v>
      </c>
      <c r="EY92" s="80">
        <v>40</v>
      </c>
      <c r="EZ92" s="80">
        <v>0</v>
      </c>
      <c r="FA92" s="80">
        <v>845</v>
      </c>
      <c r="FB92" s="80">
        <v>0</v>
      </c>
      <c r="FC92" s="80">
        <v>0</v>
      </c>
      <c r="FD92" s="80">
        <v>8127</v>
      </c>
      <c r="FE92" s="80">
        <v>0</v>
      </c>
      <c r="FF92" s="80">
        <v>5313</v>
      </c>
      <c r="FG92" s="80">
        <v>3450</v>
      </c>
      <c r="FH92" s="80">
        <v>1863</v>
      </c>
      <c r="FI92" s="80">
        <v>0</v>
      </c>
      <c r="FJ92" s="80">
        <v>0</v>
      </c>
      <c r="FK92" s="80">
        <v>0</v>
      </c>
      <c r="FL92" s="80">
        <v>0</v>
      </c>
      <c r="FM92" s="80">
        <v>174</v>
      </c>
      <c r="FN92" s="80">
        <v>656</v>
      </c>
      <c r="FO92" s="80">
        <v>187</v>
      </c>
      <c r="FP92" s="80">
        <v>1797</v>
      </c>
      <c r="FQ92" s="80">
        <v>38861</v>
      </c>
      <c r="FR92" s="80">
        <v>9277</v>
      </c>
      <c r="FS92" s="80">
        <v>287</v>
      </c>
      <c r="FT92" s="100">
        <v>18751.984630941384</v>
      </c>
      <c r="FU92" s="100"/>
      <c r="FV92" s="100">
        <v>9603</v>
      </c>
      <c r="FW92" s="67">
        <v>1091</v>
      </c>
      <c r="FX92" s="100">
        <f t="shared" si="10"/>
        <v>-11637</v>
      </c>
      <c r="FY92" s="100">
        <f t="shared" si="11"/>
        <v>-21256</v>
      </c>
      <c r="FZ92" s="100">
        <v>13383.066604437392</v>
      </c>
      <c r="GA92" s="67">
        <v>9619</v>
      </c>
      <c r="GB92" s="58">
        <f t="shared" si="8"/>
        <v>16</v>
      </c>
      <c r="GC92" s="67">
        <v>1113</v>
      </c>
      <c r="GD92" s="100">
        <v>887</v>
      </c>
      <c r="GE92" s="100">
        <v>887</v>
      </c>
      <c r="GF92" s="58">
        <f t="shared" si="9"/>
        <v>0</v>
      </c>
      <c r="GG92" s="100">
        <v>-6917.2370000000001</v>
      </c>
      <c r="GH92" s="100">
        <v>-464.38470000000018</v>
      </c>
      <c r="GI92" s="100">
        <v>-5923.4709726565607</v>
      </c>
      <c r="GJ92" s="67">
        <f t="shared" si="12"/>
        <v>22</v>
      </c>
      <c r="GK92" s="67"/>
      <c r="GM92" s="96"/>
    </row>
    <row r="93" spans="1:195" ht="13.5" customHeight="1" x14ac:dyDescent="0.2">
      <c r="A93" s="74">
        <v>239</v>
      </c>
      <c r="B93" s="75" t="s">
        <v>57</v>
      </c>
      <c r="C93" s="75" t="s">
        <v>57</v>
      </c>
      <c r="D93" s="76"/>
      <c r="E93" s="77" t="s">
        <v>239</v>
      </c>
      <c r="F93" s="78">
        <v>2</v>
      </c>
      <c r="G93" s="79">
        <v>2379</v>
      </c>
      <c r="H93" s="80">
        <v>3558</v>
      </c>
      <c r="I93" s="80">
        <v>1506</v>
      </c>
      <c r="J93" s="80">
        <v>814</v>
      </c>
      <c r="K93" s="80">
        <v>348</v>
      </c>
      <c r="L93" s="80">
        <v>890</v>
      </c>
      <c r="M93" s="80">
        <v>0</v>
      </c>
      <c r="N93" s="80">
        <v>0</v>
      </c>
      <c r="O93" s="80">
        <v>17786</v>
      </c>
      <c r="P93" s="80">
        <v>6702</v>
      </c>
      <c r="Q93" s="80">
        <v>5022</v>
      </c>
      <c r="R93" s="80">
        <v>1680</v>
      </c>
      <c r="S93" s="80">
        <v>1446</v>
      </c>
      <c r="T93" s="80">
        <v>234</v>
      </c>
      <c r="U93" s="80">
        <v>8795</v>
      </c>
      <c r="V93" s="80">
        <v>969</v>
      </c>
      <c r="W93" s="80">
        <v>843</v>
      </c>
      <c r="X93" s="80">
        <v>477</v>
      </c>
      <c r="Y93" s="80">
        <v>-14228</v>
      </c>
      <c r="Z93" s="80">
        <v>7338</v>
      </c>
      <c r="AA93" s="80">
        <v>5810</v>
      </c>
      <c r="AB93" s="80">
        <v>986</v>
      </c>
      <c r="AC93" s="80">
        <v>542</v>
      </c>
      <c r="AD93" s="80">
        <v>7326</v>
      </c>
      <c r="AE93" s="80">
        <v>147</v>
      </c>
      <c r="AF93" s="80">
        <v>0</v>
      </c>
      <c r="AG93" s="80">
        <v>190</v>
      </c>
      <c r="AH93" s="80">
        <v>120</v>
      </c>
      <c r="AI93" s="80">
        <v>18</v>
      </c>
      <c r="AJ93" s="80">
        <v>25</v>
      </c>
      <c r="AK93" s="80">
        <v>583</v>
      </c>
      <c r="AL93" s="80">
        <v>544</v>
      </c>
      <c r="AM93" s="80">
        <v>544</v>
      </c>
      <c r="AN93" s="80">
        <v>0</v>
      </c>
      <c r="AO93" s="80">
        <v>0</v>
      </c>
      <c r="AP93" s="80">
        <v>0</v>
      </c>
      <c r="AQ93" s="80">
        <v>0</v>
      </c>
      <c r="AR93" s="80">
        <v>39</v>
      </c>
      <c r="AS93" s="80">
        <v>0</v>
      </c>
      <c r="AT93" s="80">
        <v>0</v>
      </c>
      <c r="AU93" s="80">
        <v>0</v>
      </c>
      <c r="AV93" s="80">
        <v>39</v>
      </c>
      <c r="AW93" s="81"/>
      <c r="AX93" s="80">
        <v>526</v>
      </c>
      <c r="AY93" s="80">
        <v>583</v>
      </c>
      <c r="AZ93" s="80">
        <v>0</v>
      </c>
      <c r="BA93" s="80">
        <v>-57</v>
      </c>
      <c r="BB93" s="80">
        <v>-764</v>
      </c>
      <c r="BC93" s="80">
        <v>869</v>
      </c>
      <c r="BD93" s="80">
        <v>0</v>
      </c>
      <c r="BE93" s="80">
        <v>105</v>
      </c>
      <c r="BF93" s="80">
        <v>-238</v>
      </c>
      <c r="BG93" s="80">
        <v>143</v>
      </c>
      <c r="BH93" s="80">
        <v>260</v>
      </c>
      <c r="BI93" s="80">
        <v>228</v>
      </c>
      <c r="BJ93" s="80">
        <v>488</v>
      </c>
      <c r="BK93" s="80">
        <v>419</v>
      </c>
      <c r="BL93" s="80">
        <v>0</v>
      </c>
      <c r="BM93" s="80">
        <v>110</v>
      </c>
      <c r="BN93" s="80">
        <v>529</v>
      </c>
      <c r="BO93" s="80">
        <v>0</v>
      </c>
      <c r="BP93" s="80">
        <v>-536</v>
      </c>
      <c r="BQ93" s="80">
        <v>0</v>
      </c>
      <c r="BR93" s="80">
        <v>-4</v>
      </c>
      <c r="BS93" s="80">
        <v>-292</v>
      </c>
      <c r="BT93" s="80">
        <v>-240</v>
      </c>
      <c r="BU93" s="80">
        <v>-96</v>
      </c>
      <c r="BV93" s="80">
        <v>42</v>
      </c>
      <c r="BW93" s="80">
        <v>138</v>
      </c>
      <c r="BX93" s="81"/>
      <c r="BY93" s="80">
        <v>13847</v>
      </c>
      <c r="BZ93" s="80">
        <v>0</v>
      </c>
      <c r="CA93" s="80">
        <v>0</v>
      </c>
      <c r="CB93" s="80">
        <v>0</v>
      </c>
      <c r="CC93" s="80">
        <v>0</v>
      </c>
      <c r="CD93" s="80">
        <v>11358</v>
      </c>
      <c r="CE93" s="80">
        <v>1914</v>
      </c>
      <c r="CF93" s="80">
        <v>6648</v>
      </c>
      <c r="CG93" s="80">
        <v>1540</v>
      </c>
      <c r="CH93" s="80">
        <v>893</v>
      </c>
      <c r="CI93" s="80">
        <v>0</v>
      </c>
      <c r="CJ93" s="80">
        <v>0</v>
      </c>
      <c r="CK93" s="80">
        <v>363</v>
      </c>
      <c r="CL93" s="80">
        <v>2489</v>
      </c>
      <c r="CM93" s="80">
        <v>2255</v>
      </c>
      <c r="CN93" s="80">
        <v>1310</v>
      </c>
      <c r="CO93" s="80">
        <v>945</v>
      </c>
      <c r="CP93" s="80">
        <v>0</v>
      </c>
      <c r="CQ93" s="80">
        <v>228</v>
      </c>
      <c r="CR93" s="80">
        <v>0</v>
      </c>
      <c r="CS93" s="80">
        <v>0</v>
      </c>
      <c r="CT93" s="80">
        <v>228</v>
      </c>
      <c r="CU93" s="80">
        <v>6</v>
      </c>
      <c r="CV93" s="80">
        <v>10</v>
      </c>
      <c r="CW93" s="80">
        <v>0</v>
      </c>
      <c r="CX93" s="80">
        <v>10</v>
      </c>
      <c r="CY93" s="80">
        <v>0</v>
      </c>
      <c r="CZ93" s="80">
        <v>1644</v>
      </c>
      <c r="DA93" s="80">
        <v>90</v>
      </c>
      <c r="DB93" s="80">
        <v>90</v>
      </c>
      <c r="DC93" s="80">
        <v>0</v>
      </c>
      <c r="DD93" s="80">
        <v>0</v>
      </c>
      <c r="DE93" s="80">
        <v>0</v>
      </c>
      <c r="DF93" s="80">
        <v>0</v>
      </c>
      <c r="DG93" s="80">
        <v>1512</v>
      </c>
      <c r="DH93" s="80">
        <v>10</v>
      </c>
      <c r="DI93" s="80">
        <v>0</v>
      </c>
      <c r="DJ93" s="80">
        <v>10</v>
      </c>
      <c r="DK93" s="80">
        <v>0</v>
      </c>
      <c r="DL93" s="80">
        <v>0</v>
      </c>
      <c r="DM93" s="80">
        <v>1502</v>
      </c>
      <c r="DN93" s="80">
        <v>538</v>
      </c>
      <c r="DO93" s="80">
        <v>0</v>
      </c>
      <c r="DP93" s="80">
        <v>87</v>
      </c>
      <c r="DQ93" s="80">
        <v>877</v>
      </c>
      <c r="DR93" s="80">
        <v>0</v>
      </c>
      <c r="DS93" s="80">
        <v>0</v>
      </c>
      <c r="DT93" s="80">
        <v>0</v>
      </c>
      <c r="DU93" s="80">
        <v>0</v>
      </c>
      <c r="DV93" s="80">
        <v>0</v>
      </c>
      <c r="DW93" s="80">
        <v>42</v>
      </c>
      <c r="DX93" s="80">
        <v>15501</v>
      </c>
      <c r="DY93" s="80">
        <v>7705</v>
      </c>
      <c r="DZ93" s="80">
        <v>7582</v>
      </c>
      <c r="EA93" s="80">
        <v>0</v>
      </c>
      <c r="EB93" s="80">
        <v>0</v>
      </c>
      <c r="EC93" s="80">
        <v>83</v>
      </c>
      <c r="ED93" s="80">
        <v>40</v>
      </c>
      <c r="EE93" s="80">
        <v>0</v>
      </c>
      <c r="EF93" s="80">
        <v>0</v>
      </c>
      <c r="EG93" s="80">
        <v>0</v>
      </c>
      <c r="EH93" s="80">
        <v>0</v>
      </c>
      <c r="EI93" s="80">
        <v>0</v>
      </c>
      <c r="EJ93" s="80">
        <v>0</v>
      </c>
      <c r="EK93" s="80">
        <v>11</v>
      </c>
      <c r="EL93" s="80">
        <v>0</v>
      </c>
      <c r="EM93" s="80">
        <v>10</v>
      </c>
      <c r="EN93" s="80">
        <v>1</v>
      </c>
      <c r="EO93" s="80">
        <v>7785</v>
      </c>
      <c r="EP93" s="80">
        <v>1250</v>
      </c>
      <c r="EQ93" s="80">
        <v>0</v>
      </c>
      <c r="ER93" s="80">
        <v>887</v>
      </c>
      <c r="ES93" s="80">
        <v>0</v>
      </c>
      <c r="ET93" s="80">
        <v>887</v>
      </c>
      <c r="EU93" s="80">
        <v>0</v>
      </c>
      <c r="EV93" s="80">
        <v>0</v>
      </c>
      <c r="EW93" s="80">
        <v>0</v>
      </c>
      <c r="EX93" s="80">
        <v>0</v>
      </c>
      <c r="EY93" s="80">
        <v>0</v>
      </c>
      <c r="EZ93" s="80">
        <v>0</v>
      </c>
      <c r="FA93" s="80">
        <v>363</v>
      </c>
      <c r="FB93" s="80">
        <v>0</v>
      </c>
      <c r="FC93" s="80">
        <v>0</v>
      </c>
      <c r="FD93" s="80">
        <v>6535</v>
      </c>
      <c r="FE93" s="80">
        <v>0</v>
      </c>
      <c r="FF93" s="80">
        <v>5108</v>
      </c>
      <c r="FG93" s="80">
        <v>0</v>
      </c>
      <c r="FH93" s="80">
        <v>5108</v>
      </c>
      <c r="FI93" s="80">
        <v>0</v>
      </c>
      <c r="FJ93" s="80">
        <v>0</v>
      </c>
      <c r="FK93" s="80">
        <v>0</v>
      </c>
      <c r="FL93" s="80">
        <v>0</v>
      </c>
      <c r="FM93" s="80">
        <v>0</v>
      </c>
      <c r="FN93" s="80">
        <v>1029</v>
      </c>
      <c r="FO93" s="80">
        <v>103</v>
      </c>
      <c r="FP93" s="80">
        <v>295</v>
      </c>
      <c r="FQ93" s="80">
        <v>15501</v>
      </c>
      <c r="FR93" s="80">
        <v>4309</v>
      </c>
      <c r="FS93" s="80">
        <v>1686</v>
      </c>
      <c r="FT93" s="100">
        <v>7051.4446989673488</v>
      </c>
      <c r="FU93" s="100"/>
      <c r="FV93" s="100">
        <v>2355</v>
      </c>
      <c r="FW93" s="67">
        <v>494</v>
      </c>
      <c r="FX93" s="100">
        <f t="shared" si="10"/>
        <v>-9706</v>
      </c>
      <c r="FY93" s="100">
        <f t="shared" si="11"/>
        <v>-13684</v>
      </c>
      <c r="FZ93" s="100">
        <v>9707.784514511548</v>
      </c>
      <c r="GA93" s="67">
        <v>3978</v>
      </c>
      <c r="GB93" s="58">
        <f t="shared" si="8"/>
        <v>1623</v>
      </c>
      <c r="GC93" s="67">
        <v>557</v>
      </c>
      <c r="GD93" s="100">
        <v>793</v>
      </c>
      <c r="GE93" s="100">
        <v>161</v>
      </c>
      <c r="GF93" s="58">
        <f t="shared" si="9"/>
        <v>632</v>
      </c>
      <c r="GG93" s="100">
        <v>-3571.0509999999995</v>
      </c>
      <c r="GH93" s="100">
        <v>-286.62240000000014</v>
      </c>
      <c r="GI93" s="100">
        <v>-5973.4488379388013</v>
      </c>
      <c r="GJ93" s="67">
        <f t="shared" si="12"/>
        <v>63</v>
      </c>
      <c r="GK93" s="67"/>
      <c r="GM93" s="96"/>
    </row>
    <row r="94" spans="1:195" ht="13.5" customHeight="1" x14ac:dyDescent="0.2">
      <c r="A94" s="74">
        <v>240</v>
      </c>
      <c r="B94" s="75" t="s">
        <v>58</v>
      </c>
      <c r="C94" s="75" t="s">
        <v>58</v>
      </c>
      <c r="D94" s="76"/>
      <c r="E94" s="77" t="s">
        <v>222</v>
      </c>
      <c r="F94" s="78">
        <v>5</v>
      </c>
      <c r="G94" s="79">
        <v>21758</v>
      </c>
      <c r="H94" s="80">
        <v>23962</v>
      </c>
      <c r="I94" s="80">
        <v>6967</v>
      </c>
      <c r="J94" s="80">
        <v>7610</v>
      </c>
      <c r="K94" s="80">
        <v>4710</v>
      </c>
      <c r="L94" s="80">
        <v>4675</v>
      </c>
      <c r="M94" s="80">
        <v>0</v>
      </c>
      <c r="N94" s="80">
        <v>296</v>
      </c>
      <c r="O94" s="80">
        <v>153798</v>
      </c>
      <c r="P94" s="80">
        <v>67704</v>
      </c>
      <c r="Q94" s="80">
        <v>49935</v>
      </c>
      <c r="R94" s="80">
        <v>17769</v>
      </c>
      <c r="S94" s="80">
        <v>15081</v>
      </c>
      <c r="T94" s="80">
        <v>2688</v>
      </c>
      <c r="U94" s="80">
        <v>63531</v>
      </c>
      <c r="V94" s="80">
        <v>6551</v>
      </c>
      <c r="W94" s="80">
        <v>12321</v>
      </c>
      <c r="X94" s="80">
        <v>3691</v>
      </c>
      <c r="Y94" s="80">
        <v>-129540</v>
      </c>
      <c r="Z94" s="80">
        <v>87302</v>
      </c>
      <c r="AA94" s="80">
        <v>74603</v>
      </c>
      <c r="AB94" s="80">
        <v>6187</v>
      </c>
      <c r="AC94" s="80">
        <v>6512</v>
      </c>
      <c r="AD94" s="80">
        <v>43191</v>
      </c>
      <c r="AE94" s="80">
        <v>-1692</v>
      </c>
      <c r="AF94" s="80">
        <v>343</v>
      </c>
      <c r="AG94" s="80">
        <v>1386</v>
      </c>
      <c r="AH94" s="80">
        <v>1202</v>
      </c>
      <c r="AI94" s="80">
        <v>3292</v>
      </c>
      <c r="AJ94" s="80">
        <v>129</v>
      </c>
      <c r="AK94" s="80">
        <v>-739</v>
      </c>
      <c r="AL94" s="80">
        <v>4576</v>
      </c>
      <c r="AM94" s="80">
        <v>4576</v>
      </c>
      <c r="AN94" s="80">
        <v>0</v>
      </c>
      <c r="AO94" s="80">
        <v>0</v>
      </c>
      <c r="AP94" s="80">
        <v>0</v>
      </c>
      <c r="AQ94" s="80">
        <v>0</v>
      </c>
      <c r="AR94" s="80">
        <v>-5315</v>
      </c>
      <c r="AS94" s="80">
        <v>0</v>
      </c>
      <c r="AT94" s="80">
        <v>0</v>
      </c>
      <c r="AU94" s="80">
        <v>25</v>
      </c>
      <c r="AV94" s="80">
        <v>-5290</v>
      </c>
      <c r="AW94" s="81"/>
      <c r="AX94" s="80">
        <v>-460</v>
      </c>
      <c r="AY94" s="80">
        <v>-739</v>
      </c>
      <c r="AZ94" s="80">
        <v>0</v>
      </c>
      <c r="BA94" s="80">
        <v>279</v>
      </c>
      <c r="BB94" s="80">
        <v>-4022</v>
      </c>
      <c r="BC94" s="80">
        <v>4291</v>
      </c>
      <c r="BD94" s="80">
        <v>230</v>
      </c>
      <c r="BE94" s="80">
        <v>39</v>
      </c>
      <c r="BF94" s="80">
        <v>-4482</v>
      </c>
      <c r="BG94" s="80">
        <v>2320</v>
      </c>
      <c r="BH94" s="80">
        <v>0</v>
      </c>
      <c r="BI94" s="80">
        <v>0</v>
      </c>
      <c r="BJ94" s="80">
        <v>0</v>
      </c>
      <c r="BK94" s="80">
        <v>4693</v>
      </c>
      <c r="BL94" s="80">
        <v>10000</v>
      </c>
      <c r="BM94" s="80">
        <v>9307</v>
      </c>
      <c r="BN94" s="80">
        <v>4000</v>
      </c>
      <c r="BO94" s="80">
        <v>0</v>
      </c>
      <c r="BP94" s="80">
        <v>-2373</v>
      </c>
      <c r="BQ94" s="80">
        <v>24</v>
      </c>
      <c r="BR94" s="80">
        <v>12</v>
      </c>
      <c r="BS94" s="80">
        <v>-1697</v>
      </c>
      <c r="BT94" s="80">
        <v>-712</v>
      </c>
      <c r="BU94" s="80">
        <v>-2162</v>
      </c>
      <c r="BV94" s="80">
        <v>699</v>
      </c>
      <c r="BW94" s="80">
        <v>2861</v>
      </c>
      <c r="BX94" s="81"/>
      <c r="BY94" s="80">
        <v>171720</v>
      </c>
      <c r="BZ94" s="80">
        <v>110</v>
      </c>
      <c r="CA94" s="80">
        <v>0</v>
      </c>
      <c r="CB94" s="80">
        <v>110</v>
      </c>
      <c r="CC94" s="80">
        <v>0</v>
      </c>
      <c r="CD94" s="80">
        <v>70107</v>
      </c>
      <c r="CE94" s="80">
        <v>32575</v>
      </c>
      <c r="CF94" s="80">
        <v>26562</v>
      </c>
      <c r="CG94" s="80">
        <v>8927</v>
      </c>
      <c r="CH94" s="80">
        <v>928</v>
      </c>
      <c r="CI94" s="80">
        <v>1066</v>
      </c>
      <c r="CJ94" s="80">
        <v>1066</v>
      </c>
      <c r="CK94" s="80">
        <v>49</v>
      </c>
      <c r="CL94" s="80">
        <v>101503</v>
      </c>
      <c r="CM94" s="80">
        <v>82627</v>
      </c>
      <c r="CN94" s="80">
        <v>10033</v>
      </c>
      <c r="CO94" s="80">
        <v>72594</v>
      </c>
      <c r="CP94" s="80">
        <v>0</v>
      </c>
      <c r="CQ94" s="80">
        <v>18876</v>
      </c>
      <c r="CR94" s="80">
        <v>0</v>
      </c>
      <c r="CS94" s="80">
        <v>0</v>
      </c>
      <c r="CT94" s="80">
        <v>18876</v>
      </c>
      <c r="CU94" s="80">
        <v>0</v>
      </c>
      <c r="CV94" s="80">
        <v>8330</v>
      </c>
      <c r="CW94" s="80">
        <v>8204</v>
      </c>
      <c r="CX94" s="80">
        <v>33</v>
      </c>
      <c r="CY94" s="80">
        <v>93</v>
      </c>
      <c r="CZ94" s="80">
        <v>9124</v>
      </c>
      <c r="DA94" s="80">
        <v>242</v>
      </c>
      <c r="DB94" s="80">
        <v>242</v>
      </c>
      <c r="DC94" s="80">
        <v>0</v>
      </c>
      <c r="DD94" s="80">
        <v>0</v>
      </c>
      <c r="DE94" s="80">
        <v>0</v>
      </c>
      <c r="DF94" s="80">
        <v>0</v>
      </c>
      <c r="DG94" s="80">
        <v>8183</v>
      </c>
      <c r="DH94" s="80">
        <v>0</v>
      </c>
      <c r="DI94" s="80">
        <v>0</v>
      </c>
      <c r="DJ94" s="80">
        <v>0</v>
      </c>
      <c r="DK94" s="80">
        <v>0</v>
      </c>
      <c r="DL94" s="80">
        <v>0</v>
      </c>
      <c r="DM94" s="80">
        <v>8183</v>
      </c>
      <c r="DN94" s="80">
        <v>2474</v>
      </c>
      <c r="DO94" s="80">
        <v>1256</v>
      </c>
      <c r="DP94" s="80">
        <v>3381</v>
      </c>
      <c r="DQ94" s="80">
        <v>1072</v>
      </c>
      <c r="DR94" s="80">
        <v>0</v>
      </c>
      <c r="DS94" s="80">
        <v>0</v>
      </c>
      <c r="DT94" s="80">
        <v>0</v>
      </c>
      <c r="DU94" s="80">
        <v>0</v>
      </c>
      <c r="DV94" s="80">
        <v>0</v>
      </c>
      <c r="DW94" s="80">
        <v>699</v>
      </c>
      <c r="DX94" s="80">
        <v>189174</v>
      </c>
      <c r="DY94" s="80">
        <v>76132</v>
      </c>
      <c r="DZ94" s="80">
        <v>51666</v>
      </c>
      <c r="EA94" s="80">
        <v>16618</v>
      </c>
      <c r="EB94" s="80">
        <v>3061</v>
      </c>
      <c r="EC94" s="80">
        <v>10077</v>
      </c>
      <c r="ED94" s="80">
        <v>-5290</v>
      </c>
      <c r="EE94" s="80">
        <v>0</v>
      </c>
      <c r="EF94" s="80">
        <v>0</v>
      </c>
      <c r="EG94" s="80">
        <v>0</v>
      </c>
      <c r="EH94" s="80">
        <v>2671</v>
      </c>
      <c r="EI94" s="80">
        <v>1729</v>
      </c>
      <c r="EJ94" s="80">
        <v>942</v>
      </c>
      <c r="EK94" s="80">
        <v>8593</v>
      </c>
      <c r="EL94" s="80">
        <v>8259</v>
      </c>
      <c r="EM94" s="80">
        <v>33</v>
      </c>
      <c r="EN94" s="80">
        <v>301</v>
      </c>
      <c r="EO94" s="80">
        <v>101778</v>
      </c>
      <c r="EP94" s="80">
        <v>55276</v>
      </c>
      <c r="EQ94" s="80">
        <v>0</v>
      </c>
      <c r="ER94" s="80">
        <v>53857</v>
      </c>
      <c r="ES94" s="80">
        <v>1790</v>
      </c>
      <c r="ET94" s="80">
        <v>52067</v>
      </c>
      <c r="EU94" s="80">
        <v>0</v>
      </c>
      <c r="EV94" s="80">
        <v>0</v>
      </c>
      <c r="EW94" s="80">
        <v>1419</v>
      </c>
      <c r="EX94" s="80">
        <v>0</v>
      </c>
      <c r="EY94" s="80">
        <v>0</v>
      </c>
      <c r="EZ94" s="80">
        <v>0</v>
      </c>
      <c r="FA94" s="80">
        <v>0</v>
      </c>
      <c r="FB94" s="80">
        <v>0</v>
      </c>
      <c r="FC94" s="80">
        <v>0</v>
      </c>
      <c r="FD94" s="80">
        <v>46502</v>
      </c>
      <c r="FE94" s="80">
        <v>0</v>
      </c>
      <c r="FF94" s="80">
        <v>9192</v>
      </c>
      <c r="FG94" s="80">
        <v>1193</v>
      </c>
      <c r="FH94" s="80">
        <v>7999</v>
      </c>
      <c r="FI94" s="80">
        <v>0</v>
      </c>
      <c r="FJ94" s="80">
        <v>0</v>
      </c>
      <c r="FK94" s="80">
        <v>584</v>
      </c>
      <c r="FL94" s="80">
        <v>21000</v>
      </c>
      <c r="FM94" s="80">
        <v>133</v>
      </c>
      <c r="FN94" s="80">
        <v>6713</v>
      </c>
      <c r="FO94" s="80">
        <v>1358</v>
      </c>
      <c r="FP94" s="80">
        <v>7522</v>
      </c>
      <c r="FQ94" s="80">
        <v>189174</v>
      </c>
      <c r="FR94" s="80">
        <v>28328</v>
      </c>
      <c r="FS94" s="80">
        <v>1959</v>
      </c>
      <c r="FT94" s="100">
        <v>74951.698919088987</v>
      </c>
      <c r="FU94" s="100"/>
      <c r="FV94" s="100">
        <v>28027</v>
      </c>
      <c r="FW94" s="67">
        <v>4401</v>
      </c>
      <c r="FX94" s="100">
        <f t="shared" si="10"/>
        <v>-84650</v>
      </c>
      <c r="FY94" s="100">
        <f t="shared" si="11"/>
        <v>-124964</v>
      </c>
      <c r="FZ94" s="100">
        <v>82593.236888444357</v>
      </c>
      <c r="GA94" s="67">
        <v>40314</v>
      </c>
      <c r="GB94" s="58">
        <f t="shared" si="8"/>
        <v>12287</v>
      </c>
      <c r="GC94" s="67">
        <v>4579</v>
      </c>
      <c r="GD94" s="100">
        <v>7584</v>
      </c>
      <c r="GE94" s="100">
        <v>3259</v>
      </c>
      <c r="GF94" s="58">
        <f t="shared" si="9"/>
        <v>4325</v>
      </c>
      <c r="GG94" s="100">
        <v>-42550.131000000001</v>
      </c>
      <c r="GH94" s="100">
        <v>-2014.3435000000011</v>
      </c>
      <c r="GI94" s="100">
        <v>-38796.050508724198</v>
      </c>
      <c r="GJ94" s="67">
        <f t="shared" si="12"/>
        <v>178</v>
      </c>
      <c r="GK94" s="67"/>
      <c r="GM94" s="96"/>
    </row>
    <row r="95" spans="1:195" ht="13.5" customHeight="1" x14ac:dyDescent="0.2">
      <c r="A95" s="74">
        <v>320</v>
      </c>
      <c r="B95" s="75" t="s">
        <v>85</v>
      </c>
      <c r="C95" s="75" t="s">
        <v>85</v>
      </c>
      <c r="D95" s="76"/>
      <c r="E95" s="77" t="s">
        <v>222</v>
      </c>
      <c r="F95" s="78">
        <v>3</v>
      </c>
      <c r="G95" s="79">
        <v>7766</v>
      </c>
      <c r="H95" s="80">
        <v>11846</v>
      </c>
      <c r="I95" s="80">
        <v>4754</v>
      </c>
      <c r="J95" s="80">
        <v>3100</v>
      </c>
      <c r="K95" s="80">
        <v>1207</v>
      </c>
      <c r="L95" s="80">
        <v>2785</v>
      </c>
      <c r="M95" s="80">
        <v>0</v>
      </c>
      <c r="N95" s="80">
        <v>0</v>
      </c>
      <c r="O95" s="80">
        <v>66861</v>
      </c>
      <c r="P95" s="80">
        <v>32241</v>
      </c>
      <c r="Q95" s="80">
        <v>24520</v>
      </c>
      <c r="R95" s="80">
        <v>7721</v>
      </c>
      <c r="S95" s="80">
        <v>6456</v>
      </c>
      <c r="T95" s="80">
        <v>1265</v>
      </c>
      <c r="U95" s="80">
        <v>25123</v>
      </c>
      <c r="V95" s="80">
        <v>5181</v>
      </c>
      <c r="W95" s="80">
        <v>3520</v>
      </c>
      <c r="X95" s="80">
        <v>796</v>
      </c>
      <c r="Y95" s="80">
        <v>-55015</v>
      </c>
      <c r="Z95" s="80">
        <v>28542</v>
      </c>
      <c r="AA95" s="80">
        <v>23378</v>
      </c>
      <c r="AB95" s="80">
        <v>1208</v>
      </c>
      <c r="AC95" s="80">
        <v>3956</v>
      </c>
      <c r="AD95" s="80">
        <v>25729</v>
      </c>
      <c r="AE95" s="80">
        <v>634</v>
      </c>
      <c r="AF95" s="80">
        <v>10</v>
      </c>
      <c r="AG95" s="80">
        <v>1438</v>
      </c>
      <c r="AH95" s="80">
        <v>1</v>
      </c>
      <c r="AI95" s="80">
        <v>445</v>
      </c>
      <c r="AJ95" s="80">
        <v>369</v>
      </c>
      <c r="AK95" s="80">
        <v>-110</v>
      </c>
      <c r="AL95" s="80">
        <v>2625</v>
      </c>
      <c r="AM95" s="80">
        <v>2625</v>
      </c>
      <c r="AN95" s="80">
        <v>0</v>
      </c>
      <c r="AO95" s="80">
        <v>0</v>
      </c>
      <c r="AP95" s="80">
        <v>0</v>
      </c>
      <c r="AQ95" s="80">
        <v>0</v>
      </c>
      <c r="AR95" s="80">
        <v>-2735</v>
      </c>
      <c r="AS95" s="80">
        <v>0</v>
      </c>
      <c r="AT95" s="80">
        <v>0</v>
      </c>
      <c r="AU95" s="80">
        <v>6</v>
      </c>
      <c r="AV95" s="80">
        <v>-2729</v>
      </c>
      <c r="AW95" s="81"/>
      <c r="AX95" s="80">
        <v>-235</v>
      </c>
      <c r="AY95" s="80">
        <v>-110</v>
      </c>
      <c r="AZ95" s="80">
        <v>0</v>
      </c>
      <c r="BA95" s="80">
        <v>-125</v>
      </c>
      <c r="BB95" s="80">
        <v>-3761</v>
      </c>
      <c r="BC95" s="80">
        <v>6383</v>
      </c>
      <c r="BD95" s="80">
        <v>176</v>
      </c>
      <c r="BE95" s="80">
        <v>2446</v>
      </c>
      <c r="BF95" s="80">
        <v>-3996</v>
      </c>
      <c r="BG95" s="80">
        <v>378</v>
      </c>
      <c r="BH95" s="80">
        <v>196</v>
      </c>
      <c r="BI95" s="80">
        <v>34</v>
      </c>
      <c r="BJ95" s="80">
        <v>230</v>
      </c>
      <c r="BK95" s="80">
        <v>456</v>
      </c>
      <c r="BL95" s="80">
        <v>258</v>
      </c>
      <c r="BM95" s="80">
        <v>5302</v>
      </c>
      <c r="BN95" s="80">
        <v>5500</v>
      </c>
      <c r="BO95" s="80">
        <v>0</v>
      </c>
      <c r="BP95" s="80">
        <v>-274</v>
      </c>
      <c r="BQ95" s="80">
        <v>-214</v>
      </c>
      <c r="BR95" s="80">
        <v>-4</v>
      </c>
      <c r="BS95" s="80">
        <v>-526</v>
      </c>
      <c r="BT95" s="80">
        <v>470</v>
      </c>
      <c r="BU95" s="80">
        <v>-3617</v>
      </c>
      <c r="BV95" s="80">
        <v>1665</v>
      </c>
      <c r="BW95" s="80">
        <v>5282</v>
      </c>
      <c r="BX95" s="81"/>
      <c r="BY95" s="80">
        <v>71520</v>
      </c>
      <c r="BZ95" s="80">
        <v>339</v>
      </c>
      <c r="CA95" s="80">
        <v>139</v>
      </c>
      <c r="CB95" s="80">
        <v>200</v>
      </c>
      <c r="CC95" s="80">
        <v>0</v>
      </c>
      <c r="CD95" s="80">
        <v>53488</v>
      </c>
      <c r="CE95" s="80">
        <v>7353</v>
      </c>
      <c r="CF95" s="80">
        <v>24671</v>
      </c>
      <c r="CG95" s="80">
        <v>15506</v>
      </c>
      <c r="CH95" s="80">
        <v>1158</v>
      </c>
      <c r="CI95" s="80">
        <v>31</v>
      </c>
      <c r="CJ95" s="80">
        <v>31</v>
      </c>
      <c r="CK95" s="80">
        <v>4769</v>
      </c>
      <c r="CL95" s="80">
        <v>17693</v>
      </c>
      <c r="CM95" s="80">
        <v>15198</v>
      </c>
      <c r="CN95" s="80">
        <v>4882</v>
      </c>
      <c r="CO95" s="80">
        <v>10316</v>
      </c>
      <c r="CP95" s="80">
        <v>0</v>
      </c>
      <c r="CQ95" s="80">
        <v>1253</v>
      </c>
      <c r="CR95" s="80">
        <v>0</v>
      </c>
      <c r="CS95" s="80">
        <v>0</v>
      </c>
      <c r="CT95" s="80">
        <v>1253</v>
      </c>
      <c r="CU95" s="80">
        <v>1242</v>
      </c>
      <c r="CV95" s="80">
        <v>95</v>
      </c>
      <c r="CW95" s="80">
        <v>87</v>
      </c>
      <c r="CX95" s="80">
        <v>8</v>
      </c>
      <c r="CY95" s="80">
        <v>0</v>
      </c>
      <c r="CZ95" s="80">
        <v>6252</v>
      </c>
      <c r="DA95" s="80">
        <v>361</v>
      </c>
      <c r="DB95" s="80">
        <v>347</v>
      </c>
      <c r="DC95" s="80">
        <v>0</v>
      </c>
      <c r="DD95" s="80">
        <v>0</v>
      </c>
      <c r="DE95" s="80">
        <v>0</v>
      </c>
      <c r="DF95" s="80">
        <v>14</v>
      </c>
      <c r="DG95" s="80">
        <v>4227</v>
      </c>
      <c r="DH95" s="80">
        <v>0</v>
      </c>
      <c r="DI95" s="80">
        <v>0</v>
      </c>
      <c r="DJ95" s="80">
        <v>0</v>
      </c>
      <c r="DK95" s="80">
        <v>0</v>
      </c>
      <c r="DL95" s="80">
        <v>0</v>
      </c>
      <c r="DM95" s="80">
        <v>4227</v>
      </c>
      <c r="DN95" s="80">
        <v>1959</v>
      </c>
      <c r="DO95" s="80">
        <v>205</v>
      </c>
      <c r="DP95" s="80">
        <v>944</v>
      </c>
      <c r="DQ95" s="80">
        <v>1119</v>
      </c>
      <c r="DR95" s="80">
        <v>28</v>
      </c>
      <c r="DS95" s="80">
        <v>28</v>
      </c>
      <c r="DT95" s="80">
        <v>0</v>
      </c>
      <c r="DU95" s="80">
        <v>0</v>
      </c>
      <c r="DV95" s="80">
        <v>0</v>
      </c>
      <c r="DW95" s="80">
        <v>1636</v>
      </c>
      <c r="DX95" s="80">
        <v>77867</v>
      </c>
      <c r="DY95" s="80">
        <v>34310</v>
      </c>
      <c r="DZ95" s="80">
        <v>39460</v>
      </c>
      <c r="EA95" s="80">
        <v>0</v>
      </c>
      <c r="EB95" s="80">
        <v>93</v>
      </c>
      <c r="EC95" s="80">
        <v>-2513</v>
      </c>
      <c r="ED95" s="80">
        <v>-2730</v>
      </c>
      <c r="EE95" s="80">
        <v>0</v>
      </c>
      <c r="EF95" s="80">
        <v>0</v>
      </c>
      <c r="EG95" s="80">
        <v>0</v>
      </c>
      <c r="EH95" s="80">
        <v>0</v>
      </c>
      <c r="EI95" s="80">
        <v>0</v>
      </c>
      <c r="EJ95" s="80">
        <v>0</v>
      </c>
      <c r="EK95" s="80">
        <v>293</v>
      </c>
      <c r="EL95" s="80">
        <v>41</v>
      </c>
      <c r="EM95" s="80">
        <v>219</v>
      </c>
      <c r="EN95" s="80">
        <v>33</v>
      </c>
      <c r="EO95" s="80">
        <v>43264</v>
      </c>
      <c r="EP95" s="80">
        <v>23232</v>
      </c>
      <c r="EQ95" s="80">
        <v>0</v>
      </c>
      <c r="ER95" s="80">
        <v>21611</v>
      </c>
      <c r="ES95" s="80">
        <v>4899</v>
      </c>
      <c r="ET95" s="80">
        <v>16712</v>
      </c>
      <c r="EU95" s="80">
        <v>0</v>
      </c>
      <c r="EV95" s="80">
        <v>0</v>
      </c>
      <c r="EW95" s="80">
        <v>800</v>
      </c>
      <c r="EX95" s="80">
        <v>0</v>
      </c>
      <c r="EY95" s="80">
        <v>0</v>
      </c>
      <c r="EZ95" s="80">
        <v>0</v>
      </c>
      <c r="FA95" s="80">
        <v>821</v>
      </c>
      <c r="FB95" s="80">
        <v>0</v>
      </c>
      <c r="FC95" s="80">
        <v>0</v>
      </c>
      <c r="FD95" s="80">
        <v>20032</v>
      </c>
      <c r="FE95" s="80">
        <v>0</v>
      </c>
      <c r="FF95" s="80">
        <v>9842</v>
      </c>
      <c r="FG95" s="80">
        <v>828</v>
      </c>
      <c r="FH95" s="80">
        <v>9014</v>
      </c>
      <c r="FI95" s="80">
        <v>0</v>
      </c>
      <c r="FJ95" s="80">
        <v>0</v>
      </c>
      <c r="FK95" s="80">
        <v>400</v>
      </c>
      <c r="FL95" s="80">
        <v>0</v>
      </c>
      <c r="FM95" s="80">
        <v>91</v>
      </c>
      <c r="FN95" s="80">
        <v>4924</v>
      </c>
      <c r="FO95" s="80">
        <v>635</v>
      </c>
      <c r="FP95" s="80">
        <v>4140</v>
      </c>
      <c r="FQ95" s="80">
        <v>77867</v>
      </c>
      <c r="FR95" s="80">
        <v>0</v>
      </c>
      <c r="FS95" s="80">
        <v>7799</v>
      </c>
      <c r="FT95" s="100">
        <v>37271.15053928041</v>
      </c>
      <c r="FU95" s="100"/>
      <c r="FV95" s="100">
        <v>20098</v>
      </c>
      <c r="FW95" s="67">
        <v>2533</v>
      </c>
      <c r="FX95" s="100">
        <f t="shared" si="10"/>
        <v>-27026</v>
      </c>
      <c r="FY95" s="100">
        <f t="shared" si="11"/>
        <v>-52390</v>
      </c>
      <c r="FZ95" s="100">
        <v>38172.333546037153</v>
      </c>
      <c r="GA95" s="67">
        <v>25364</v>
      </c>
      <c r="GB95" s="58">
        <f t="shared" si="8"/>
        <v>5266</v>
      </c>
      <c r="GC95" s="67">
        <v>2627</v>
      </c>
      <c r="GD95" s="100">
        <v>3099</v>
      </c>
      <c r="GE95" s="100">
        <v>753</v>
      </c>
      <c r="GF95" s="58">
        <f t="shared" si="9"/>
        <v>2346</v>
      </c>
      <c r="GG95" s="100">
        <v>-13822.318000000001</v>
      </c>
      <c r="GH95" s="100">
        <v>-338.25780000000015</v>
      </c>
      <c r="GI95" s="100">
        <v>-24940.818437258418</v>
      </c>
      <c r="GJ95" s="67">
        <f t="shared" si="12"/>
        <v>94</v>
      </c>
      <c r="GK95" s="67"/>
      <c r="GM95" s="96"/>
    </row>
    <row r="96" spans="1:195" ht="13.5" customHeight="1" x14ac:dyDescent="0.2">
      <c r="A96" s="74">
        <v>241</v>
      </c>
      <c r="B96" s="75" t="s">
        <v>59</v>
      </c>
      <c r="C96" s="75" t="s">
        <v>59</v>
      </c>
      <c r="D96" s="76"/>
      <c r="E96" s="77" t="s">
        <v>222</v>
      </c>
      <c r="F96" s="78">
        <v>3</v>
      </c>
      <c r="G96" s="79">
        <v>8388</v>
      </c>
      <c r="H96" s="80">
        <v>5897</v>
      </c>
      <c r="I96" s="80">
        <v>919</v>
      </c>
      <c r="J96" s="80">
        <v>2796</v>
      </c>
      <c r="K96" s="80">
        <v>805</v>
      </c>
      <c r="L96" s="80">
        <v>1377</v>
      </c>
      <c r="M96" s="80">
        <v>0</v>
      </c>
      <c r="N96" s="80">
        <v>0</v>
      </c>
      <c r="O96" s="80">
        <v>51825</v>
      </c>
      <c r="P96" s="80">
        <v>23095</v>
      </c>
      <c r="Q96" s="80">
        <v>17613</v>
      </c>
      <c r="R96" s="80">
        <v>5482</v>
      </c>
      <c r="S96" s="80">
        <v>4511</v>
      </c>
      <c r="T96" s="80">
        <v>971</v>
      </c>
      <c r="U96" s="80">
        <v>23173</v>
      </c>
      <c r="V96" s="80">
        <v>2380</v>
      </c>
      <c r="W96" s="80">
        <v>2663</v>
      </c>
      <c r="X96" s="80">
        <v>514</v>
      </c>
      <c r="Y96" s="80">
        <v>-45928</v>
      </c>
      <c r="Z96" s="80">
        <v>34655</v>
      </c>
      <c r="AA96" s="80">
        <v>29972</v>
      </c>
      <c r="AB96" s="80">
        <v>3623</v>
      </c>
      <c r="AC96" s="80">
        <v>1060</v>
      </c>
      <c r="AD96" s="80">
        <v>12791</v>
      </c>
      <c r="AE96" s="80">
        <v>100</v>
      </c>
      <c r="AF96" s="80">
        <v>175</v>
      </c>
      <c r="AG96" s="80">
        <v>217</v>
      </c>
      <c r="AH96" s="80">
        <v>203</v>
      </c>
      <c r="AI96" s="80">
        <v>292</v>
      </c>
      <c r="AJ96" s="80">
        <v>0</v>
      </c>
      <c r="AK96" s="80">
        <v>1618</v>
      </c>
      <c r="AL96" s="80">
        <v>1918</v>
      </c>
      <c r="AM96" s="80">
        <v>1918</v>
      </c>
      <c r="AN96" s="80">
        <v>0</v>
      </c>
      <c r="AO96" s="80">
        <v>0</v>
      </c>
      <c r="AP96" s="80">
        <v>0</v>
      </c>
      <c r="AQ96" s="80">
        <v>0</v>
      </c>
      <c r="AR96" s="80">
        <v>-300</v>
      </c>
      <c r="AS96" s="80">
        <v>0</v>
      </c>
      <c r="AT96" s="80">
        <v>0</v>
      </c>
      <c r="AU96" s="80">
        <v>0</v>
      </c>
      <c r="AV96" s="80">
        <v>-300</v>
      </c>
      <c r="AW96" s="81"/>
      <c r="AX96" s="80">
        <v>1621</v>
      </c>
      <c r="AY96" s="80">
        <v>1618</v>
      </c>
      <c r="AZ96" s="80">
        <v>0</v>
      </c>
      <c r="BA96" s="80">
        <v>3</v>
      </c>
      <c r="BB96" s="80">
        <v>-38</v>
      </c>
      <c r="BC96" s="80">
        <v>918</v>
      </c>
      <c r="BD96" s="80">
        <v>2</v>
      </c>
      <c r="BE96" s="80">
        <v>878</v>
      </c>
      <c r="BF96" s="80">
        <v>1583</v>
      </c>
      <c r="BG96" s="80">
        <v>1627</v>
      </c>
      <c r="BH96" s="80">
        <v>86</v>
      </c>
      <c r="BI96" s="80">
        <v>0</v>
      </c>
      <c r="BJ96" s="80">
        <v>86</v>
      </c>
      <c r="BK96" s="80">
        <v>1599</v>
      </c>
      <c r="BL96" s="80">
        <v>4000</v>
      </c>
      <c r="BM96" s="80">
        <v>2401</v>
      </c>
      <c r="BN96" s="80">
        <v>0</v>
      </c>
      <c r="BO96" s="80">
        <v>0</v>
      </c>
      <c r="BP96" s="80">
        <v>-58</v>
      </c>
      <c r="BQ96" s="80">
        <v>35</v>
      </c>
      <c r="BR96" s="80">
        <v>-2</v>
      </c>
      <c r="BS96" s="80">
        <v>33</v>
      </c>
      <c r="BT96" s="80">
        <v>-124</v>
      </c>
      <c r="BU96" s="80">
        <v>3209</v>
      </c>
      <c r="BV96" s="80">
        <v>4542</v>
      </c>
      <c r="BW96" s="80">
        <v>1333</v>
      </c>
      <c r="BX96" s="81"/>
      <c r="BY96" s="80">
        <v>42821</v>
      </c>
      <c r="BZ96" s="80">
        <v>92</v>
      </c>
      <c r="CA96" s="80">
        <v>0</v>
      </c>
      <c r="CB96" s="80">
        <v>92</v>
      </c>
      <c r="CC96" s="80">
        <v>0</v>
      </c>
      <c r="CD96" s="80">
        <v>32072</v>
      </c>
      <c r="CE96" s="80">
        <v>8982</v>
      </c>
      <c r="CF96" s="80">
        <v>18307</v>
      </c>
      <c r="CG96" s="80">
        <v>4398</v>
      </c>
      <c r="CH96" s="80">
        <v>126</v>
      </c>
      <c r="CI96" s="80">
        <v>0</v>
      </c>
      <c r="CJ96" s="80">
        <v>0</v>
      </c>
      <c r="CK96" s="80">
        <v>259</v>
      </c>
      <c r="CL96" s="80">
        <v>10657</v>
      </c>
      <c r="CM96" s="80">
        <v>5825</v>
      </c>
      <c r="CN96" s="80">
        <v>1901</v>
      </c>
      <c r="CO96" s="80">
        <v>3924</v>
      </c>
      <c r="CP96" s="80">
        <v>0</v>
      </c>
      <c r="CQ96" s="80">
        <v>4826</v>
      </c>
      <c r="CR96" s="80">
        <v>0</v>
      </c>
      <c r="CS96" s="80">
        <v>0</v>
      </c>
      <c r="CT96" s="80">
        <v>4826</v>
      </c>
      <c r="CU96" s="80">
        <v>6</v>
      </c>
      <c r="CV96" s="80">
        <v>5</v>
      </c>
      <c r="CW96" s="80">
        <v>0</v>
      </c>
      <c r="CX96" s="80">
        <v>5</v>
      </c>
      <c r="CY96" s="80">
        <v>0</v>
      </c>
      <c r="CZ96" s="80">
        <v>6670</v>
      </c>
      <c r="DA96" s="80">
        <v>14</v>
      </c>
      <c r="DB96" s="80">
        <v>14</v>
      </c>
      <c r="DC96" s="80">
        <v>0</v>
      </c>
      <c r="DD96" s="80">
        <v>0</v>
      </c>
      <c r="DE96" s="80">
        <v>0</v>
      </c>
      <c r="DF96" s="80">
        <v>0</v>
      </c>
      <c r="DG96" s="80">
        <v>2114</v>
      </c>
      <c r="DH96" s="80">
        <v>116</v>
      </c>
      <c r="DI96" s="80">
        <v>0</v>
      </c>
      <c r="DJ96" s="80">
        <v>0</v>
      </c>
      <c r="DK96" s="80">
        <v>116</v>
      </c>
      <c r="DL96" s="80">
        <v>0</v>
      </c>
      <c r="DM96" s="80">
        <v>1998</v>
      </c>
      <c r="DN96" s="80">
        <v>585</v>
      </c>
      <c r="DO96" s="80">
        <v>54</v>
      </c>
      <c r="DP96" s="80">
        <v>636</v>
      </c>
      <c r="DQ96" s="80">
        <v>723</v>
      </c>
      <c r="DR96" s="80">
        <v>0</v>
      </c>
      <c r="DS96" s="80">
        <v>0</v>
      </c>
      <c r="DT96" s="80">
        <v>0</v>
      </c>
      <c r="DU96" s="80">
        <v>0</v>
      </c>
      <c r="DV96" s="80">
        <v>0</v>
      </c>
      <c r="DW96" s="80">
        <v>4542</v>
      </c>
      <c r="DX96" s="80">
        <v>49496</v>
      </c>
      <c r="DY96" s="80">
        <v>26177</v>
      </c>
      <c r="DZ96" s="80">
        <v>22738</v>
      </c>
      <c r="EA96" s="80">
        <v>0</v>
      </c>
      <c r="EB96" s="80">
        <v>74</v>
      </c>
      <c r="EC96" s="80">
        <v>3665</v>
      </c>
      <c r="ED96" s="80">
        <v>-300</v>
      </c>
      <c r="EE96" s="80">
        <v>0</v>
      </c>
      <c r="EF96" s="80">
        <v>0</v>
      </c>
      <c r="EG96" s="80">
        <v>0</v>
      </c>
      <c r="EH96" s="80">
        <v>0</v>
      </c>
      <c r="EI96" s="80">
        <v>0</v>
      </c>
      <c r="EJ96" s="80">
        <v>0</v>
      </c>
      <c r="EK96" s="80">
        <v>183</v>
      </c>
      <c r="EL96" s="80">
        <v>10</v>
      </c>
      <c r="EM96" s="80">
        <v>20</v>
      </c>
      <c r="EN96" s="80">
        <v>153</v>
      </c>
      <c r="EO96" s="80">
        <v>23136</v>
      </c>
      <c r="EP96" s="80">
        <v>14885</v>
      </c>
      <c r="EQ96" s="80">
        <v>0</v>
      </c>
      <c r="ER96" s="80">
        <v>14213</v>
      </c>
      <c r="ES96" s="80">
        <v>1020</v>
      </c>
      <c r="ET96" s="80">
        <v>13193</v>
      </c>
      <c r="EU96" s="80">
        <v>0</v>
      </c>
      <c r="EV96" s="80">
        <v>0</v>
      </c>
      <c r="EW96" s="80">
        <v>672</v>
      </c>
      <c r="EX96" s="80">
        <v>0</v>
      </c>
      <c r="EY96" s="80">
        <v>0</v>
      </c>
      <c r="EZ96" s="80">
        <v>0</v>
      </c>
      <c r="FA96" s="80">
        <v>0</v>
      </c>
      <c r="FB96" s="80">
        <v>0</v>
      </c>
      <c r="FC96" s="80">
        <v>0</v>
      </c>
      <c r="FD96" s="80">
        <v>8251</v>
      </c>
      <c r="FE96" s="80">
        <v>0</v>
      </c>
      <c r="FF96" s="80">
        <v>2430</v>
      </c>
      <c r="FG96" s="80">
        <v>208</v>
      </c>
      <c r="FH96" s="80">
        <v>2222</v>
      </c>
      <c r="FI96" s="80">
        <v>0</v>
      </c>
      <c r="FJ96" s="80">
        <v>0</v>
      </c>
      <c r="FK96" s="80">
        <v>44</v>
      </c>
      <c r="FL96" s="80">
        <v>0</v>
      </c>
      <c r="FM96" s="80">
        <v>0</v>
      </c>
      <c r="FN96" s="80">
        <v>1758</v>
      </c>
      <c r="FO96" s="80">
        <v>513</v>
      </c>
      <c r="FP96" s="80">
        <v>3506</v>
      </c>
      <c r="FQ96" s="80">
        <v>49496</v>
      </c>
      <c r="FR96" s="80">
        <v>8743</v>
      </c>
      <c r="FS96" s="80">
        <v>1045</v>
      </c>
      <c r="FT96" s="100">
        <v>24371.576648535727</v>
      </c>
      <c r="FU96" s="100"/>
      <c r="FV96" s="100">
        <v>6628</v>
      </c>
      <c r="FW96" s="67">
        <v>1438</v>
      </c>
      <c r="FX96" s="100">
        <f t="shared" si="10"/>
        <v>-33248</v>
      </c>
      <c r="FY96" s="100">
        <f t="shared" si="11"/>
        <v>-44010</v>
      </c>
      <c r="FZ96" s="100">
        <v>27758.098697422025</v>
      </c>
      <c r="GA96" s="67">
        <v>10762</v>
      </c>
      <c r="GB96" s="58">
        <f t="shared" si="8"/>
        <v>4134</v>
      </c>
      <c r="GC96" s="67">
        <v>1870</v>
      </c>
      <c r="GD96" s="100">
        <v>2797</v>
      </c>
      <c r="GE96" s="100">
        <v>769</v>
      </c>
      <c r="GF96" s="58">
        <f t="shared" si="9"/>
        <v>2028</v>
      </c>
      <c r="GG96" s="100">
        <v>-17477.185000000001</v>
      </c>
      <c r="GH96" s="100">
        <v>-232.77630000000005</v>
      </c>
      <c r="GI96" s="100">
        <v>-11000.327052193838</v>
      </c>
      <c r="GJ96" s="67">
        <f t="shared" si="12"/>
        <v>432</v>
      </c>
      <c r="GK96" s="67"/>
      <c r="GM96" s="96"/>
    </row>
    <row r="97" spans="1:195" ht="13.5" customHeight="1" x14ac:dyDescent="0.2">
      <c r="A97" s="74">
        <v>244</v>
      </c>
      <c r="B97" s="75" t="s">
        <v>60</v>
      </c>
      <c r="C97" s="75" t="s">
        <v>60</v>
      </c>
      <c r="D97" s="76"/>
      <c r="E97" s="77" t="s">
        <v>216</v>
      </c>
      <c r="F97" s="78">
        <v>4</v>
      </c>
      <c r="G97" s="79">
        <v>17066</v>
      </c>
      <c r="H97" s="80">
        <v>10682</v>
      </c>
      <c r="I97" s="80">
        <v>2166</v>
      </c>
      <c r="J97" s="80">
        <v>4571</v>
      </c>
      <c r="K97" s="80">
        <v>1665</v>
      </c>
      <c r="L97" s="80">
        <v>2280</v>
      </c>
      <c r="M97" s="80">
        <v>0</v>
      </c>
      <c r="N97" s="80">
        <v>283</v>
      </c>
      <c r="O97" s="80">
        <v>89595</v>
      </c>
      <c r="P97" s="80">
        <v>42495</v>
      </c>
      <c r="Q97" s="80">
        <v>33521</v>
      </c>
      <c r="R97" s="80">
        <v>8974</v>
      </c>
      <c r="S97" s="80">
        <v>7184</v>
      </c>
      <c r="T97" s="80">
        <v>1790</v>
      </c>
      <c r="U97" s="80">
        <v>36184</v>
      </c>
      <c r="V97" s="80">
        <v>4396</v>
      </c>
      <c r="W97" s="80">
        <v>5753</v>
      </c>
      <c r="X97" s="80">
        <v>767</v>
      </c>
      <c r="Y97" s="80">
        <v>-78630</v>
      </c>
      <c r="Z97" s="80">
        <v>63605</v>
      </c>
      <c r="AA97" s="80">
        <v>58387</v>
      </c>
      <c r="AB97" s="80">
        <v>2228</v>
      </c>
      <c r="AC97" s="80">
        <v>2990</v>
      </c>
      <c r="AD97" s="80">
        <v>21421</v>
      </c>
      <c r="AE97" s="80">
        <v>-684</v>
      </c>
      <c r="AF97" s="80">
        <v>0</v>
      </c>
      <c r="AG97" s="80">
        <v>92</v>
      </c>
      <c r="AH97" s="80">
        <v>0</v>
      </c>
      <c r="AI97" s="80">
        <v>760</v>
      </c>
      <c r="AJ97" s="80">
        <v>16</v>
      </c>
      <c r="AK97" s="80">
        <v>5712</v>
      </c>
      <c r="AL97" s="80">
        <v>5078</v>
      </c>
      <c r="AM97" s="80">
        <v>5078</v>
      </c>
      <c r="AN97" s="80">
        <v>0</v>
      </c>
      <c r="AO97" s="80">
        <v>0</v>
      </c>
      <c r="AP97" s="80">
        <v>0</v>
      </c>
      <c r="AQ97" s="80">
        <v>0</v>
      </c>
      <c r="AR97" s="80">
        <v>634</v>
      </c>
      <c r="AS97" s="80">
        <v>842</v>
      </c>
      <c r="AT97" s="80">
        <v>0</v>
      </c>
      <c r="AU97" s="80">
        <v>0</v>
      </c>
      <c r="AV97" s="80">
        <v>1476</v>
      </c>
      <c r="AW97" s="81"/>
      <c r="AX97" s="80">
        <v>4400</v>
      </c>
      <c r="AY97" s="80">
        <v>5712</v>
      </c>
      <c r="AZ97" s="80">
        <v>0</v>
      </c>
      <c r="BA97" s="80">
        <v>-1312</v>
      </c>
      <c r="BB97" s="80">
        <v>-4790</v>
      </c>
      <c r="BC97" s="80">
        <v>7493</v>
      </c>
      <c r="BD97" s="80">
        <v>519</v>
      </c>
      <c r="BE97" s="80">
        <v>2184</v>
      </c>
      <c r="BF97" s="80">
        <v>-390</v>
      </c>
      <c r="BG97" s="80">
        <v>-435</v>
      </c>
      <c r="BH97" s="80">
        <v>240</v>
      </c>
      <c r="BI97" s="80">
        <v>0</v>
      </c>
      <c r="BJ97" s="80">
        <v>240</v>
      </c>
      <c r="BK97" s="80">
        <v>2110</v>
      </c>
      <c r="BL97" s="80">
        <v>6900</v>
      </c>
      <c r="BM97" s="80">
        <v>4790</v>
      </c>
      <c r="BN97" s="80">
        <v>0</v>
      </c>
      <c r="BO97" s="80">
        <v>-767</v>
      </c>
      <c r="BP97" s="80">
        <v>-2018</v>
      </c>
      <c r="BQ97" s="80">
        <v>-15</v>
      </c>
      <c r="BR97" s="80">
        <v>6</v>
      </c>
      <c r="BS97" s="80">
        <v>-342</v>
      </c>
      <c r="BT97" s="80">
        <v>-1667</v>
      </c>
      <c r="BU97" s="80">
        <v>-825</v>
      </c>
      <c r="BV97" s="80">
        <v>7129</v>
      </c>
      <c r="BW97" s="80">
        <v>7954</v>
      </c>
      <c r="BX97" s="81"/>
      <c r="BY97" s="80">
        <v>90269</v>
      </c>
      <c r="BZ97" s="80">
        <v>1236</v>
      </c>
      <c r="CA97" s="80">
        <v>817</v>
      </c>
      <c r="CB97" s="80">
        <v>419</v>
      </c>
      <c r="CC97" s="80">
        <v>0</v>
      </c>
      <c r="CD97" s="80">
        <v>77608</v>
      </c>
      <c r="CE97" s="80">
        <v>30019</v>
      </c>
      <c r="CF97" s="80">
        <v>36167</v>
      </c>
      <c r="CG97" s="80">
        <v>9791</v>
      </c>
      <c r="CH97" s="80">
        <v>1156</v>
      </c>
      <c r="CI97" s="80">
        <v>25</v>
      </c>
      <c r="CJ97" s="80">
        <v>25</v>
      </c>
      <c r="CK97" s="80">
        <v>450</v>
      </c>
      <c r="CL97" s="80">
        <v>11425</v>
      </c>
      <c r="CM97" s="80">
        <v>11297</v>
      </c>
      <c r="CN97" s="80">
        <v>6627</v>
      </c>
      <c r="CO97" s="80">
        <v>4670</v>
      </c>
      <c r="CP97" s="80">
        <v>0</v>
      </c>
      <c r="CQ97" s="80">
        <v>0</v>
      </c>
      <c r="CR97" s="80">
        <v>0</v>
      </c>
      <c r="CS97" s="80">
        <v>0</v>
      </c>
      <c r="CT97" s="80">
        <v>0</v>
      </c>
      <c r="CU97" s="80">
        <v>128</v>
      </c>
      <c r="CV97" s="80">
        <v>5</v>
      </c>
      <c r="CW97" s="80">
        <v>5</v>
      </c>
      <c r="CX97" s="80">
        <v>0</v>
      </c>
      <c r="CY97" s="80">
        <v>0</v>
      </c>
      <c r="CZ97" s="80">
        <v>11447</v>
      </c>
      <c r="DA97" s="80">
        <v>0</v>
      </c>
      <c r="DB97" s="80">
        <v>0</v>
      </c>
      <c r="DC97" s="80">
        <v>0</v>
      </c>
      <c r="DD97" s="80">
        <v>0</v>
      </c>
      <c r="DE97" s="80">
        <v>0</v>
      </c>
      <c r="DF97" s="80">
        <v>0</v>
      </c>
      <c r="DG97" s="80">
        <v>4318</v>
      </c>
      <c r="DH97" s="80">
        <v>726</v>
      </c>
      <c r="DI97" s="80">
        <v>62</v>
      </c>
      <c r="DJ97" s="80">
        <v>13</v>
      </c>
      <c r="DK97" s="80">
        <v>651</v>
      </c>
      <c r="DL97" s="80">
        <v>0</v>
      </c>
      <c r="DM97" s="80">
        <v>3592</v>
      </c>
      <c r="DN97" s="80">
        <v>2039</v>
      </c>
      <c r="DO97" s="80">
        <v>0</v>
      </c>
      <c r="DP97" s="80">
        <v>526</v>
      </c>
      <c r="DQ97" s="80">
        <v>1027</v>
      </c>
      <c r="DR97" s="80">
        <v>0</v>
      </c>
      <c r="DS97" s="80">
        <v>0</v>
      </c>
      <c r="DT97" s="80">
        <v>0</v>
      </c>
      <c r="DU97" s="80">
        <v>0</v>
      </c>
      <c r="DV97" s="80">
        <v>0</v>
      </c>
      <c r="DW97" s="80">
        <v>7129</v>
      </c>
      <c r="DX97" s="80">
        <v>101721</v>
      </c>
      <c r="DY97" s="80">
        <v>42041</v>
      </c>
      <c r="DZ97" s="80">
        <v>35921</v>
      </c>
      <c r="EA97" s="80">
        <v>0</v>
      </c>
      <c r="EB97" s="80">
        <v>0</v>
      </c>
      <c r="EC97" s="80">
        <v>4644</v>
      </c>
      <c r="ED97" s="80">
        <v>1476</v>
      </c>
      <c r="EE97" s="80">
        <v>12862</v>
      </c>
      <c r="EF97" s="80">
        <v>12862</v>
      </c>
      <c r="EG97" s="80">
        <v>0</v>
      </c>
      <c r="EH97" s="80">
        <v>164</v>
      </c>
      <c r="EI97" s="80">
        <v>0</v>
      </c>
      <c r="EJ97" s="80">
        <v>164</v>
      </c>
      <c r="EK97" s="80">
        <v>97</v>
      </c>
      <c r="EL97" s="80">
        <v>1</v>
      </c>
      <c r="EM97" s="80">
        <v>0</v>
      </c>
      <c r="EN97" s="80">
        <v>96</v>
      </c>
      <c r="EO97" s="80">
        <v>46557</v>
      </c>
      <c r="EP97" s="80">
        <v>30310</v>
      </c>
      <c r="EQ97" s="80">
        <v>0</v>
      </c>
      <c r="ER97" s="80">
        <v>27610</v>
      </c>
      <c r="ES97" s="80">
        <v>0</v>
      </c>
      <c r="ET97" s="80">
        <v>27610</v>
      </c>
      <c r="EU97" s="80">
        <v>0</v>
      </c>
      <c r="EV97" s="80">
        <v>0</v>
      </c>
      <c r="EW97" s="80">
        <v>2700</v>
      </c>
      <c r="EX97" s="80">
        <v>0</v>
      </c>
      <c r="EY97" s="80">
        <v>0</v>
      </c>
      <c r="EZ97" s="80">
        <v>0</v>
      </c>
      <c r="FA97" s="80">
        <v>0</v>
      </c>
      <c r="FB97" s="80">
        <v>0</v>
      </c>
      <c r="FC97" s="80">
        <v>0</v>
      </c>
      <c r="FD97" s="80">
        <v>16247</v>
      </c>
      <c r="FE97" s="80">
        <v>0</v>
      </c>
      <c r="FF97" s="80">
        <v>3700</v>
      </c>
      <c r="FG97" s="80">
        <v>0</v>
      </c>
      <c r="FH97" s="80">
        <v>3700</v>
      </c>
      <c r="FI97" s="80">
        <v>0</v>
      </c>
      <c r="FJ97" s="80">
        <v>0</v>
      </c>
      <c r="FK97" s="80">
        <v>1350</v>
      </c>
      <c r="FL97" s="80">
        <v>0</v>
      </c>
      <c r="FM97" s="80">
        <v>303</v>
      </c>
      <c r="FN97" s="80">
        <v>4628</v>
      </c>
      <c r="FO97" s="80">
        <v>747</v>
      </c>
      <c r="FP97" s="80">
        <v>5519</v>
      </c>
      <c r="FQ97" s="80">
        <v>101721</v>
      </c>
      <c r="FR97" s="80">
        <v>10671</v>
      </c>
      <c r="FS97" s="80">
        <v>1048</v>
      </c>
      <c r="FT97" s="100">
        <v>58662.238000415025</v>
      </c>
      <c r="FU97" s="100"/>
      <c r="FV97" s="100">
        <v>20721</v>
      </c>
      <c r="FW97" s="67">
        <v>5002</v>
      </c>
      <c r="FX97" s="100">
        <f t="shared" si="10"/>
        <v>-48662</v>
      </c>
      <c r="FY97" s="100">
        <f t="shared" si="11"/>
        <v>-73552</v>
      </c>
      <c r="FZ97" s="100">
        <v>43472.568090932793</v>
      </c>
      <c r="GA97" s="67">
        <v>24890</v>
      </c>
      <c r="GB97" s="58">
        <f t="shared" si="8"/>
        <v>4169</v>
      </c>
      <c r="GC97" s="67">
        <v>5078</v>
      </c>
      <c r="GD97" s="100">
        <v>4571</v>
      </c>
      <c r="GE97" s="100">
        <v>2543</v>
      </c>
      <c r="GF97" s="58">
        <f t="shared" si="9"/>
        <v>2028</v>
      </c>
      <c r="GG97" s="100">
        <v>-33997.1</v>
      </c>
      <c r="GH97" s="100">
        <v>-854.01325000000054</v>
      </c>
      <c r="GI97" s="100">
        <v>-8121.7133603089042</v>
      </c>
      <c r="GJ97" s="67">
        <f t="shared" si="12"/>
        <v>76</v>
      </c>
      <c r="GK97" s="67"/>
      <c r="GM97" s="96"/>
    </row>
    <row r="98" spans="1:195" ht="13.5" customHeight="1" x14ac:dyDescent="0.2">
      <c r="A98" s="74">
        <v>245</v>
      </c>
      <c r="B98" s="75" t="s">
        <v>261</v>
      </c>
      <c r="C98" s="82" t="s">
        <v>261</v>
      </c>
      <c r="D98" s="76"/>
      <c r="E98" s="77" t="s">
        <v>218</v>
      </c>
      <c r="F98" s="78">
        <v>5</v>
      </c>
      <c r="G98" s="79">
        <v>35293</v>
      </c>
      <c r="H98" s="80">
        <v>40152</v>
      </c>
      <c r="I98" s="80">
        <v>13618</v>
      </c>
      <c r="J98" s="80">
        <v>9924</v>
      </c>
      <c r="K98" s="80">
        <v>6128</v>
      </c>
      <c r="L98" s="80">
        <v>10482</v>
      </c>
      <c r="M98" s="80">
        <v>0</v>
      </c>
      <c r="N98" s="80">
        <v>226</v>
      </c>
      <c r="O98" s="80">
        <v>195286</v>
      </c>
      <c r="P98" s="80">
        <v>77527</v>
      </c>
      <c r="Q98" s="80">
        <v>58872</v>
      </c>
      <c r="R98" s="80">
        <v>18655</v>
      </c>
      <c r="S98" s="80">
        <v>15488</v>
      </c>
      <c r="T98" s="80">
        <v>3167</v>
      </c>
      <c r="U98" s="80">
        <v>86775</v>
      </c>
      <c r="V98" s="80">
        <v>9873</v>
      </c>
      <c r="W98" s="80">
        <v>16545</v>
      </c>
      <c r="X98" s="80">
        <v>4566</v>
      </c>
      <c r="Y98" s="80">
        <v>-154908</v>
      </c>
      <c r="Z98" s="80">
        <v>152164</v>
      </c>
      <c r="AA98" s="80">
        <v>132253</v>
      </c>
      <c r="AB98" s="80">
        <v>10198</v>
      </c>
      <c r="AC98" s="80">
        <v>9713</v>
      </c>
      <c r="AD98" s="80">
        <v>20222</v>
      </c>
      <c r="AE98" s="80">
        <v>1235</v>
      </c>
      <c r="AF98" s="80">
        <v>107</v>
      </c>
      <c r="AG98" s="80">
        <v>1511</v>
      </c>
      <c r="AH98" s="80">
        <v>674</v>
      </c>
      <c r="AI98" s="80">
        <v>330</v>
      </c>
      <c r="AJ98" s="80">
        <v>53</v>
      </c>
      <c r="AK98" s="80">
        <v>18713</v>
      </c>
      <c r="AL98" s="80">
        <v>11137</v>
      </c>
      <c r="AM98" s="80">
        <v>11137</v>
      </c>
      <c r="AN98" s="80">
        <v>0</v>
      </c>
      <c r="AO98" s="80">
        <v>7001</v>
      </c>
      <c r="AP98" s="80">
        <v>7001</v>
      </c>
      <c r="AQ98" s="80">
        <v>0</v>
      </c>
      <c r="AR98" s="80">
        <v>14577</v>
      </c>
      <c r="AS98" s="80">
        <v>0</v>
      </c>
      <c r="AT98" s="80">
        <v>0</v>
      </c>
      <c r="AU98" s="80">
        <v>1</v>
      </c>
      <c r="AV98" s="80">
        <v>14578</v>
      </c>
      <c r="AW98" s="81"/>
      <c r="AX98" s="80">
        <v>21114</v>
      </c>
      <c r="AY98" s="80">
        <v>18713</v>
      </c>
      <c r="AZ98" s="80">
        <v>7001</v>
      </c>
      <c r="BA98" s="80">
        <v>-4600</v>
      </c>
      <c r="BB98" s="80">
        <v>-20069</v>
      </c>
      <c r="BC98" s="80">
        <v>25282</v>
      </c>
      <c r="BD98" s="80">
        <v>28</v>
      </c>
      <c r="BE98" s="80">
        <v>5185</v>
      </c>
      <c r="BF98" s="80">
        <v>1045</v>
      </c>
      <c r="BG98" s="80">
        <v>-93</v>
      </c>
      <c r="BH98" s="80">
        <v>0</v>
      </c>
      <c r="BI98" s="80">
        <v>0</v>
      </c>
      <c r="BJ98" s="80">
        <v>0</v>
      </c>
      <c r="BK98" s="80">
        <v>-420</v>
      </c>
      <c r="BL98" s="80">
        <v>7000</v>
      </c>
      <c r="BM98" s="80">
        <v>8920</v>
      </c>
      <c r="BN98" s="80">
        <v>1500</v>
      </c>
      <c r="BO98" s="80">
        <v>0</v>
      </c>
      <c r="BP98" s="80">
        <v>327</v>
      </c>
      <c r="BQ98" s="80">
        <v>-6</v>
      </c>
      <c r="BR98" s="80">
        <v>-10</v>
      </c>
      <c r="BS98" s="80">
        <v>340</v>
      </c>
      <c r="BT98" s="80">
        <v>3</v>
      </c>
      <c r="BU98" s="80">
        <v>953</v>
      </c>
      <c r="BV98" s="80">
        <v>4783</v>
      </c>
      <c r="BW98" s="80">
        <v>3830</v>
      </c>
      <c r="BX98" s="81"/>
      <c r="BY98" s="80">
        <v>309566</v>
      </c>
      <c r="BZ98" s="80">
        <v>323</v>
      </c>
      <c r="CA98" s="80">
        <v>208</v>
      </c>
      <c r="CB98" s="80">
        <v>115</v>
      </c>
      <c r="CC98" s="80">
        <v>0</v>
      </c>
      <c r="CD98" s="80">
        <v>241433</v>
      </c>
      <c r="CE98" s="80">
        <v>35402</v>
      </c>
      <c r="CF98" s="80">
        <v>90559</v>
      </c>
      <c r="CG98" s="80">
        <v>106085</v>
      </c>
      <c r="CH98" s="80">
        <v>2221</v>
      </c>
      <c r="CI98" s="80">
        <v>617</v>
      </c>
      <c r="CJ98" s="80">
        <v>617</v>
      </c>
      <c r="CK98" s="80">
        <v>6549</v>
      </c>
      <c r="CL98" s="80">
        <v>67810</v>
      </c>
      <c r="CM98" s="80">
        <v>61820</v>
      </c>
      <c r="CN98" s="80">
        <v>25758</v>
      </c>
      <c r="CO98" s="80">
        <v>36062</v>
      </c>
      <c r="CP98" s="80">
        <v>0</v>
      </c>
      <c r="CQ98" s="80">
        <v>5990</v>
      </c>
      <c r="CR98" s="80">
        <v>0</v>
      </c>
      <c r="CS98" s="80">
        <v>0</v>
      </c>
      <c r="CT98" s="80">
        <v>5990</v>
      </c>
      <c r="CU98" s="80">
        <v>0</v>
      </c>
      <c r="CV98" s="80">
        <v>802</v>
      </c>
      <c r="CW98" s="80">
        <v>2</v>
      </c>
      <c r="CX98" s="80">
        <v>800</v>
      </c>
      <c r="CY98" s="80">
        <v>0</v>
      </c>
      <c r="CZ98" s="80">
        <v>11165</v>
      </c>
      <c r="DA98" s="80">
        <v>125</v>
      </c>
      <c r="DB98" s="80">
        <v>125</v>
      </c>
      <c r="DC98" s="80">
        <v>0</v>
      </c>
      <c r="DD98" s="80">
        <v>0</v>
      </c>
      <c r="DE98" s="80">
        <v>0</v>
      </c>
      <c r="DF98" s="80">
        <v>0</v>
      </c>
      <c r="DG98" s="80">
        <v>6257</v>
      </c>
      <c r="DH98" s="80">
        <v>0</v>
      </c>
      <c r="DI98" s="80">
        <v>0</v>
      </c>
      <c r="DJ98" s="80">
        <v>0</v>
      </c>
      <c r="DK98" s="80">
        <v>0</v>
      </c>
      <c r="DL98" s="80">
        <v>0</v>
      </c>
      <c r="DM98" s="80">
        <v>6257</v>
      </c>
      <c r="DN98" s="80">
        <v>3984</v>
      </c>
      <c r="DO98" s="80">
        <v>0</v>
      </c>
      <c r="DP98" s="80">
        <v>1256</v>
      </c>
      <c r="DQ98" s="80">
        <v>1017</v>
      </c>
      <c r="DR98" s="80">
        <v>1646</v>
      </c>
      <c r="DS98" s="80">
        <v>1646</v>
      </c>
      <c r="DT98" s="80">
        <v>0</v>
      </c>
      <c r="DU98" s="80">
        <v>0</v>
      </c>
      <c r="DV98" s="80">
        <v>0</v>
      </c>
      <c r="DW98" s="80">
        <v>3137</v>
      </c>
      <c r="DX98" s="80">
        <v>321533</v>
      </c>
      <c r="DY98" s="80">
        <v>253936</v>
      </c>
      <c r="DZ98" s="80">
        <v>136996</v>
      </c>
      <c r="EA98" s="80">
        <v>0</v>
      </c>
      <c r="EB98" s="80">
        <v>235</v>
      </c>
      <c r="EC98" s="80">
        <v>102127</v>
      </c>
      <c r="ED98" s="80">
        <v>14578</v>
      </c>
      <c r="EE98" s="80">
        <v>0</v>
      </c>
      <c r="EF98" s="80">
        <v>0</v>
      </c>
      <c r="EG98" s="80">
        <v>0</v>
      </c>
      <c r="EH98" s="80">
        <v>218</v>
      </c>
      <c r="EI98" s="80">
        <v>128</v>
      </c>
      <c r="EJ98" s="80">
        <v>90</v>
      </c>
      <c r="EK98" s="80">
        <v>801</v>
      </c>
      <c r="EL98" s="80">
        <v>0</v>
      </c>
      <c r="EM98" s="80">
        <v>789</v>
      </c>
      <c r="EN98" s="80">
        <v>12</v>
      </c>
      <c r="EO98" s="80">
        <v>66580</v>
      </c>
      <c r="EP98" s="80">
        <v>19508</v>
      </c>
      <c r="EQ98" s="80">
        <v>0</v>
      </c>
      <c r="ER98" s="80">
        <v>17000</v>
      </c>
      <c r="ES98" s="80">
        <v>5250</v>
      </c>
      <c r="ET98" s="80">
        <v>11750</v>
      </c>
      <c r="EU98" s="80">
        <v>0</v>
      </c>
      <c r="EV98" s="80">
        <v>0</v>
      </c>
      <c r="EW98" s="80">
        <v>0</v>
      </c>
      <c r="EX98" s="80">
        <v>0</v>
      </c>
      <c r="EY98" s="80">
        <v>0</v>
      </c>
      <c r="EZ98" s="80">
        <v>0</v>
      </c>
      <c r="FA98" s="80">
        <v>1883</v>
      </c>
      <c r="FB98" s="80">
        <v>0</v>
      </c>
      <c r="FC98" s="80">
        <v>625</v>
      </c>
      <c r="FD98" s="80">
        <v>47072</v>
      </c>
      <c r="FE98" s="80">
        <v>0</v>
      </c>
      <c r="FF98" s="80">
        <v>25387</v>
      </c>
      <c r="FG98" s="80">
        <v>14500</v>
      </c>
      <c r="FH98" s="80">
        <v>10887</v>
      </c>
      <c r="FI98" s="80">
        <v>0</v>
      </c>
      <c r="FJ98" s="80">
        <v>0</v>
      </c>
      <c r="FK98" s="80">
        <v>0</v>
      </c>
      <c r="FL98" s="80">
        <v>0</v>
      </c>
      <c r="FM98" s="80">
        <v>275</v>
      </c>
      <c r="FN98" s="80">
        <v>8539</v>
      </c>
      <c r="FO98" s="80">
        <v>1662</v>
      </c>
      <c r="FP98" s="80">
        <v>11209</v>
      </c>
      <c r="FQ98" s="80">
        <v>321535</v>
      </c>
      <c r="FR98" s="80">
        <v>100763</v>
      </c>
      <c r="FS98" s="80">
        <v>2839</v>
      </c>
      <c r="FT98" s="100">
        <v>114432.0458534372</v>
      </c>
      <c r="FU98" s="100"/>
      <c r="FV98" s="100">
        <v>52968</v>
      </c>
      <c r="FW98" s="67">
        <v>10321</v>
      </c>
      <c r="FX98" s="100">
        <f t="shared" si="10"/>
        <v>-78187</v>
      </c>
      <c r="FY98" s="100">
        <f t="shared" si="11"/>
        <v>-143771</v>
      </c>
      <c r="FZ98" s="100">
        <v>97687.420290542126</v>
      </c>
      <c r="GA98" s="67">
        <v>65584</v>
      </c>
      <c r="GB98" s="58">
        <f t="shared" si="8"/>
        <v>12616</v>
      </c>
      <c r="GC98" s="67">
        <v>11138</v>
      </c>
      <c r="GD98" s="100">
        <v>9951</v>
      </c>
      <c r="GE98" s="100">
        <v>4508</v>
      </c>
      <c r="GF98" s="58">
        <f t="shared" si="9"/>
        <v>5443</v>
      </c>
      <c r="GG98" s="100">
        <v>-84981.84</v>
      </c>
      <c r="GH98" s="100">
        <v>-3304.3288500000017</v>
      </c>
      <c r="GI98" s="100">
        <v>-10059.07270341414</v>
      </c>
      <c r="GJ98" s="67">
        <f t="shared" si="12"/>
        <v>817</v>
      </c>
      <c r="GK98" s="67"/>
      <c r="GM98" s="96"/>
    </row>
    <row r="99" spans="1:195" ht="13.5" customHeight="1" x14ac:dyDescent="0.2">
      <c r="A99" s="74">
        <v>249</v>
      </c>
      <c r="B99" s="75" t="s">
        <v>61</v>
      </c>
      <c r="C99" s="75" t="s">
        <v>61</v>
      </c>
      <c r="D99" s="76"/>
      <c r="E99" s="77" t="s">
        <v>231</v>
      </c>
      <c r="F99" s="78">
        <v>4</v>
      </c>
      <c r="G99" s="79">
        <v>10117</v>
      </c>
      <c r="H99" s="80">
        <v>18256</v>
      </c>
      <c r="I99" s="80">
        <v>7732</v>
      </c>
      <c r="J99" s="80">
        <v>4647</v>
      </c>
      <c r="K99" s="80">
        <v>1395</v>
      </c>
      <c r="L99" s="80">
        <v>4482</v>
      </c>
      <c r="M99" s="80">
        <v>0</v>
      </c>
      <c r="N99" s="80">
        <v>0</v>
      </c>
      <c r="O99" s="80">
        <v>76142</v>
      </c>
      <c r="P99" s="80">
        <v>32823</v>
      </c>
      <c r="Q99" s="80">
        <v>24591</v>
      </c>
      <c r="R99" s="80">
        <v>8232</v>
      </c>
      <c r="S99" s="80">
        <v>6746</v>
      </c>
      <c r="T99" s="80">
        <v>1486</v>
      </c>
      <c r="U99" s="80">
        <v>33198</v>
      </c>
      <c r="V99" s="80">
        <v>5393</v>
      </c>
      <c r="W99" s="80">
        <v>3725</v>
      </c>
      <c r="X99" s="80">
        <v>1003</v>
      </c>
      <c r="Y99" s="80">
        <v>-57886</v>
      </c>
      <c r="Z99" s="80">
        <v>34378</v>
      </c>
      <c r="AA99" s="80">
        <v>29390</v>
      </c>
      <c r="AB99" s="80">
        <v>2447</v>
      </c>
      <c r="AC99" s="80">
        <v>2541</v>
      </c>
      <c r="AD99" s="80">
        <v>27169</v>
      </c>
      <c r="AE99" s="80">
        <v>302</v>
      </c>
      <c r="AF99" s="80">
        <v>28</v>
      </c>
      <c r="AG99" s="80">
        <v>352</v>
      </c>
      <c r="AH99" s="80">
        <v>253</v>
      </c>
      <c r="AI99" s="80">
        <v>73</v>
      </c>
      <c r="AJ99" s="80">
        <v>5</v>
      </c>
      <c r="AK99" s="80">
        <v>3963</v>
      </c>
      <c r="AL99" s="80">
        <v>4119</v>
      </c>
      <c r="AM99" s="80">
        <v>3977</v>
      </c>
      <c r="AN99" s="80">
        <v>142</v>
      </c>
      <c r="AO99" s="80">
        <v>0</v>
      </c>
      <c r="AP99" s="80">
        <v>0</v>
      </c>
      <c r="AQ99" s="80">
        <v>0</v>
      </c>
      <c r="AR99" s="80">
        <v>-156</v>
      </c>
      <c r="AS99" s="80">
        <v>5</v>
      </c>
      <c r="AT99" s="80">
        <v>0</v>
      </c>
      <c r="AU99" s="80">
        <v>0</v>
      </c>
      <c r="AV99" s="80">
        <v>-151</v>
      </c>
      <c r="AW99" s="81"/>
      <c r="AX99" s="80">
        <v>3749</v>
      </c>
      <c r="AY99" s="80">
        <v>3963</v>
      </c>
      <c r="AZ99" s="80">
        <v>0</v>
      </c>
      <c r="BA99" s="80">
        <v>-214</v>
      </c>
      <c r="BB99" s="80">
        <v>-16100</v>
      </c>
      <c r="BC99" s="80">
        <v>18040</v>
      </c>
      <c r="BD99" s="80">
        <v>1679</v>
      </c>
      <c r="BE99" s="80">
        <v>261</v>
      </c>
      <c r="BF99" s="80">
        <v>-12351</v>
      </c>
      <c r="BG99" s="80">
        <v>12409</v>
      </c>
      <c r="BH99" s="80">
        <v>0</v>
      </c>
      <c r="BI99" s="80">
        <v>0</v>
      </c>
      <c r="BJ99" s="80">
        <v>0</v>
      </c>
      <c r="BK99" s="80">
        <v>12544</v>
      </c>
      <c r="BL99" s="80">
        <v>1206</v>
      </c>
      <c r="BM99" s="80">
        <v>1962</v>
      </c>
      <c r="BN99" s="80">
        <v>13300</v>
      </c>
      <c r="BO99" s="80">
        <v>0</v>
      </c>
      <c r="BP99" s="80">
        <v>-135</v>
      </c>
      <c r="BQ99" s="80">
        <v>12</v>
      </c>
      <c r="BR99" s="80">
        <v>17</v>
      </c>
      <c r="BS99" s="80">
        <v>-737</v>
      </c>
      <c r="BT99" s="80">
        <v>573</v>
      </c>
      <c r="BU99" s="80">
        <v>57</v>
      </c>
      <c r="BV99" s="80">
        <v>1027</v>
      </c>
      <c r="BW99" s="80">
        <v>970</v>
      </c>
      <c r="BX99" s="81"/>
      <c r="BY99" s="80">
        <v>102541</v>
      </c>
      <c r="BZ99" s="80">
        <v>989</v>
      </c>
      <c r="CA99" s="80">
        <v>106</v>
      </c>
      <c r="CB99" s="80">
        <v>883</v>
      </c>
      <c r="CC99" s="80">
        <v>0</v>
      </c>
      <c r="CD99" s="80">
        <v>89522</v>
      </c>
      <c r="CE99" s="80">
        <v>7549</v>
      </c>
      <c r="CF99" s="80">
        <v>55575</v>
      </c>
      <c r="CG99" s="80">
        <v>17407</v>
      </c>
      <c r="CH99" s="80">
        <v>2959</v>
      </c>
      <c r="CI99" s="80">
        <v>106</v>
      </c>
      <c r="CJ99" s="80">
        <v>106</v>
      </c>
      <c r="CK99" s="80">
        <v>5926</v>
      </c>
      <c r="CL99" s="80">
        <v>12030</v>
      </c>
      <c r="CM99" s="80">
        <v>11718</v>
      </c>
      <c r="CN99" s="80">
        <v>3459</v>
      </c>
      <c r="CO99" s="80">
        <v>8259</v>
      </c>
      <c r="CP99" s="80">
        <v>0</v>
      </c>
      <c r="CQ99" s="80">
        <v>0</v>
      </c>
      <c r="CR99" s="80">
        <v>0</v>
      </c>
      <c r="CS99" s="80">
        <v>0</v>
      </c>
      <c r="CT99" s="80">
        <v>0</v>
      </c>
      <c r="CU99" s="80">
        <v>312</v>
      </c>
      <c r="CV99" s="80">
        <v>51</v>
      </c>
      <c r="CW99" s="80">
        <v>1</v>
      </c>
      <c r="CX99" s="80">
        <v>50</v>
      </c>
      <c r="CY99" s="80">
        <v>0</v>
      </c>
      <c r="CZ99" s="80">
        <v>4672</v>
      </c>
      <c r="DA99" s="80">
        <v>80</v>
      </c>
      <c r="DB99" s="80">
        <v>45</v>
      </c>
      <c r="DC99" s="80">
        <v>0</v>
      </c>
      <c r="DD99" s="80">
        <v>30</v>
      </c>
      <c r="DE99" s="80">
        <v>0</v>
      </c>
      <c r="DF99" s="80">
        <v>5</v>
      </c>
      <c r="DG99" s="80">
        <v>3566</v>
      </c>
      <c r="DH99" s="80">
        <v>134</v>
      </c>
      <c r="DI99" s="80">
        <v>0</v>
      </c>
      <c r="DJ99" s="80">
        <v>128</v>
      </c>
      <c r="DK99" s="80">
        <v>0</v>
      </c>
      <c r="DL99" s="80">
        <v>6</v>
      </c>
      <c r="DM99" s="80">
        <v>3432</v>
      </c>
      <c r="DN99" s="80">
        <v>1263</v>
      </c>
      <c r="DO99" s="80">
        <v>305</v>
      </c>
      <c r="DP99" s="80">
        <v>633</v>
      </c>
      <c r="DQ99" s="80">
        <v>1231</v>
      </c>
      <c r="DR99" s="80">
        <v>93</v>
      </c>
      <c r="DS99" s="80">
        <v>0</v>
      </c>
      <c r="DT99" s="80">
        <v>93</v>
      </c>
      <c r="DU99" s="80">
        <v>0</v>
      </c>
      <c r="DV99" s="80">
        <v>0</v>
      </c>
      <c r="DW99" s="80">
        <v>933</v>
      </c>
      <c r="DX99" s="80">
        <v>107264</v>
      </c>
      <c r="DY99" s="80">
        <v>45467</v>
      </c>
      <c r="DZ99" s="80">
        <v>37446</v>
      </c>
      <c r="EA99" s="80">
        <v>0</v>
      </c>
      <c r="EB99" s="80">
        <v>0</v>
      </c>
      <c r="EC99" s="80">
        <v>8172</v>
      </c>
      <c r="ED99" s="80">
        <v>-151</v>
      </c>
      <c r="EE99" s="80">
        <v>78</v>
      </c>
      <c r="EF99" s="80">
        <v>78</v>
      </c>
      <c r="EG99" s="80">
        <v>0</v>
      </c>
      <c r="EH99" s="80">
        <v>5</v>
      </c>
      <c r="EI99" s="80">
        <v>0</v>
      </c>
      <c r="EJ99" s="80">
        <v>5</v>
      </c>
      <c r="EK99" s="80">
        <v>261</v>
      </c>
      <c r="EL99" s="80">
        <v>1</v>
      </c>
      <c r="EM99" s="80">
        <v>259</v>
      </c>
      <c r="EN99" s="80">
        <v>1</v>
      </c>
      <c r="EO99" s="80">
        <v>61454</v>
      </c>
      <c r="EP99" s="80">
        <v>9903</v>
      </c>
      <c r="EQ99" s="80">
        <v>0</v>
      </c>
      <c r="ER99" s="80">
        <v>7187</v>
      </c>
      <c r="ES99" s="80">
        <v>0</v>
      </c>
      <c r="ET99" s="80">
        <v>7187</v>
      </c>
      <c r="EU99" s="80">
        <v>0</v>
      </c>
      <c r="EV99" s="80">
        <v>0</v>
      </c>
      <c r="EW99" s="80">
        <v>0</v>
      </c>
      <c r="EX99" s="80">
        <v>500</v>
      </c>
      <c r="EY99" s="80">
        <v>330</v>
      </c>
      <c r="EZ99" s="80">
        <v>0</v>
      </c>
      <c r="FA99" s="80">
        <v>1886</v>
      </c>
      <c r="FB99" s="80">
        <v>0</v>
      </c>
      <c r="FC99" s="80">
        <v>0</v>
      </c>
      <c r="FD99" s="80">
        <v>51551</v>
      </c>
      <c r="FE99" s="80">
        <v>0</v>
      </c>
      <c r="FF99" s="80">
        <v>39939</v>
      </c>
      <c r="FG99" s="80">
        <v>2</v>
      </c>
      <c r="FH99" s="80">
        <v>39937</v>
      </c>
      <c r="FI99" s="80">
        <v>0</v>
      </c>
      <c r="FJ99" s="80">
        <v>0</v>
      </c>
      <c r="FK99" s="80">
        <v>0</v>
      </c>
      <c r="FL99" s="80">
        <v>0</v>
      </c>
      <c r="FM99" s="80">
        <v>79</v>
      </c>
      <c r="FN99" s="80">
        <v>5416</v>
      </c>
      <c r="FO99" s="80">
        <v>539</v>
      </c>
      <c r="FP99" s="80">
        <v>5578</v>
      </c>
      <c r="FQ99" s="80">
        <v>107265</v>
      </c>
      <c r="FR99" s="80">
        <v>29927</v>
      </c>
      <c r="FS99" s="80">
        <v>1058</v>
      </c>
      <c r="FT99" s="100">
        <v>41670.951083394066</v>
      </c>
      <c r="FU99" s="100"/>
      <c r="FV99" s="100">
        <v>21506</v>
      </c>
      <c r="FW99" s="67">
        <v>4065</v>
      </c>
      <c r="FX99" s="100">
        <f t="shared" si="10"/>
        <v>-27343</v>
      </c>
      <c r="FY99" s="100">
        <f t="shared" si="11"/>
        <v>-53767</v>
      </c>
      <c r="FZ99" s="100">
        <v>36876.440435076751</v>
      </c>
      <c r="GA99" s="67">
        <v>26424</v>
      </c>
      <c r="GB99" s="58">
        <f t="shared" si="8"/>
        <v>4918</v>
      </c>
      <c r="GC99" s="67">
        <v>4119</v>
      </c>
      <c r="GD99" s="100">
        <v>4602</v>
      </c>
      <c r="GE99" s="100">
        <v>1550</v>
      </c>
      <c r="GF99" s="58">
        <f t="shared" si="9"/>
        <v>3052</v>
      </c>
      <c r="GG99" s="100">
        <v>-17358.918000000001</v>
      </c>
      <c r="GH99" s="100">
        <v>-735.4141500000004</v>
      </c>
      <c r="GI99" s="100">
        <v>-18980.011184038314</v>
      </c>
      <c r="GJ99" s="67">
        <f t="shared" si="12"/>
        <v>54</v>
      </c>
      <c r="GK99" s="67"/>
      <c r="GM99" s="96"/>
    </row>
    <row r="100" spans="1:195" s="83" customFormat="1" ht="13.5" customHeight="1" x14ac:dyDescent="0.2">
      <c r="A100" s="74">
        <v>250</v>
      </c>
      <c r="B100" s="75" t="s">
        <v>62</v>
      </c>
      <c r="C100" s="75" t="s">
        <v>62</v>
      </c>
      <c r="D100" s="76"/>
      <c r="E100" s="77" t="s">
        <v>214</v>
      </c>
      <c r="F100" s="78">
        <v>2</v>
      </c>
      <c r="G100" s="79">
        <v>2038</v>
      </c>
      <c r="H100" s="80">
        <v>1602</v>
      </c>
      <c r="I100" s="80">
        <v>434</v>
      </c>
      <c r="J100" s="80">
        <v>429</v>
      </c>
      <c r="K100" s="80">
        <v>108</v>
      </c>
      <c r="L100" s="80">
        <v>631</v>
      </c>
      <c r="M100" s="80">
        <v>0</v>
      </c>
      <c r="N100" s="80">
        <v>0</v>
      </c>
      <c r="O100" s="80">
        <v>13953</v>
      </c>
      <c r="P100" s="80">
        <v>4342</v>
      </c>
      <c r="Q100" s="80">
        <v>3166</v>
      </c>
      <c r="R100" s="80">
        <v>1176</v>
      </c>
      <c r="S100" s="80">
        <v>1040</v>
      </c>
      <c r="T100" s="80">
        <v>136</v>
      </c>
      <c r="U100" s="80">
        <v>8359</v>
      </c>
      <c r="V100" s="80">
        <v>681</v>
      </c>
      <c r="W100" s="80">
        <v>430</v>
      </c>
      <c r="X100" s="80">
        <v>141</v>
      </c>
      <c r="Y100" s="80">
        <v>-12351</v>
      </c>
      <c r="Z100" s="80">
        <v>6196</v>
      </c>
      <c r="AA100" s="80">
        <v>5116</v>
      </c>
      <c r="AB100" s="80">
        <v>572</v>
      </c>
      <c r="AC100" s="80">
        <v>508</v>
      </c>
      <c r="AD100" s="80">
        <v>6103</v>
      </c>
      <c r="AE100" s="80">
        <v>-71</v>
      </c>
      <c r="AF100" s="80">
        <v>4</v>
      </c>
      <c r="AG100" s="80">
        <v>47</v>
      </c>
      <c r="AH100" s="80">
        <v>15</v>
      </c>
      <c r="AI100" s="80">
        <v>122</v>
      </c>
      <c r="AJ100" s="80">
        <v>0</v>
      </c>
      <c r="AK100" s="80">
        <v>-123</v>
      </c>
      <c r="AL100" s="80">
        <v>807</v>
      </c>
      <c r="AM100" s="80">
        <v>807</v>
      </c>
      <c r="AN100" s="80">
        <v>0</v>
      </c>
      <c r="AO100" s="80">
        <v>0</v>
      </c>
      <c r="AP100" s="80">
        <v>0</v>
      </c>
      <c r="AQ100" s="80">
        <v>0</v>
      </c>
      <c r="AR100" s="80">
        <v>-930</v>
      </c>
      <c r="AS100" s="80">
        <v>109</v>
      </c>
      <c r="AT100" s="80">
        <v>0</v>
      </c>
      <c r="AU100" s="80">
        <v>0</v>
      </c>
      <c r="AV100" s="80">
        <v>-821</v>
      </c>
      <c r="AW100" s="81"/>
      <c r="AX100" s="80">
        <v>-107</v>
      </c>
      <c r="AY100" s="80">
        <v>-123</v>
      </c>
      <c r="AZ100" s="80">
        <v>0</v>
      </c>
      <c r="BA100" s="80">
        <v>16</v>
      </c>
      <c r="BB100" s="80">
        <v>-557</v>
      </c>
      <c r="BC100" s="80">
        <v>625</v>
      </c>
      <c r="BD100" s="80">
        <v>0</v>
      </c>
      <c r="BE100" s="80">
        <v>68</v>
      </c>
      <c r="BF100" s="80">
        <v>-664</v>
      </c>
      <c r="BG100" s="80">
        <v>1018</v>
      </c>
      <c r="BH100" s="80">
        <v>2</v>
      </c>
      <c r="BI100" s="80">
        <v>7</v>
      </c>
      <c r="BJ100" s="80">
        <v>9</v>
      </c>
      <c r="BK100" s="80">
        <v>2185</v>
      </c>
      <c r="BL100" s="80">
        <v>2800</v>
      </c>
      <c r="BM100" s="80">
        <v>615</v>
      </c>
      <c r="BN100" s="80">
        <v>0</v>
      </c>
      <c r="BO100" s="80">
        <v>0</v>
      </c>
      <c r="BP100" s="80">
        <v>-1169</v>
      </c>
      <c r="BQ100" s="80">
        <v>5</v>
      </c>
      <c r="BR100" s="80">
        <v>0</v>
      </c>
      <c r="BS100" s="80">
        <v>-195</v>
      </c>
      <c r="BT100" s="80">
        <v>-979</v>
      </c>
      <c r="BU100" s="80">
        <v>354</v>
      </c>
      <c r="BV100" s="80">
        <v>1435</v>
      </c>
      <c r="BW100" s="80">
        <v>1081</v>
      </c>
      <c r="BX100" s="81"/>
      <c r="BY100" s="80">
        <v>14267</v>
      </c>
      <c r="BZ100" s="80">
        <v>160</v>
      </c>
      <c r="CA100" s="80">
        <v>150</v>
      </c>
      <c r="CB100" s="80">
        <v>10</v>
      </c>
      <c r="CC100" s="80">
        <v>0</v>
      </c>
      <c r="CD100" s="80">
        <v>11754</v>
      </c>
      <c r="CE100" s="80">
        <v>1213</v>
      </c>
      <c r="CF100" s="80">
        <v>7811</v>
      </c>
      <c r="CG100" s="80">
        <v>2377</v>
      </c>
      <c r="CH100" s="80">
        <v>330</v>
      </c>
      <c r="CI100" s="80">
        <v>0</v>
      </c>
      <c r="CJ100" s="80">
        <v>0</v>
      </c>
      <c r="CK100" s="80">
        <v>23</v>
      </c>
      <c r="CL100" s="80">
        <v>2353</v>
      </c>
      <c r="CM100" s="80">
        <v>2211</v>
      </c>
      <c r="CN100" s="80">
        <v>1283</v>
      </c>
      <c r="CO100" s="80">
        <v>928</v>
      </c>
      <c r="CP100" s="80">
        <v>0</v>
      </c>
      <c r="CQ100" s="80">
        <v>142</v>
      </c>
      <c r="CR100" s="80">
        <v>0</v>
      </c>
      <c r="CS100" s="80">
        <v>0</v>
      </c>
      <c r="CT100" s="80">
        <v>142</v>
      </c>
      <c r="CU100" s="80">
        <v>0</v>
      </c>
      <c r="CV100" s="80">
        <v>118</v>
      </c>
      <c r="CW100" s="80">
        <v>0</v>
      </c>
      <c r="CX100" s="80">
        <v>109</v>
      </c>
      <c r="CY100" s="80">
        <v>9</v>
      </c>
      <c r="CZ100" s="80">
        <v>2085</v>
      </c>
      <c r="DA100" s="80">
        <v>0</v>
      </c>
      <c r="DB100" s="80">
        <v>0</v>
      </c>
      <c r="DC100" s="80">
        <v>0</v>
      </c>
      <c r="DD100" s="80">
        <v>0</v>
      </c>
      <c r="DE100" s="80">
        <v>0</v>
      </c>
      <c r="DF100" s="80">
        <v>0</v>
      </c>
      <c r="DG100" s="80">
        <v>650</v>
      </c>
      <c r="DH100" s="80">
        <v>199</v>
      </c>
      <c r="DI100" s="80">
        <v>0</v>
      </c>
      <c r="DJ100" s="80">
        <v>0</v>
      </c>
      <c r="DK100" s="80">
        <v>199</v>
      </c>
      <c r="DL100" s="80">
        <v>0</v>
      </c>
      <c r="DM100" s="80">
        <v>451</v>
      </c>
      <c r="DN100" s="80">
        <v>241</v>
      </c>
      <c r="DO100" s="80">
        <v>0</v>
      </c>
      <c r="DP100" s="80">
        <v>56</v>
      </c>
      <c r="DQ100" s="80">
        <v>154</v>
      </c>
      <c r="DR100" s="80">
        <v>0</v>
      </c>
      <c r="DS100" s="80">
        <v>0</v>
      </c>
      <c r="DT100" s="80">
        <v>0</v>
      </c>
      <c r="DU100" s="80">
        <v>0</v>
      </c>
      <c r="DV100" s="80">
        <v>0</v>
      </c>
      <c r="DW100" s="80">
        <v>1435</v>
      </c>
      <c r="DX100" s="80">
        <v>16470</v>
      </c>
      <c r="DY100" s="80">
        <v>6196</v>
      </c>
      <c r="DZ100" s="80">
        <v>7037</v>
      </c>
      <c r="EA100" s="80">
        <v>0</v>
      </c>
      <c r="EB100" s="80">
        <v>0</v>
      </c>
      <c r="EC100" s="80">
        <v>-20</v>
      </c>
      <c r="ED100" s="80">
        <v>-821</v>
      </c>
      <c r="EE100" s="80">
        <v>661</v>
      </c>
      <c r="EF100" s="80">
        <v>661</v>
      </c>
      <c r="EG100" s="80">
        <v>0</v>
      </c>
      <c r="EH100" s="80">
        <v>0</v>
      </c>
      <c r="EI100" s="80">
        <v>0</v>
      </c>
      <c r="EJ100" s="80">
        <v>0</v>
      </c>
      <c r="EK100" s="80">
        <v>228</v>
      </c>
      <c r="EL100" s="80">
        <v>0</v>
      </c>
      <c r="EM100" s="80">
        <v>228</v>
      </c>
      <c r="EN100" s="80">
        <v>0</v>
      </c>
      <c r="EO100" s="80">
        <v>9385</v>
      </c>
      <c r="EP100" s="80">
        <v>8004</v>
      </c>
      <c r="EQ100" s="80">
        <v>0</v>
      </c>
      <c r="ER100" s="80">
        <v>7799</v>
      </c>
      <c r="ES100" s="80">
        <v>268</v>
      </c>
      <c r="ET100" s="80">
        <v>7531</v>
      </c>
      <c r="EU100" s="80">
        <v>0</v>
      </c>
      <c r="EV100" s="80">
        <v>0</v>
      </c>
      <c r="EW100" s="80">
        <v>143</v>
      </c>
      <c r="EX100" s="80">
        <v>0</v>
      </c>
      <c r="EY100" s="80">
        <v>0</v>
      </c>
      <c r="EZ100" s="80">
        <v>0</v>
      </c>
      <c r="FA100" s="80">
        <v>62</v>
      </c>
      <c r="FB100" s="80">
        <v>0</v>
      </c>
      <c r="FC100" s="80">
        <v>0</v>
      </c>
      <c r="FD100" s="80">
        <v>1381</v>
      </c>
      <c r="FE100" s="80">
        <v>0</v>
      </c>
      <c r="FF100" s="80">
        <v>565</v>
      </c>
      <c r="FG100" s="80">
        <v>72</v>
      </c>
      <c r="FH100" s="80">
        <v>493</v>
      </c>
      <c r="FI100" s="80">
        <v>0</v>
      </c>
      <c r="FJ100" s="80">
        <v>0</v>
      </c>
      <c r="FK100" s="80">
        <v>74</v>
      </c>
      <c r="FL100" s="80">
        <v>0</v>
      </c>
      <c r="FM100" s="80">
        <v>4</v>
      </c>
      <c r="FN100" s="80">
        <v>281</v>
      </c>
      <c r="FO100" s="80">
        <v>88</v>
      </c>
      <c r="FP100" s="80">
        <v>369</v>
      </c>
      <c r="FQ100" s="80">
        <v>16470</v>
      </c>
      <c r="FR100" s="80">
        <v>36</v>
      </c>
      <c r="FS100" s="80">
        <v>384</v>
      </c>
      <c r="FT100" s="100">
        <v>5667.0177689306338</v>
      </c>
      <c r="FU100" s="100"/>
      <c r="FV100" s="100">
        <v>1944</v>
      </c>
      <c r="FW100" s="67">
        <v>696</v>
      </c>
      <c r="FX100" s="100">
        <f t="shared" si="10"/>
        <v>-9027</v>
      </c>
      <c r="FY100" s="100">
        <f t="shared" si="11"/>
        <v>-11544</v>
      </c>
      <c r="FZ100" s="100">
        <v>8392.7887056965956</v>
      </c>
      <c r="GA100" s="67">
        <v>2517</v>
      </c>
      <c r="GB100" s="58">
        <f t="shared" si="8"/>
        <v>573</v>
      </c>
      <c r="GC100" s="67">
        <v>807</v>
      </c>
      <c r="GD100" s="100">
        <v>429</v>
      </c>
      <c r="GE100" s="100">
        <v>97</v>
      </c>
      <c r="GF100" s="58">
        <f t="shared" si="9"/>
        <v>332</v>
      </c>
      <c r="GG100" s="100">
        <v>-2818.83</v>
      </c>
      <c r="GH100" s="100">
        <v>-190.61830000000006</v>
      </c>
      <c r="GI100" s="100">
        <v>-5654.2331870057333</v>
      </c>
      <c r="GJ100" s="67">
        <f t="shared" si="12"/>
        <v>111</v>
      </c>
      <c r="GK100" s="67"/>
      <c r="GL100" s="41"/>
      <c r="GM100" s="96"/>
    </row>
    <row r="101" spans="1:195" ht="13.5" customHeight="1" x14ac:dyDescent="0.2">
      <c r="A101" s="74">
        <v>322</v>
      </c>
      <c r="B101" s="75" t="s">
        <v>260</v>
      </c>
      <c r="C101" s="75" t="s">
        <v>260</v>
      </c>
      <c r="D101" s="76"/>
      <c r="E101" s="77" t="s">
        <v>219</v>
      </c>
      <c r="F101" s="78">
        <v>3</v>
      </c>
      <c r="G101" s="79">
        <v>6909</v>
      </c>
      <c r="H101" s="80">
        <v>7660</v>
      </c>
      <c r="I101" s="80">
        <v>2942</v>
      </c>
      <c r="J101" s="80">
        <v>2657</v>
      </c>
      <c r="K101" s="80">
        <v>955</v>
      </c>
      <c r="L101" s="80">
        <v>1106</v>
      </c>
      <c r="M101" s="80">
        <v>0</v>
      </c>
      <c r="N101" s="80">
        <v>120</v>
      </c>
      <c r="O101" s="80">
        <v>49072</v>
      </c>
      <c r="P101" s="80">
        <v>24841</v>
      </c>
      <c r="Q101" s="80">
        <v>19054</v>
      </c>
      <c r="R101" s="80">
        <v>5787</v>
      </c>
      <c r="S101" s="80">
        <v>4728</v>
      </c>
      <c r="T101" s="80">
        <v>1059</v>
      </c>
      <c r="U101" s="80">
        <v>18114</v>
      </c>
      <c r="V101" s="80">
        <v>3388</v>
      </c>
      <c r="W101" s="80">
        <v>1938</v>
      </c>
      <c r="X101" s="80">
        <v>791</v>
      </c>
      <c r="Y101" s="80">
        <v>-41292</v>
      </c>
      <c r="Z101" s="80">
        <v>22792</v>
      </c>
      <c r="AA101" s="80">
        <v>18861</v>
      </c>
      <c r="AB101" s="80">
        <v>811</v>
      </c>
      <c r="AC101" s="80">
        <v>3120</v>
      </c>
      <c r="AD101" s="80">
        <v>22532</v>
      </c>
      <c r="AE101" s="80">
        <v>-183</v>
      </c>
      <c r="AF101" s="80">
        <v>13</v>
      </c>
      <c r="AG101" s="80">
        <v>28</v>
      </c>
      <c r="AH101" s="80">
        <v>0</v>
      </c>
      <c r="AI101" s="80">
        <v>214</v>
      </c>
      <c r="AJ101" s="80">
        <v>10</v>
      </c>
      <c r="AK101" s="80">
        <v>3849</v>
      </c>
      <c r="AL101" s="80">
        <v>2765</v>
      </c>
      <c r="AM101" s="80">
        <v>2765</v>
      </c>
      <c r="AN101" s="80">
        <v>0</v>
      </c>
      <c r="AO101" s="80">
        <v>0</v>
      </c>
      <c r="AP101" s="80">
        <v>0</v>
      </c>
      <c r="AQ101" s="80">
        <v>0</v>
      </c>
      <c r="AR101" s="80">
        <v>1084</v>
      </c>
      <c r="AS101" s="80">
        <v>165</v>
      </c>
      <c r="AT101" s="80">
        <v>0</v>
      </c>
      <c r="AU101" s="80">
        <v>0</v>
      </c>
      <c r="AV101" s="80">
        <v>1249</v>
      </c>
      <c r="AW101" s="81"/>
      <c r="AX101" s="80">
        <v>3508</v>
      </c>
      <c r="AY101" s="80">
        <v>3849</v>
      </c>
      <c r="AZ101" s="80">
        <v>0</v>
      </c>
      <c r="BA101" s="80">
        <v>-341</v>
      </c>
      <c r="BB101" s="80">
        <v>-10025</v>
      </c>
      <c r="BC101" s="80">
        <v>10574</v>
      </c>
      <c r="BD101" s="80">
        <v>169</v>
      </c>
      <c r="BE101" s="80">
        <v>380</v>
      </c>
      <c r="BF101" s="80">
        <v>-6517</v>
      </c>
      <c r="BG101" s="80">
        <v>8241</v>
      </c>
      <c r="BH101" s="80">
        <v>0</v>
      </c>
      <c r="BI101" s="80">
        <v>0</v>
      </c>
      <c r="BJ101" s="80">
        <v>0</v>
      </c>
      <c r="BK101" s="80">
        <v>8571</v>
      </c>
      <c r="BL101" s="80">
        <v>10495</v>
      </c>
      <c r="BM101" s="80">
        <v>1924</v>
      </c>
      <c r="BN101" s="80">
        <v>0</v>
      </c>
      <c r="BO101" s="80">
        <v>0</v>
      </c>
      <c r="BP101" s="80">
        <v>-330</v>
      </c>
      <c r="BQ101" s="80">
        <v>17</v>
      </c>
      <c r="BR101" s="80">
        <v>1</v>
      </c>
      <c r="BS101" s="80">
        <v>384</v>
      </c>
      <c r="BT101" s="80">
        <v>-732</v>
      </c>
      <c r="BU101" s="80">
        <v>1724</v>
      </c>
      <c r="BV101" s="80">
        <v>5998</v>
      </c>
      <c r="BW101" s="80">
        <v>4274</v>
      </c>
      <c r="BX101" s="81"/>
      <c r="BY101" s="80">
        <v>58836</v>
      </c>
      <c r="BZ101" s="80">
        <v>256</v>
      </c>
      <c r="CA101" s="80">
        <v>115</v>
      </c>
      <c r="CB101" s="80">
        <v>141</v>
      </c>
      <c r="CC101" s="80">
        <v>0</v>
      </c>
      <c r="CD101" s="80">
        <v>50841</v>
      </c>
      <c r="CE101" s="80">
        <v>5326</v>
      </c>
      <c r="CF101" s="80">
        <v>26206</v>
      </c>
      <c r="CG101" s="80">
        <v>16240</v>
      </c>
      <c r="CH101" s="80">
        <v>1091</v>
      </c>
      <c r="CI101" s="80">
        <v>12</v>
      </c>
      <c r="CJ101" s="80">
        <v>12</v>
      </c>
      <c r="CK101" s="80">
        <v>1966</v>
      </c>
      <c r="CL101" s="80">
        <v>7739</v>
      </c>
      <c r="CM101" s="80">
        <v>7711</v>
      </c>
      <c r="CN101" s="80">
        <v>3805</v>
      </c>
      <c r="CO101" s="80">
        <v>3906</v>
      </c>
      <c r="CP101" s="80">
        <v>0</v>
      </c>
      <c r="CQ101" s="80">
        <v>1</v>
      </c>
      <c r="CR101" s="80">
        <v>0</v>
      </c>
      <c r="CS101" s="80">
        <v>0</v>
      </c>
      <c r="CT101" s="80">
        <v>1</v>
      </c>
      <c r="CU101" s="80">
        <v>27</v>
      </c>
      <c r="CV101" s="80">
        <v>677</v>
      </c>
      <c r="CW101" s="80">
        <v>0</v>
      </c>
      <c r="CX101" s="80">
        <v>177</v>
      </c>
      <c r="CY101" s="80">
        <v>500</v>
      </c>
      <c r="CZ101" s="80">
        <v>8311</v>
      </c>
      <c r="DA101" s="80">
        <v>46</v>
      </c>
      <c r="DB101" s="80">
        <v>46</v>
      </c>
      <c r="DC101" s="80">
        <v>0</v>
      </c>
      <c r="DD101" s="80">
        <v>0</v>
      </c>
      <c r="DE101" s="80">
        <v>0</v>
      </c>
      <c r="DF101" s="80">
        <v>0</v>
      </c>
      <c r="DG101" s="80">
        <v>2267</v>
      </c>
      <c r="DH101" s="80">
        <v>0</v>
      </c>
      <c r="DI101" s="80">
        <v>0</v>
      </c>
      <c r="DJ101" s="80">
        <v>0</v>
      </c>
      <c r="DK101" s="80">
        <v>0</v>
      </c>
      <c r="DL101" s="80">
        <v>0</v>
      </c>
      <c r="DM101" s="80">
        <v>2267</v>
      </c>
      <c r="DN101" s="80">
        <v>1122</v>
      </c>
      <c r="DO101" s="80">
        <v>0</v>
      </c>
      <c r="DP101" s="80">
        <v>571</v>
      </c>
      <c r="DQ101" s="80">
        <v>574</v>
      </c>
      <c r="DR101" s="80">
        <v>0</v>
      </c>
      <c r="DS101" s="80">
        <v>0</v>
      </c>
      <c r="DT101" s="80">
        <v>0</v>
      </c>
      <c r="DU101" s="80">
        <v>0</v>
      </c>
      <c r="DV101" s="80">
        <v>0</v>
      </c>
      <c r="DW101" s="80">
        <v>5998</v>
      </c>
      <c r="DX101" s="80">
        <v>67824</v>
      </c>
      <c r="DY101" s="80">
        <v>34193</v>
      </c>
      <c r="DZ101" s="80">
        <v>19408</v>
      </c>
      <c r="EA101" s="80">
        <v>0</v>
      </c>
      <c r="EB101" s="80">
        <v>0</v>
      </c>
      <c r="EC101" s="80">
        <v>13536</v>
      </c>
      <c r="ED101" s="80">
        <v>1249</v>
      </c>
      <c r="EE101" s="80">
        <v>2544</v>
      </c>
      <c r="EF101" s="80">
        <v>2544</v>
      </c>
      <c r="EG101" s="80">
        <v>0</v>
      </c>
      <c r="EH101" s="80">
        <v>0</v>
      </c>
      <c r="EI101" s="80">
        <v>0</v>
      </c>
      <c r="EJ101" s="80">
        <v>0</v>
      </c>
      <c r="EK101" s="80">
        <v>742</v>
      </c>
      <c r="EL101" s="80">
        <v>42</v>
      </c>
      <c r="EM101" s="80">
        <v>177</v>
      </c>
      <c r="EN101" s="80">
        <v>523</v>
      </c>
      <c r="EO101" s="80">
        <v>30345</v>
      </c>
      <c r="EP101" s="80">
        <v>21911</v>
      </c>
      <c r="EQ101" s="80">
        <v>0</v>
      </c>
      <c r="ER101" s="80">
        <v>18723</v>
      </c>
      <c r="ES101" s="80">
        <v>368</v>
      </c>
      <c r="ET101" s="80">
        <v>18355</v>
      </c>
      <c r="EU101" s="80">
        <v>0</v>
      </c>
      <c r="EV101" s="80">
        <v>0</v>
      </c>
      <c r="EW101" s="80">
        <v>1655</v>
      </c>
      <c r="EX101" s="80">
        <v>0</v>
      </c>
      <c r="EY101" s="80">
        <v>0</v>
      </c>
      <c r="EZ101" s="80">
        <v>0</v>
      </c>
      <c r="FA101" s="80">
        <v>1533</v>
      </c>
      <c r="FB101" s="80">
        <v>0</v>
      </c>
      <c r="FC101" s="80">
        <v>0</v>
      </c>
      <c r="FD101" s="80">
        <v>8434</v>
      </c>
      <c r="FE101" s="80">
        <v>0</v>
      </c>
      <c r="FF101" s="80">
        <v>1882</v>
      </c>
      <c r="FG101" s="80">
        <v>254</v>
      </c>
      <c r="FH101" s="80">
        <v>1628</v>
      </c>
      <c r="FI101" s="80">
        <v>0</v>
      </c>
      <c r="FJ101" s="80">
        <v>0</v>
      </c>
      <c r="FK101" s="80">
        <v>460</v>
      </c>
      <c r="FL101" s="80">
        <v>0</v>
      </c>
      <c r="FM101" s="80">
        <v>102</v>
      </c>
      <c r="FN101" s="80">
        <v>2059</v>
      </c>
      <c r="FO101" s="80">
        <v>883</v>
      </c>
      <c r="FP101" s="80">
        <v>3048</v>
      </c>
      <c r="FQ101" s="80">
        <v>67824</v>
      </c>
      <c r="FR101" s="80">
        <v>8909</v>
      </c>
      <c r="FS101" s="80">
        <v>1872</v>
      </c>
      <c r="FT101" s="100">
        <v>26913.312293045037</v>
      </c>
      <c r="FU101" s="100"/>
      <c r="FV101" s="100">
        <v>11680</v>
      </c>
      <c r="FW101" s="67">
        <v>2546</v>
      </c>
      <c r="FX101" s="100">
        <f t="shared" si="10"/>
        <v>-23423</v>
      </c>
      <c r="FY101" s="100">
        <f t="shared" si="11"/>
        <v>-38527</v>
      </c>
      <c r="FZ101" s="100">
        <v>26152.222154882926</v>
      </c>
      <c r="GA101" s="67">
        <v>15104</v>
      </c>
      <c r="GB101" s="58">
        <f t="shared" si="8"/>
        <v>3424</v>
      </c>
      <c r="GC101" s="67">
        <v>2765</v>
      </c>
      <c r="GD101" s="100">
        <v>2657</v>
      </c>
      <c r="GE101" s="100">
        <v>819</v>
      </c>
      <c r="GF101" s="58">
        <f t="shared" si="9"/>
        <v>1838</v>
      </c>
      <c r="GG101" s="100">
        <v>-11684.455</v>
      </c>
      <c r="GH101" s="100">
        <v>-237.54265000000007</v>
      </c>
      <c r="GI101" s="100">
        <v>-14527.778615108356</v>
      </c>
      <c r="GJ101" s="67">
        <f t="shared" si="12"/>
        <v>219</v>
      </c>
      <c r="GK101" s="67"/>
      <c r="GM101" s="96"/>
    </row>
    <row r="102" spans="1:195" ht="13.5" customHeight="1" x14ac:dyDescent="0.2">
      <c r="A102" s="74">
        <v>256</v>
      </c>
      <c r="B102" s="75" t="s">
        <v>63</v>
      </c>
      <c r="C102" s="75" t="s">
        <v>63</v>
      </c>
      <c r="D102" s="76"/>
      <c r="E102" s="77" t="s">
        <v>231</v>
      </c>
      <c r="F102" s="78">
        <v>1</v>
      </c>
      <c r="G102" s="79">
        <v>1745</v>
      </c>
      <c r="H102" s="80">
        <v>2880</v>
      </c>
      <c r="I102" s="80">
        <v>1501</v>
      </c>
      <c r="J102" s="80">
        <v>507</v>
      </c>
      <c r="K102" s="80">
        <v>192</v>
      </c>
      <c r="L102" s="80">
        <v>680</v>
      </c>
      <c r="M102" s="80">
        <v>0</v>
      </c>
      <c r="N102" s="80">
        <v>1</v>
      </c>
      <c r="O102" s="80">
        <v>13777</v>
      </c>
      <c r="P102" s="80">
        <v>5685</v>
      </c>
      <c r="Q102" s="80">
        <v>4313</v>
      </c>
      <c r="R102" s="80">
        <v>1372</v>
      </c>
      <c r="S102" s="80">
        <v>1168</v>
      </c>
      <c r="T102" s="80">
        <v>204</v>
      </c>
      <c r="U102" s="80">
        <v>6322</v>
      </c>
      <c r="V102" s="80">
        <v>893</v>
      </c>
      <c r="W102" s="80">
        <v>595</v>
      </c>
      <c r="X102" s="80">
        <v>282</v>
      </c>
      <c r="Y102" s="80">
        <v>-10896</v>
      </c>
      <c r="Z102" s="80">
        <v>4789</v>
      </c>
      <c r="AA102" s="80">
        <v>3880</v>
      </c>
      <c r="AB102" s="80">
        <v>544</v>
      </c>
      <c r="AC102" s="80">
        <v>365</v>
      </c>
      <c r="AD102" s="80">
        <v>7344</v>
      </c>
      <c r="AE102" s="80">
        <v>105</v>
      </c>
      <c r="AF102" s="80">
        <v>80</v>
      </c>
      <c r="AG102" s="80">
        <v>35</v>
      </c>
      <c r="AH102" s="80">
        <v>0</v>
      </c>
      <c r="AI102" s="80">
        <v>7</v>
      </c>
      <c r="AJ102" s="80">
        <v>3</v>
      </c>
      <c r="AK102" s="80">
        <v>1342</v>
      </c>
      <c r="AL102" s="80">
        <v>794</v>
      </c>
      <c r="AM102" s="80">
        <v>794</v>
      </c>
      <c r="AN102" s="80">
        <v>0</v>
      </c>
      <c r="AO102" s="80">
        <v>0</v>
      </c>
      <c r="AP102" s="80">
        <v>0</v>
      </c>
      <c r="AQ102" s="80">
        <v>0</v>
      </c>
      <c r="AR102" s="80">
        <v>548</v>
      </c>
      <c r="AS102" s="80">
        <v>13</v>
      </c>
      <c r="AT102" s="80">
        <v>0</v>
      </c>
      <c r="AU102" s="80">
        <v>0</v>
      </c>
      <c r="AV102" s="80">
        <v>561</v>
      </c>
      <c r="AW102" s="81"/>
      <c r="AX102" s="80">
        <v>1278</v>
      </c>
      <c r="AY102" s="80">
        <v>1342</v>
      </c>
      <c r="AZ102" s="80">
        <v>0</v>
      </c>
      <c r="BA102" s="80">
        <v>-64</v>
      </c>
      <c r="BB102" s="80">
        <v>-448</v>
      </c>
      <c r="BC102" s="80">
        <v>535</v>
      </c>
      <c r="BD102" s="80">
        <v>0</v>
      </c>
      <c r="BE102" s="80">
        <v>87</v>
      </c>
      <c r="BF102" s="80">
        <v>830</v>
      </c>
      <c r="BG102" s="80">
        <v>-334</v>
      </c>
      <c r="BH102" s="80">
        <v>0</v>
      </c>
      <c r="BI102" s="80">
        <v>0</v>
      </c>
      <c r="BJ102" s="80">
        <v>0</v>
      </c>
      <c r="BK102" s="80">
        <v>-601</v>
      </c>
      <c r="BL102" s="80">
        <v>0</v>
      </c>
      <c r="BM102" s="80">
        <v>0</v>
      </c>
      <c r="BN102" s="80">
        <v>-601</v>
      </c>
      <c r="BO102" s="80">
        <v>0</v>
      </c>
      <c r="BP102" s="80">
        <v>267</v>
      </c>
      <c r="BQ102" s="80">
        <v>0</v>
      </c>
      <c r="BR102" s="80">
        <v>29</v>
      </c>
      <c r="BS102" s="80">
        <v>51</v>
      </c>
      <c r="BT102" s="80">
        <v>187</v>
      </c>
      <c r="BU102" s="80">
        <v>496</v>
      </c>
      <c r="BV102" s="80">
        <v>2290</v>
      </c>
      <c r="BW102" s="80">
        <v>1794</v>
      </c>
      <c r="BX102" s="81"/>
      <c r="BY102" s="80">
        <v>15822</v>
      </c>
      <c r="BZ102" s="80">
        <v>16</v>
      </c>
      <c r="CA102" s="80">
        <v>0</v>
      </c>
      <c r="CB102" s="80">
        <v>16</v>
      </c>
      <c r="CC102" s="80">
        <v>0</v>
      </c>
      <c r="CD102" s="80">
        <v>13415</v>
      </c>
      <c r="CE102" s="80">
        <v>1572</v>
      </c>
      <c r="CF102" s="80">
        <v>6482</v>
      </c>
      <c r="CG102" s="80">
        <v>4999</v>
      </c>
      <c r="CH102" s="80">
        <v>43</v>
      </c>
      <c r="CI102" s="80">
        <v>0</v>
      </c>
      <c r="CJ102" s="80">
        <v>0</v>
      </c>
      <c r="CK102" s="80">
        <v>319</v>
      </c>
      <c r="CL102" s="80">
        <v>2391</v>
      </c>
      <c r="CM102" s="80">
        <v>2291</v>
      </c>
      <c r="CN102" s="80">
        <v>591</v>
      </c>
      <c r="CO102" s="80">
        <v>1700</v>
      </c>
      <c r="CP102" s="80">
        <v>0</v>
      </c>
      <c r="CQ102" s="80">
        <v>100</v>
      </c>
      <c r="CR102" s="80">
        <v>0</v>
      </c>
      <c r="CS102" s="80">
        <v>0</v>
      </c>
      <c r="CT102" s="80">
        <v>100</v>
      </c>
      <c r="CU102" s="80">
        <v>0</v>
      </c>
      <c r="CV102" s="80">
        <v>1</v>
      </c>
      <c r="CW102" s="80">
        <v>0</v>
      </c>
      <c r="CX102" s="80">
        <v>1</v>
      </c>
      <c r="CY102" s="80">
        <v>0</v>
      </c>
      <c r="CZ102" s="80">
        <v>5352</v>
      </c>
      <c r="DA102" s="80">
        <v>15</v>
      </c>
      <c r="DB102" s="80">
        <v>15</v>
      </c>
      <c r="DC102" s="80">
        <v>0</v>
      </c>
      <c r="DD102" s="80">
        <v>0</v>
      </c>
      <c r="DE102" s="80">
        <v>0</v>
      </c>
      <c r="DF102" s="80">
        <v>0</v>
      </c>
      <c r="DG102" s="80">
        <v>3048</v>
      </c>
      <c r="DH102" s="80">
        <v>2076</v>
      </c>
      <c r="DI102" s="80">
        <v>167</v>
      </c>
      <c r="DJ102" s="80">
        <v>1909</v>
      </c>
      <c r="DK102" s="80">
        <v>0</v>
      </c>
      <c r="DL102" s="80">
        <v>0</v>
      </c>
      <c r="DM102" s="80">
        <v>972</v>
      </c>
      <c r="DN102" s="80">
        <v>483</v>
      </c>
      <c r="DO102" s="80">
        <v>239</v>
      </c>
      <c r="DP102" s="80">
        <v>119</v>
      </c>
      <c r="DQ102" s="80">
        <v>131</v>
      </c>
      <c r="DR102" s="80">
        <v>0</v>
      </c>
      <c r="DS102" s="80">
        <v>0</v>
      </c>
      <c r="DT102" s="80">
        <v>0</v>
      </c>
      <c r="DU102" s="80">
        <v>0</v>
      </c>
      <c r="DV102" s="80">
        <v>0</v>
      </c>
      <c r="DW102" s="80">
        <v>2289</v>
      </c>
      <c r="DX102" s="80">
        <v>21175</v>
      </c>
      <c r="DY102" s="80">
        <v>11708</v>
      </c>
      <c r="DZ102" s="80">
        <v>6786</v>
      </c>
      <c r="EA102" s="80">
        <v>0</v>
      </c>
      <c r="EB102" s="80">
        <v>0</v>
      </c>
      <c r="EC102" s="80">
        <v>4361</v>
      </c>
      <c r="ED102" s="80">
        <v>561</v>
      </c>
      <c r="EE102" s="80">
        <v>1721</v>
      </c>
      <c r="EF102" s="80">
        <v>321</v>
      </c>
      <c r="EG102" s="80">
        <v>1400</v>
      </c>
      <c r="EH102" s="80">
        <v>0</v>
      </c>
      <c r="EI102" s="80">
        <v>0</v>
      </c>
      <c r="EJ102" s="80">
        <v>0</v>
      </c>
      <c r="EK102" s="80">
        <v>3</v>
      </c>
      <c r="EL102" s="80">
        <v>0</v>
      </c>
      <c r="EM102" s="80">
        <v>1</v>
      </c>
      <c r="EN102" s="80">
        <v>2</v>
      </c>
      <c r="EO102" s="80">
        <v>7743</v>
      </c>
      <c r="EP102" s="80">
        <v>10</v>
      </c>
      <c r="EQ102" s="80">
        <v>0</v>
      </c>
      <c r="ER102" s="80">
        <v>0</v>
      </c>
      <c r="ES102" s="80">
        <v>0</v>
      </c>
      <c r="ET102" s="80">
        <v>0</v>
      </c>
      <c r="EU102" s="80">
        <v>0</v>
      </c>
      <c r="EV102" s="80">
        <v>0</v>
      </c>
      <c r="EW102" s="80">
        <v>0</v>
      </c>
      <c r="EX102" s="80">
        <v>0</v>
      </c>
      <c r="EY102" s="80">
        <v>0</v>
      </c>
      <c r="EZ102" s="80">
        <v>0</v>
      </c>
      <c r="FA102" s="80">
        <v>10</v>
      </c>
      <c r="FB102" s="80">
        <v>0</v>
      </c>
      <c r="FC102" s="80">
        <v>0</v>
      </c>
      <c r="FD102" s="80">
        <v>7733</v>
      </c>
      <c r="FE102" s="80">
        <v>5900</v>
      </c>
      <c r="FF102" s="80">
        <v>0</v>
      </c>
      <c r="FG102" s="80">
        <v>0</v>
      </c>
      <c r="FH102" s="80">
        <v>0</v>
      </c>
      <c r="FI102" s="80">
        <v>0</v>
      </c>
      <c r="FJ102" s="80">
        <v>0</v>
      </c>
      <c r="FK102" s="80">
        <v>0</v>
      </c>
      <c r="FL102" s="80">
        <v>0</v>
      </c>
      <c r="FM102" s="80">
        <v>13</v>
      </c>
      <c r="FN102" s="80">
        <v>954</v>
      </c>
      <c r="FO102" s="80">
        <v>116</v>
      </c>
      <c r="FP102" s="80">
        <v>750</v>
      </c>
      <c r="FQ102" s="80">
        <v>21175</v>
      </c>
      <c r="FR102" s="80">
        <v>303</v>
      </c>
      <c r="FS102" s="80">
        <v>447</v>
      </c>
      <c r="FT102" s="100">
        <v>7235.744790121551</v>
      </c>
      <c r="FU102" s="100"/>
      <c r="FV102" s="100">
        <v>3459</v>
      </c>
      <c r="FW102" s="67">
        <v>777</v>
      </c>
      <c r="FX102" s="100">
        <f t="shared" si="10"/>
        <v>-5502</v>
      </c>
      <c r="FY102" s="100">
        <f t="shared" si="11"/>
        <v>-10102</v>
      </c>
      <c r="FZ102" s="100">
        <v>6865.7735133888309</v>
      </c>
      <c r="GA102" s="67">
        <v>4600</v>
      </c>
      <c r="GB102" s="58">
        <f t="shared" si="8"/>
        <v>1141</v>
      </c>
      <c r="GC102" s="67">
        <v>793</v>
      </c>
      <c r="GD102" s="100">
        <v>577</v>
      </c>
      <c r="GE102" s="100">
        <v>202</v>
      </c>
      <c r="GF102" s="58">
        <f t="shared" si="9"/>
        <v>375</v>
      </c>
      <c r="GG102" s="100">
        <v>-2249.6129999999998</v>
      </c>
      <c r="GH102" s="100">
        <v>-164.82650000000007</v>
      </c>
      <c r="GI102" s="100">
        <v>-4537.1400696253222</v>
      </c>
      <c r="GJ102" s="67">
        <f t="shared" si="12"/>
        <v>16</v>
      </c>
      <c r="GK102" s="67"/>
      <c r="GM102" s="96"/>
    </row>
    <row r="103" spans="1:195" ht="13.5" customHeight="1" x14ac:dyDescent="0.2">
      <c r="A103" s="74">
        <v>260</v>
      </c>
      <c r="B103" s="75" t="s">
        <v>64</v>
      </c>
      <c r="C103" s="75" t="s">
        <v>64</v>
      </c>
      <c r="D103" s="76"/>
      <c r="E103" s="77" t="s">
        <v>242</v>
      </c>
      <c r="F103" s="78">
        <v>4</v>
      </c>
      <c r="G103" s="79">
        <v>10832</v>
      </c>
      <c r="H103" s="80">
        <v>11049</v>
      </c>
      <c r="I103" s="80">
        <v>4162</v>
      </c>
      <c r="J103" s="80">
        <v>4071</v>
      </c>
      <c r="K103" s="80">
        <v>1365</v>
      </c>
      <c r="L103" s="80">
        <v>1451</v>
      </c>
      <c r="M103" s="80">
        <v>0</v>
      </c>
      <c r="N103" s="80">
        <v>0</v>
      </c>
      <c r="O103" s="80">
        <v>74899</v>
      </c>
      <c r="P103" s="80">
        <v>32438</v>
      </c>
      <c r="Q103" s="80">
        <v>24197</v>
      </c>
      <c r="R103" s="80">
        <v>8241</v>
      </c>
      <c r="S103" s="80">
        <v>6866</v>
      </c>
      <c r="T103" s="80">
        <v>1375</v>
      </c>
      <c r="U103" s="80">
        <v>34134</v>
      </c>
      <c r="V103" s="80">
        <v>3985</v>
      </c>
      <c r="W103" s="80">
        <v>2992</v>
      </c>
      <c r="X103" s="80">
        <v>1350</v>
      </c>
      <c r="Y103" s="80">
        <v>-63850</v>
      </c>
      <c r="Z103" s="80">
        <v>36097</v>
      </c>
      <c r="AA103" s="80">
        <v>30623</v>
      </c>
      <c r="AB103" s="80">
        <v>2374</v>
      </c>
      <c r="AC103" s="80">
        <v>3100</v>
      </c>
      <c r="AD103" s="80">
        <v>36704</v>
      </c>
      <c r="AE103" s="80">
        <v>247</v>
      </c>
      <c r="AF103" s="80">
        <v>23</v>
      </c>
      <c r="AG103" s="80">
        <v>507</v>
      </c>
      <c r="AH103" s="80">
        <v>488</v>
      </c>
      <c r="AI103" s="80">
        <v>280</v>
      </c>
      <c r="AJ103" s="80">
        <v>3</v>
      </c>
      <c r="AK103" s="80">
        <v>9198</v>
      </c>
      <c r="AL103" s="80">
        <v>2890</v>
      </c>
      <c r="AM103" s="80">
        <v>2890</v>
      </c>
      <c r="AN103" s="80">
        <v>0</v>
      </c>
      <c r="AO103" s="80">
        <v>0</v>
      </c>
      <c r="AP103" s="80">
        <v>0</v>
      </c>
      <c r="AQ103" s="80">
        <v>0</v>
      </c>
      <c r="AR103" s="80">
        <v>6308</v>
      </c>
      <c r="AS103" s="80">
        <v>245</v>
      </c>
      <c r="AT103" s="80">
        <v>0</v>
      </c>
      <c r="AU103" s="80">
        <v>0</v>
      </c>
      <c r="AV103" s="80">
        <v>6553</v>
      </c>
      <c r="AW103" s="81"/>
      <c r="AX103" s="80">
        <v>9083</v>
      </c>
      <c r="AY103" s="80">
        <v>9198</v>
      </c>
      <c r="AZ103" s="80">
        <v>0</v>
      </c>
      <c r="BA103" s="80">
        <v>-115</v>
      </c>
      <c r="BB103" s="80">
        <v>-5587</v>
      </c>
      <c r="BC103" s="80">
        <v>7040</v>
      </c>
      <c r="BD103" s="80">
        <v>1297</v>
      </c>
      <c r="BE103" s="80">
        <v>156</v>
      </c>
      <c r="BF103" s="80">
        <v>3496</v>
      </c>
      <c r="BG103" s="80">
        <v>-3583</v>
      </c>
      <c r="BH103" s="80">
        <v>11</v>
      </c>
      <c r="BI103" s="80">
        <v>4</v>
      </c>
      <c r="BJ103" s="80">
        <v>15</v>
      </c>
      <c r="BK103" s="80">
        <v>-4407</v>
      </c>
      <c r="BL103" s="80">
        <v>0</v>
      </c>
      <c r="BM103" s="80">
        <v>4207</v>
      </c>
      <c r="BN103" s="80">
        <v>-200</v>
      </c>
      <c r="BO103" s="80">
        <v>0</v>
      </c>
      <c r="BP103" s="80">
        <v>813</v>
      </c>
      <c r="BQ103" s="80">
        <v>-19</v>
      </c>
      <c r="BR103" s="80">
        <v>-9</v>
      </c>
      <c r="BS103" s="80">
        <v>687</v>
      </c>
      <c r="BT103" s="80">
        <v>154</v>
      </c>
      <c r="BU103" s="80">
        <v>-88</v>
      </c>
      <c r="BV103" s="80">
        <v>3148</v>
      </c>
      <c r="BW103" s="80">
        <v>3236</v>
      </c>
      <c r="BX103" s="81"/>
      <c r="BY103" s="80">
        <v>54190</v>
      </c>
      <c r="BZ103" s="80">
        <v>41</v>
      </c>
      <c r="CA103" s="80">
        <v>0</v>
      </c>
      <c r="CB103" s="80">
        <v>41</v>
      </c>
      <c r="CC103" s="80">
        <v>0</v>
      </c>
      <c r="CD103" s="80">
        <v>47988</v>
      </c>
      <c r="CE103" s="80">
        <v>6771</v>
      </c>
      <c r="CF103" s="80">
        <v>27983</v>
      </c>
      <c r="CG103" s="80">
        <v>5696</v>
      </c>
      <c r="CH103" s="80">
        <v>927</v>
      </c>
      <c r="CI103" s="80">
        <v>6</v>
      </c>
      <c r="CJ103" s="80">
        <v>6</v>
      </c>
      <c r="CK103" s="80">
        <v>6605</v>
      </c>
      <c r="CL103" s="80">
        <v>6161</v>
      </c>
      <c r="CM103" s="80">
        <v>5627</v>
      </c>
      <c r="CN103" s="80">
        <v>2702</v>
      </c>
      <c r="CO103" s="80">
        <v>2925</v>
      </c>
      <c r="CP103" s="80">
        <v>0</v>
      </c>
      <c r="CQ103" s="80">
        <v>108</v>
      </c>
      <c r="CR103" s="80">
        <v>0</v>
      </c>
      <c r="CS103" s="80">
        <v>0</v>
      </c>
      <c r="CT103" s="80">
        <v>108</v>
      </c>
      <c r="CU103" s="80">
        <v>426</v>
      </c>
      <c r="CV103" s="80">
        <v>0</v>
      </c>
      <c r="CW103" s="80">
        <v>0</v>
      </c>
      <c r="CX103" s="80">
        <v>0</v>
      </c>
      <c r="CY103" s="80">
        <v>0</v>
      </c>
      <c r="CZ103" s="80">
        <v>5587</v>
      </c>
      <c r="DA103" s="80">
        <v>28</v>
      </c>
      <c r="DB103" s="80">
        <v>0</v>
      </c>
      <c r="DC103" s="80">
        <v>0</v>
      </c>
      <c r="DD103" s="80">
        <v>28</v>
      </c>
      <c r="DE103" s="80">
        <v>0</v>
      </c>
      <c r="DF103" s="80">
        <v>0</v>
      </c>
      <c r="DG103" s="80">
        <v>2411</v>
      </c>
      <c r="DH103" s="80">
        <v>379</v>
      </c>
      <c r="DI103" s="80">
        <v>0</v>
      </c>
      <c r="DJ103" s="80">
        <v>30</v>
      </c>
      <c r="DK103" s="80">
        <v>349</v>
      </c>
      <c r="DL103" s="80">
        <v>0</v>
      </c>
      <c r="DM103" s="80">
        <v>2032</v>
      </c>
      <c r="DN103" s="80">
        <v>1180</v>
      </c>
      <c r="DO103" s="80">
        <v>0</v>
      </c>
      <c r="DP103" s="80">
        <v>219</v>
      </c>
      <c r="DQ103" s="80">
        <v>633</v>
      </c>
      <c r="DR103" s="80">
        <v>0</v>
      </c>
      <c r="DS103" s="80">
        <v>0</v>
      </c>
      <c r="DT103" s="80">
        <v>0</v>
      </c>
      <c r="DU103" s="80">
        <v>0</v>
      </c>
      <c r="DV103" s="80">
        <v>0</v>
      </c>
      <c r="DW103" s="80">
        <v>3148</v>
      </c>
      <c r="DX103" s="80">
        <v>59777</v>
      </c>
      <c r="DY103" s="80">
        <v>31208</v>
      </c>
      <c r="DZ103" s="80">
        <v>27017</v>
      </c>
      <c r="EA103" s="80">
        <v>0</v>
      </c>
      <c r="EB103" s="80">
        <v>0</v>
      </c>
      <c r="EC103" s="80">
        <v>-2362</v>
      </c>
      <c r="ED103" s="80">
        <v>6553</v>
      </c>
      <c r="EE103" s="80">
        <v>504</v>
      </c>
      <c r="EF103" s="80">
        <v>504</v>
      </c>
      <c r="EG103" s="80">
        <v>0</v>
      </c>
      <c r="EH103" s="80">
        <v>0</v>
      </c>
      <c r="EI103" s="80">
        <v>0</v>
      </c>
      <c r="EJ103" s="80">
        <v>0</v>
      </c>
      <c r="EK103" s="80">
        <v>328</v>
      </c>
      <c r="EL103" s="80">
        <v>0</v>
      </c>
      <c r="EM103" s="80">
        <v>7</v>
      </c>
      <c r="EN103" s="80">
        <v>321</v>
      </c>
      <c r="EO103" s="80">
        <v>27737</v>
      </c>
      <c r="EP103" s="80">
        <v>11088</v>
      </c>
      <c r="EQ103" s="80">
        <v>0</v>
      </c>
      <c r="ER103" s="80">
        <v>9930</v>
      </c>
      <c r="ES103" s="80">
        <v>513</v>
      </c>
      <c r="ET103" s="80">
        <v>9417</v>
      </c>
      <c r="EU103" s="80">
        <v>0</v>
      </c>
      <c r="EV103" s="80">
        <v>0</v>
      </c>
      <c r="EW103" s="80">
        <v>0</v>
      </c>
      <c r="EX103" s="80">
        <v>0</v>
      </c>
      <c r="EY103" s="80">
        <v>411</v>
      </c>
      <c r="EZ103" s="80">
        <v>0</v>
      </c>
      <c r="FA103" s="80">
        <v>747</v>
      </c>
      <c r="FB103" s="80">
        <v>0</v>
      </c>
      <c r="FC103" s="80">
        <v>0</v>
      </c>
      <c r="FD103" s="80">
        <v>16649</v>
      </c>
      <c r="FE103" s="80">
        <v>0</v>
      </c>
      <c r="FF103" s="80">
        <v>7430</v>
      </c>
      <c r="FG103" s="80">
        <v>3917</v>
      </c>
      <c r="FH103" s="80">
        <v>3513</v>
      </c>
      <c r="FI103" s="80">
        <v>0</v>
      </c>
      <c r="FJ103" s="80">
        <v>0</v>
      </c>
      <c r="FK103" s="80">
        <v>0</v>
      </c>
      <c r="FL103" s="80">
        <v>0</v>
      </c>
      <c r="FM103" s="80">
        <v>0</v>
      </c>
      <c r="FN103" s="80">
        <v>3953</v>
      </c>
      <c r="FO103" s="80">
        <v>613</v>
      </c>
      <c r="FP103" s="80">
        <v>4653</v>
      </c>
      <c r="FQ103" s="80">
        <v>59777</v>
      </c>
      <c r="FR103" s="80">
        <v>9007</v>
      </c>
      <c r="FS103" s="80">
        <v>2281</v>
      </c>
      <c r="FT103" s="100">
        <v>34683.265233883991</v>
      </c>
      <c r="FU103" s="100"/>
      <c r="FV103" s="100">
        <v>14644</v>
      </c>
      <c r="FW103" s="67">
        <v>2771</v>
      </c>
      <c r="FX103" s="100">
        <f t="shared" si="10"/>
        <v>-40306</v>
      </c>
      <c r="FY103" s="100">
        <f t="shared" si="11"/>
        <v>-60960</v>
      </c>
      <c r="FZ103" s="100">
        <v>42544.503749553158</v>
      </c>
      <c r="GA103" s="67">
        <v>20654</v>
      </c>
      <c r="GB103" s="58">
        <f t="shared" si="8"/>
        <v>6010</v>
      </c>
      <c r="GC103" s="67">
        <v>2890</v>
      </c>
      <c r="GD103" s="100">
        <v>4074</v>
      </c>
      <c r="GE103" s="100">
        <v>620</v>
      </c>
      <c r="GF103" s="58">
        <f t="shared" si="9"/>
        <v>3454</v>
      </c>
      <c r="GG103" s="100">
        <v>-16500.260999999999</v>
      </c>
      <c r="GH103" s="100">
        <v>-737.34515000000044</v>
      </c>
      <c r="GI103" s="100">
        <v>-25953.014088086766</v>
      </c>
      <c r="GJ103" s="67">
        <f t="shared" si="12"/>
        <v>119</v>
      </c>
      <c r="GK103" s="67"/>
      <c r="GM103" s="96"/>
    </row>
    <row r="104" spans="1:195" ht="13.5" customHeight="1" x14ac:dyDescent="0.2">
      <c r="A104" s="74">
        <v>261</v>
      </c>
      <c r="B104" s="75" t="s">
        <v>65</v>
      </c>
      <c r="C104" s="75" t="s">
        <v>65</v>
      </c>
      <c r="D104" s="76"/>
      <c r="E104" s="77" t="s">
        <v>222</v>
      </c>
      <c r="F104" s="78">
        <v>3</v>
      </c>
      <c r="G104" s="79">
        <v>6416</v>
      </c>
      <c r="H104" s="80">
        <v>6696</v>
      </c>
      <c r="I104" s="80">
        <v>875</v>
      </c>
      <c r="J104" s="80">
        <v>3170</v>
      </c>
      <c r="K104" s="80">
        <v>1113</v>
      </c>
      <c r="L104" s="80">
        <v>1538</v>
      </c>
      <c r="M104" s="80">
        <v>0</v>
      </c>
      <c r="N104" s="80">
        <v>0</v>
      </c>
      <c r="O104" s="80">
        <v>52106</v>
      </c>
      <c r="P104" s="80">
        <v>25297</v>
      </c>
      <c r="Q104" s="80">
        <v>19283</v>
      </c>
      <c r="R104" s="80">
        <v>6014</v>
      </c>
      <c r="S104" s="80">
        <v>4822</v>
      </c>
      <c r="T104" s="80">
        <v>1192</v>
      </c>
      <c r="U104" s="80">
        <v>20044</v>
      </c>
      <c r="V104" s="80">
        <v>3680</v>
      </c>
      <c r="W104" s="80">
        <v>2674</v>
      </c>
      <c r="X104" s="80">
        <v>411</v>
      </c>
      <c r="Y104" s="80">
        <v>-45410</v>
      </c>
      <c r="Z104" s="80">
        <v>27547</v>
      </c>
      <c r="AA104" s="80">
        <v>18371</v>
      </c>
      <c r="AB104" s="80">
        <v>4330</v>
      </c>
      <c r="AC104" s="80">
        <v>4846</v>
      </c>
      <c r="AD104" s="80">
        <v>21182</v>
      </c>
      <c r="AE104" s="80">
        <v>951</v>
      </c>
      <c r="AF104" s="80">
        <v>0</v>
      </c>
      <c r="AG104" s="80">
        <v>1384</v>
      </c>
      <c r="AH104" s="80">
        <v>1318</v>
      </c>
      <c r="AI104" s="80">
        <v>426</v>
      </c>
      <c r="AJ104" s="80">
        <v>7</v>
      </c>
      <c r="AK104" s="80">
        <v>4270</v>
      </c>
      <c r="AL104" s="80">
        <v>2595</v>
      </c>
      <c r="AM104" s="80">
        <v>2595</v>
      </c>
      <c r="AN104" s="80">
        <v>0</v>
      </c>
      <c r="AO104" s="80">
        <v>0</v>
      </c>
      <c r="AP104" s="80">
        <v>0</v>
      </c>
      <c r="AQ104" s="80">
        <v>0</v>
      </c>
      <c r="AR104" s="80">
        <v>1675</v>
      </c>
      <c r="AS104" s="80">
        <v>-57</v>
      </c>
      <c r="AT104" s="80">
        <v>277</v>
      </c>
      <c r="AU104" s="80">
        <v>0</v>
      </c>
      <c r="AV104" s="80">
        <v>1895</v>
      </c>
      <c r="AW104" s="81"/>
      <c r="AX104" s="80">
        <v>4270</v>
      </c>
      <c r="AY104" s="80">
        <v>4270</v>
      </c>
      <c r="AZ104" s="80">
        <v>0</v>
      </c>
      <c r="BA104" s="80">
        <v>0</v>
      </c>
      <c r="BB104" s="80">
        <v>-4242</v>
      </c>
      <c r="BC104" s="80">
        <v>4784</v>
      </c>
      <c r="BD104" s="80">
        <v>527</v>
      </c>
      <c r="BE104" s="80">
        <v>15</v>
      </c>
      <c r="BF104" s="80">
        <v>28</v>
      </c>
      <c r="BG104" s="80">
        <v>1546</v>
      </c>
      <c r="BH104" s="80">
        <v>126</v>
      </c>
      <c r="BI104" s="80">
        <v>0</v>
      </c>
      <c r="BJ104" s="80">
        <v>126</v>
      </c>
      <c r="BK104" s="80">
        <v>561</v>
      </c>
      <c r="BL104" s="80">
        <v>7055</v>
      </c>
      <c r="BM104" s="80">
        <v>4292</v>
      </c>
      <c r="BN104" s="80">
        <v>-2202</v>
      </c>
      <c r="BO104" s="80">
        <v>0</v>
      </c>
      <c r="BP104" s="80">
        <v>859</v>
      </c>
      <c r="BQ104" s="80">
        <v>879</v>
      </c>
      <c r="BR104" s="80">
        <v>0</v>
      </c>
      <c r="BS104" s="80">
        <v>1328</v>
      </c>
      <c r="BT104" s="80">
        <v>-1348</v>
      </c>
      <c r="BU104" s="80">
        <v>1564</v>
      </c>
      <c r="BV104" s="80">
        <v>2900</v>
      </c>
      <c r="BW104" s="80">
        <v>1336</v>
      </c>
      <c r="BX104" s="81"/>
      <c r="BY104" s="80">
        <v>59613</v>
      </c>
      <c r="BZ104" s="80">
        <v>466</v>
      </c>
      <c r="CA104" s="80">
        <v>233</v>
      </c>
      <c r="CB104" s="80">
        <v>233</v>
      </c>
      <c r="CC104" s="80">
        <v>0</v>
      </c>
      <c r="CD104" s="80">
        <v>47112</v>
      </c>
      <c r="CE104" s="80">
        <v>8223</v>
      </c>
      <c r="CF104" s="80">
        <v>24236</v>
      </c>
      <c r="CG104" s="80">
        <v>10947</v>
      </c>
      <c r="CH104" s="80">
        <v>574</v>
      </c>
      <c r="CI104" s="80">
        <v>0</v>
      </c>
      <c r="CJ104" s="80">
        <v>0</v>
      </c>
      <c r="CK104" s="80">
        <v>3132</v>
      </c>
      <c r="CL104" s="80">
        <v>12035</v>
      </c>
      <c r="CM104" s="80">
        <v>11646</v>
      </c>
      <c r="CN104" s="80">
        <v>2091</v>
      </c>
      <c r="CO104" s="80">
        <v>9555</v>
      </c>
      <c r="CP104" s="80">
        <v>0</v>
      </c>
      <c r="CQ104" s="80">
        <v>389</v>
      </c>
      <c r="CR104" s="80">
        <v>0</v>
      </c>
      <c r="CS104" s="80">
        <v>0</v>
      </c>
      <c r="CT104" s="80">
        <v>389</v>
      </c>
      <c r="CU104" s="80">
        <v>0</v>
      </c>
      <c r="CV104" s="80">
        <v>6</v>
      </c>
      <c r="CW104" s="80">
        <v>6</v>
      </c>
      <c r="CX104" s="80">
        <v>0</v>
      </c>
      <c r="CY104" s="80">
        <v>0</v>
      </c>
      <c r="CZ104" s="80">
        <v>4903</v>
      </c>
      <c r="DA104" s="80">
        <v>0</v>
      </c>
      <c r="DB104" s="80">
        <v>0</v>
      </c>
      <c r="DC104" s="80">
        <v>0</v>
      </c>
      <c r="DD104" s="80">
        <v>0</v>
      </c>
      <c r="DE104" s="80">
        <v>0</v>
      </c>
      <c r="DF104" s="80">
        <v>0</v>
      </c>
      <c r="DG104" s="80">
        <v>2003</v>
      </c>
      <c r="DH104" s="80">
        <v>0</v>
      </c>
      <c r="DI104" s="80">
        <v>0</v>
      </c>
      <c r="DJ104" s="80">
        <v>0</v>
      </c>
      <c r="DK104" s="80">
        <v>0</v>
      </c>
      <c r="DL104" s="80">
        <v>0</v>
      </c>
      <c r="DM104" s="80">
        <v>2003</v>
      </c>
      <c r="DN104" s="80">
        <v>1050</v>
      </c>
      <c r="DO104" s="80">
        <v>0</v>
      </c>
      <c r="DP104" s="80">
        <v>687</v>
      </c>
      <c r="DQ104" s="80">
        <v>266</v>
      </c>
      <c r="DR104" s="80">
        <v>0</v>
      </c>
      <c r="DS104" s="80">
        <v>0</v>
      </c>
      <c r="DT104" s="80">
        <v>0</v>
      </c>
      <c r="DU104" s="80">
        <v>0</v>
      </c>
      <c r="DV104" s="80">
        <v>0</v>
      </c>
      <c r="DW104" s="80">
        <v>2900</v>
      </c>
      <c r="DX104" s="80">
        <v>64522</v>
      </c>
      <c r="DY104" s="80">
        <v>17928</v>
      </c>
      <c r="DZ104" s="80">
        <v>10782</v>
      </c>
      <c r="EA104" s="80">
        <v>0</v>
      </c>
      <c r="EB104" s="80">
        <v>0</v>
      </c>
      <c r="EC104" s="80">
        <v>5251</v>
      </c>
      <c r="ED104" s="80">
        <v>1895</v>
      </c>
      <c r="EE104" s="80">
        <v>5482</v>
      </c>
      <c r="EF104" s="80">
        <v>2182</v>
      </c>
      <c r="EG104" s="80">
        <v>3300</v>
      </c>
      <c r="EH104" s="80">
        <v>0</v>
      </c>
      <c r="EI104" s="80">
        <v>0</v>
      </c>
      <c r="EJ104" s="80">
        <v>0</v>
      </c>
      <c r="EK104" s="80">
        <v>-145</v>
      </c>
      <c r="EL104" s="80">
        <v>-161</v>
      </c>
      <c r="EM104" s="80">
        <v>1</v>
      </c>
      <c r="EN104" s="80">
        <v>15</v>
      </c>
      <c r="EO104" s="80">
        <v>41257</v>
      </c>
      <c r="EP104" s="80">
        <v>29423</v>
      </c>
      <c r="EQ104" s="80">
        <v>0</v>
      </c>
      <c r="ER104" s="80">
        <v>25129</v>
      </c>
      <c r="ES104" s="80">
        <v>12485</v>
      </c>
      <c r="ET104" s="80">
        <v>12644</v>
      </c>
      <c r="EU104" s="80">
        <v>0</v>
      </c>
      <c r="EV104" s="80">
        <v>0</v>
      </c>
      <c r="EW104" s="80">
        <v>537</v>
      </c>
      <c r="EX104" s="80">
        <v>0</v>
      </c>
      <c r="EY104" s="80">
        <v>3757</v>
      </c>
      <c r="EZ104" s="80">
        <v>0</v>
      </c>
      <c r="FA104" s="80">
        <v>0</v>
      </c>
      <c r="FB104" s="80">
        <v>0</v>
      </c>
      <c r="FC104" s="80">
        <v>0</v>
      </c>
      <c r="FD104" s="80">
        <v>11834</v>
      </c>
      <c r="FE104" s="80">
        <v>0</v>
      </c>
      <c r="FF104" s="80">
        <v>5210</v>
      </c>
      <c r="FG104" s="80">
        <v>2482</v>
      </c>
      <c r="FH104" s="80">
        <v>2728</v>
      </c>
      <c r="FI104" s="80">
        <v>0</v>
      </c>
      <c r="FJ104" s="80">
        <v>0</v>
      </c>
      <c r="FK104" s="80">
        <v>41</v>
      </c>
      <c r="FL104" s="80">
        <v>0</v>
      </c>
      <c r="FM104" s="80">
        <v>0</v>
      </c>
      <c r="FN104" s="80">
        <v>2697</v>
      </c>
      <c r="FO104" s="80">
        <v>455</v>
      </c>
      <c r="FP104" s="80">
        <v>3431</v>
      </c>
      <c r="FQ104" s="80">
        <v>64522</v>
      </c>
      <c r="FR104" s="80">
        <v>8503</v>
      </c>
      <c r="FS104" s="80">
        <v>650</v>
      </c>
      <c r="FT104" s="100">
        <v>31099.52283128383</v>
      </c>
      <c r="FU104" s="100"/>
      <c r="FV104" s="100">
        <v>11983</v>
      </c>
      <c r="FW104" s="67">
        <v>2451</v>
      </c>
      <c r="FX104" s="100">
        <f t="shared" si="10"/>
        <v>-28441</v>
      </c>
      <c r="FY104" s="100">
        <f t="shared" si="11"/>
        <v>-42815</v>
      </c>
      <c r="FZ104" s="100">
        <v>26491.855192798677</v>
      </c>
      <c r="GA104" s="67">
        <v>14374</v>
      </c>
      <c r="GB104" s="58">
        <f t="shared" si="8"/>
        <v>2391</v>
      </c>
      <c r="GC104" s="67">
        <v>2595</v>
      </c>
      <c r="GD104" s="100">
        <v>3235</v>
      </c>
      <c r="GE104" s="100">
        <v>1185</v>
      </c>
      <c r="GF104" s="58">
        <f t="shared" si="9"/>
        <v>2050</v>
      </c>
      <c r="GG104" s="100">
        <v>-11212.337</v>
      </c>
      <c r="GH104" s="100">
        <v>-1096.6027000000004</v>
      </c>
      <c r="GI104" s="100">
        <v>-14509.658175422652</v>
      </c>
      <c r="GJ104" s="67">
        <f t="shared" si="12"/>
        <v>144</v>
      </c>
      <c r="GK104" s="67"/>
      <c r="GM104" s="96"/>
    </row>
    <row r="105" spans="1:195" ht="13.5" customHeight="1" x14ac:dyDescent="0.2">
      <c r="A105" s="74">
        <v>263</v>
      </c>
      <c r="B105" s="75" t="s">
        <v>66</v>
      </c>
      <c r="C105" s="75" t="s">
        <v>66</v>
      </c>
      <c r="D105" s="76"/>
      <c r="E105" s="77" t="s">
        <v>239</v>
      </c>
      <c r="F105" s="78">
        <v>3</v>
      </c>
      <c r="G105" s="79">
        <v>8600</v>
      </c>
      <c r="H105" s="80">
        <v>7334</v>
      </c>
      <c r="I105" s="80">
        <v>4262</v>
      </c>
      <c r="J105" s="80">
        <v>633</v>
      </c>
      <c r="K105" s="80">
        <v>581</v>
      </c>
      <c r="L105" s="80">
        <v>1858</v>
      </c>
      <c r="M105" s="80">
        <v>0</v>
      </c>
      <c r="N105" s="80">
        <v>61</v>
      </c>
      <c r="O105" s="80">
        <v>59951</v>
      </c>
      <c r="P105" s="80">
        <v>16140</v>
      </c>
      <c r="Q105" s="80">
        <v>11495</v>
      </c>
      <c r="R105" s="80">
        <v>4645</v>
      </c>
      <c r="S105" s="80">
        <v>3954</v>
      </c>
      <c r="T105" s="80">
        <v>691</v>
      </c>
      <c r="U105" s="80">
        <v>38198</v>
      </c>
      <c r="V105" s="80">
        <v>3047</v>
      </c>
      <c r="W105" s="80">
        <v>2056</v>
      </c>
      <c r="X105" s="80">
        <v>510</v>
      </c>
      <c r="Y105" s="80">
        <v>-52556</v>
      </c>
      <c r="Z105" s="80">
        <v>24935</v>
      </c>
      <c r="AA105" s="80">
        <v>21344</v>
      </c>
      <c r="AB105" s="80">
        <v>1935</v>
      </c>
      <c r="AC105" s="80">
        <v>1656</v>
      </c>
      <c r="AD105" s="80">
        <v>30238</v>
      </c>
      <c r="AE105" s="80">
        <v>963</v>
      </c>
      <c r="AF105" s="80">
        <v>23</v>
      </c>
      <c r="AG105" s="80">
        <v>1283</v>
      </c>
      <c r="AH105" s="80">
        <v>548</v>
      </c>
      <c r="AI105" s="80">
        <v>246</v>
      </c>
      <c r="AJ105" s="80">
        <v>97</v>
      </c>
      <c r="AK105" s="80">
        <v>3580</v>
      </c>
      <c r="AL105" s="80">
        <v>3803</v>
      </c>
      <c r="AM105" s="80">
        <v>3118</v>
      </c>
      <c r="AN105" s="80">
        <v>685</v>
      </c>
      <c r="AO105" s="80">
        <v>0</v>
      </c>
      <c r="AP105" s="80">
        <v>0</v>
      </c>
      <c r="AQ105" s="80">
        <v>0</v>
      </c>
      <c r="AR105" s="80">
        <v>-223</v>
      </c>
      <c r="AS105" s="80">
        <v>19</v>
      </c>
      <c r="AT105" s="80">
        <v>0</v>
      </c>
      <c r="AU105" s="80">
        <v>0</v>
      </c>
      <c r="AV105" s="80">
        <v>-204</v>
      </c>
      <c r="AW105" s="81"/>
      <c r="AX105" s="80">
        <v>3518</v>
      </c>
      <c r="AY105" s="80">
        <v>3580</v>
      </c>
      <c r="AZ105" s="80">
        <v>0</v>
      </c>
      <c r="BA105" s="80">
        <v>-62</v>
      </c>
      <c r="BB105" s="80">
        <v>-3230</v>
      </c>
      <c r="BC105" s="80">
        <v>3314</v>
      </c>
      <c r="BD105" s="80">
        <v>70</v>
      </c>
      <c r="BE105" s="80">
        <v>14</v>
      </c>
      <c r="BF105" s="80">
        <v>288</v>
      </c>
      <c r="BG105" s="80">
        <v>534</v>
      </c>
      <c r="BH105" s="80">
        <v>56</v>
      </c>
      <c r="BI105" s="80">
        <v>30</v>
      </c>
      <c r="BJ105" s="80">
        <v>86</v>
      </c>
      <c r="BK105" s="80">
        <v>350</v>
      </c>
      <c r="BL105" s="80">
        <v>0</v>
      </c>
      <c r="BM105" s="80">
        <v>2953</v>
      </c>
      <c r="BN105" s="80">
        <v>3303</v>
      </c>
      <c r="BO105" s="80">
        <v>0</v>
      </c>
      <c r="BP105" s="80">
        <v>128</v>
      </c>
      <c r="BQ105" s="80">
        <v>-3</v>
      </c>
      <c r="BR105" s="80">
        <v>0</v>
      </c>
      <c r="BS105" s="80">
        <v>33</v>
      </c>
      <c r="BT105" s="80">
        <v>98</v>
      </c>
      <c r="BU105" s="80">
        <v>822</v>
      </c>
      <c r="BV105" s="80">
        <v>7506</v>
      </c>
      <c r="BW105" s="80">
        <v>6684</v>
      </c>
      <c r="BX105" s="81"/>
      <c r="BY105" s="80">
        <v>57405</v>
      </c>
      <c r="BZ105" s="80">
        <v>1996</v>
      </c>
      <c r="CA105" s="80">
        <v>78</v>
      </c>
      <c r="CB105" s="80">
        <v>1918</v>
      </c>
      <c r="CC105" s="80">
        <v>0</v>
      </c>
      <c r="CD105" s="80">
        <v>42788</v>
      </c>
      <c r="CE105" s="80">
        <v>3601</v>
      </c>
      <c r="CF105" s="80">
        <v>22803</v>
      </c>
      <c r="CG105" s="80">
        <v>15209</v>
      </c>
      <c r="CH105" s="80">
        <v>1175</v>
      </c>
      <c r="CI105" s="80">
        <v>0</v>
      </c>
      <c r="CJ105" s="80">
        <v>0</v>
      </c>
      <c r="CK105" s="80">
        <v>0</v>
      </c>
      <c r="CL105" s="80">
        <v>12621</v>
      </c>
      <c r="CM105" s="80">
        <v>11336</v>
      </c>
      <c r="CN105" s="80">
        <v>5582</v>
      </c>
      <c r="CO105" s="80">
        <v>5754</v>
      </c>
      <c r="CP105" s="80">
        <v>0</v>
      </c>
      <c r="CQ105" s="80">
        <v>1173</v>
      </c>
      <c r="CR105" s="80">
        <v>0</v>
      </c>
      <c r="CS105" s="80">
        <v>0</v>
      </c>
      <c r="CT105" s="80">
        <v>1173</v>
      </c>
      <c r="CU105" s="80">
        <v>112</v>
      </c>
      <c r="CV105" s="80">
        <v>126</v>
      </c>
      <c r="CW105" s="80">
        <v>78</v>
      </c>
      <c r="CX105" s="80">
        <v>48</v>
      </c>
      <c r="CY105" s="80">
        <v>0</v>
      </c>
      <c r="CZ105" s="80">
        <v>8845</v>
      </c>
      <c r="DA105" s="80">
        <v>0</v>
      </c>
      <c r="DB105" s="80">
        <v>0</v>
      </c>
      <c r="DC105" s="80">
        <v>0</v>
      </c>
      <c r="DD105" s="80">
        <v>0</v>
      </c>
      <c r="DE105" s="80">
        <v>0</v>
      </c>
      <c r="DF105" s="80">
        <v>0</v>
      </c>
      <c r="DG105" s="80">
        <v>1339</v>
      </c>
      <c r="DH105" s="80">
        <v>11</v>
      </c>
      <c r="DI105" s="80">
        <v>1</v>
      </c>
      <c r="DJ105" s="80">
        <v>10</v>
      </c>
      <c r="DK105" s="80">
        <v>0</v>
      </c>
      <c r="DL105" s="80">
        <v>0</v>
      </c>
      <c r="DM105" s="80">
        <v>1328</v>
      </c>
      <c r="DN105" s="80">
        <v>612</v>
      </c>
      <c r="DO105" s="80">
        <v>40</v>
      </c>
      <c r="DP105" s="80">
        <v>308</v>
      </c>
      <c r="DQ105" s="80">
        <v>368</v>
      </c>
      <c r="DR105" s="80">
        <v>6524</v>
      </c>
      <c r="DS105" s="80">
        <v>0</v>
      </c>
      <c r="DT105" s="80">
        <v>0</v>
      </c>
      <c r="DU105" s="80">
        <v>342</v>
      </c>
      <c r="DV105" s="80">
        <v>6182</v>
      </c>
      <c r="DW105" s="80">
        <v>982</v>
      </c>
      <c r="DX105" s="80">
        <v>66376</v>
      </c>
      <c r="DY105" s="80">
        <v>31244</v>
      </c>
      <c r="DZ105" s="80">
        <v>29512</v>
      </c>
      <c r="EA105" s="80">
        <v>0</v>
      </c>
      <c r="EB105" s="80">
        <v>0</v>
      </c>
      <c r="EC105" s="80">
        <v>1936</v>
      </c>
      <c r="ED105" s="80">
        <v>-204</v>
      </c>
      <c r="EE105" s="80">
        <v>407</v>
      </c>
      <c r="EF105" s="80">
        <v>107</v>
      </c>
      <c r="EG105" s="80">
        <v>300</v>
      </c>
      <c r="EH105" s="80">
        <v>0</v>
      </c>
      <c r="EI105" s="80">
        <v>0</v>
      </c>
      <c r="EJ105" s="80">
        <v>0</v>
      </c>
      <c r="EK105" s="80">
        <v>239</v>
      </c>
      <c r="EL105" s="80">
        <v>77</v>
      </c>
      <c r="EM105" s="80">
        <v>162</v>
      </c>
      <c r="EN105" s="80">
        <v>0</v>
      </c>
      <c r="EO105" s="80">
        <v>34486</v>
      </c>
      <c r="EP105" s="80">
        <v>11173</v>
      </c>
      <c r="EQ105" s="80">
        <v>0</v>
      </c>
      <c r="ER105" s="80">
        <v>10873</v>
      </c>
      <c r="ES105" s="80">
        <v>0</v>
      </c>
      <c r="ET105" s="80">
        <v>10873</v>
      </c>
      <c r="EU105" s="80">
        <v>0</v>
      </c>
      <c r="EV105" s="80">
        <v>0</v>
      </c>
      <c r="EW105" s="80">
        <v>300</v>
      </c>
      <c r="EX105" s="80">
        <v>0</v>
      </c>
      <c r="EY105" s="80">
        <v>0</v>
      </c>
      <c r="EZ105" s="80">
        <v>0</v>
      </c>
      <c r="FA105" s="80">
        <v>0</v>
      </c>
      <c r="FB105" s="80">
        <v>0</v>
      </c>
      <c r="FC105" s="80">
        <v>0</v>
      </c>
      <c r="FD105" s="80">
        <v>23313</v>
      </c>
      <c r="FE105" s="80">
        <v>0</v>
      </c>
      <c r="FF105" s="80">
        <v>18603</v>
      </c>
      <c r="FG105" s="80">
        <v>0</v>
      </c>
      <c r="FH105" s="80">
        <v>18603</v>
      </c>
      <c r="FI105" s="80">
        <v>0</v>
      </c>
      <c r="FJ105" s="80">
        <v>0</v>
      </c>
      <c r="FK105" s="80">
        <v>150</v>
      </c>
      <c r="FL105" s="80">
        <v>0</v>
      </c>
      <c r="FM105" s="80">
        <v>7</v>
      </c>
      <c r="FN105" s="80">
        <v>1999</v>
      </c>
      <c r="FO105" s="80">
        <v>237</v>
      </c>
      <c r="FP105" s="80">
        <v>2317</v>
      </c>
      <c r="FQ105" s="80">
        <v>66376</v>
      </c>
      <c r="FR105" s="80">
        <v>18872</v>
      </c>
      <c r="FS105" s="80">
        <v>1192</v>
      </c>
      <c r="FT105" s="100">
        <v>28493.454525395271</v>
      </c>
      <c r="FU105" s="100"/>
      <c r="FV105" s="100">
        <v>11183</v>
      </c>
      <c r="FW105" s="67">
        <v>3797</v>
      </c>
      <c r="FX105" s="100">
        <f t="shared" si="10"/>
        <v>-37384</v>
      </c>
      <c r="FY105" s="100">
        <f t="shared" si="11"/>
        <v>-48753</v>
      </c>
      <c r="FZ105" s="100">
        <v>34561.3433404678</v>
      </c>
      <c r="GA105" s="67">
        <v>11369</v>
      </c>
      <c r="GB105" s="58">
        <f t="shared" si="8"/>
        <v>186</v>
      </c>
      <c r="GC105" s="67">
        <v>3801</v>
      </c>
      <c r="GD105" s="100">
        <v>694</v>
      </c>
      <c r="GE105" s="100">
        <v>692</v>
      </c>
      <c r="GF105" s="58">
        <f t="shared" si="9"/>
        <v>2</v>
      </c>
      <c r="GG105" s="100">
        <v>-12175.41</v>
      </c>
      <c r="GH105" s="100">
        <v>-578.67360000000008</v>
      </c>
      <c r="GI105" s="100">
        <v>-22357.583346947409</v>
      </c>
      <c r="GJ105" s="67">
        <f t="shared" si="12"/>
        <v>4</v>
      </c>
      <c r="GK105" s="67"/>
      <c r="GM105" s="96"/>
    </row>
    <row r="106" spans="1:195" ht="13.5" customHeight="1" x14ac:dyDescent="0.2">
      <c r="A106" s="74">
        <v>265</v>
      </c>
      <c r="B106" s="75" t="s">
        <v>67</v>
      </c>
      <c r="C106" s="75" t="s">
        <v>67</v>
      </c>
      <c r="D106" s="76"/>
      <c r="E106" s="77" t="s">
        <v>231</v>
      </c>
      <c r="F106" s="78">
        <v>1</v>
      </c>
      <c r="G106" s="79">
        <v>1200</v>
      </c>
      <c r="H106" s="80">
        <v>1706</v>
      </c>
      <c r="I106" s="80">
        <v>887</v>
      </c>
      <c r="J106" s="80">
        <v>45</v>
      </c>
      <c r="K106" s="80">
        <v>74</v>
      </c>
      <c r="L106" s="80">
        <v>700</v>
      </c>
      <c r="M106" s="80">
        <v>0</v>
      </c>
      <c r="N106" s="80">
        <v>0</v>
      </c>
      <c r="O106" s="80">
        <v>10020</v>
      </c>
      <c r="P106" s="80">
        <v>2166</v>
      </c>
      <c r="Q106" s="80">
        <v>1591</v>
      </c>
      <c r="R106" s="80">
        <v>575</v>
      </c>
      <c r="S106" s="80">
        <v>521</v>
      </c>
      <c r="T106" s="80">
        <v>54</v>
      </c>
      <c r="U106" s="80">
        <v>6875</v>
      </c>
      <c r="V106" s="80">
        <v>598</v>
      </c>
      <c r="W106" s="80">
        <v>248</v>
      </c>
      <c r="X106" s="80">
        <v>133</v>
      </c>
      <c r="Y106" s="80">
        <v>-8314</v>
      </c>
      <c r="Z106" s="80">
        <v>3585</v>
      </c>
      <c r="AA106" s="80">
        <v>2630</v>
      </c>
      <c r="AB106" s="80">
        <v>375</v>
      </c>
      <c r="AC106" s="80">
        <v>580</v>
      </c>
      <c r="AD106" s="80">
        <v>5474</v>
      </c>
      <c r="AE106" s="80">
        <v>4</v>
      </c>
      <c r="AF106" s="80">
        <v>0</v>
      </c>
      <c r="AG106" s="80">
        <v>32</v>
      </c>
      <c r="AH106" s="80">
        <v>1</v>
      </c>
      <c r="AI106" s="80">
        <v>28</v>
      </c>
      <c r="AJ106" s="80">
        <v>0</v>
      </c>
      <c r="AK106" s="80">
        <v>749</v>
      </c>
      <c r="AL106" s="80">
        <v>476</v>
      </c>
      <c r="AM106" s="80">
        <v>476</v>
      </c>
      <c r="AN106" s="80">
        <v>0</v>
      </c>
      <c r="AO106" s="80">
        <v>0</v>
      </c>
      <c r="AP106" s="80">
        <v>0</v>
      </c>
      <c r="AQ106" s="80">
        <v>0</v>
      </c>
      <c r="AR106" s="80">
        <v>273</v>
      </c>
      <c r="AS106" s="80">
        <v>0</v>
      </c>
      <c r="AT106" s="80">
        <v>0</v>
      </c>
      <c r="AU106" s="80">
        <v>0</v>
      </c>
      <c r="AV106" s="80">
        <v>273</v>
      </c>
      <c r="AW106" s="81"/>
      <c r="AX106" s="80">
        <v>749</v>
      </c>
      <c r="AY106" s="80">
        <v>749</v>
      </c>
      <c r="AZ106" s="80">
        <v>0</v>
      </c>
      <c r="BA106" s="80">
        <v>0</v>
      </c>
      <c r="BB106" s="80">
        <v>-3217</v>
      </c>
      <c r="BC106" s="80">
        <v>4063</v>
      </c>
      <c r="BD106" s="80">
        <v>837</v>
      </c>
      <c r="BE106" s="80">
        <v>9</v>
      </c>
      <c r="BF106" s="80">
        <v>-2468</v>
      </c>
      <c r="BG106" s="80">
        <v>3956</v>
      </c>
      <c r="BH106" s="80">
        <v>0</v>
      </c>
      <c r="BI106" s="80">
        <v>0</v>
      </c>
      <c r="BJ106" s="80">
        <v>0</v>
      </c>
      <c r="BK106" s="80">
        <v>4224</v>
      </c>
      <c r="BL106" s="80">
        <v>4321</v>
      </c>
      <c r="BM106" s="80">
        <v>97</v>
      </c>
      <c r="BN106" s="80">
        <v>0</v>
      </c>
      <c r="BO106" s="80">
        <v>354</v>
      </c>
      <c r="BP106" s="80">
        <v>-622</v>
      </c>
      <c r="BQ106" s="80">
        <v>0</v>
      </c>
      <c r="BR106" s="80">
        <v>0</v>
      </c>
      <c r="BS106" s="80">
        <v>0</v>
      </c>
      <c r="BT106" s="80">
        <v>-622</v>
      </c>
      <c r="BU106" s="80">
        <v>1488</v>
      </c>
      <c r="BV106" s="80">
        <v>1616</v>
      </c>
      <c r="BW106" s="80">
        <v>128</v>
      </c>
      <c r="BX106" s="81"/>
      <c r="BY106" s="80">
        <v>12354</v>
      </c>
      <c r="BZ106" s="80">
        <v>10</v>
      </c>
      <c r="CA106" s="80">
        <v>10</v>
      </c>
      <c r="CB106" s="80">
        <v>0</v>
      </c>
      <c r="CC106" s="80">
        <v>0</v>
      </c>
      <c r="CD106" s="80">
        <v>9391</v>
      </c>
      <c r="CE106" s="80">
        <v>1219</v>
      </c>
      <c r="CF106" s="80">
        <v>3258</v>
      </c>
      <c r="CG106" s="80">
        <v>1486</v>
      </c>
      <c r="CH106" s="80">
        <v>74</v>
      </c>
      <c r="CI106" s="80">
        <v>0</v>
      </c>
      <c r="CJ106" s="80">
        <v>0</v>
      </c>
      <c r="CK106" s="80">
        <v>3354</v>
      </c>
      <c r="CL106" s="80">
        <v>2953</v>
      </c>
      <c r="CM106" s="80">
        <v>2262</v>
      </c>
      <c r="CN106" s="80">
        <v>579</v>
      </c>
      <c r="CO106" s="80">
        <v>1683</v>
      </c>
      <c r="CP106" s="80">
        <v>0</v>
      </c>
      <c r="CQ106" s="80">
        <v>691</v>
      </c>
      <c r="CR106" s="80">
        <v>0</v>
      </c>
      <c r="CS106" s="80">
        <v>0</v>
      </c>
      <c r="CT106" s="80">
        <v>691</v>
      </c>
      <c r="CU106" s="80">
        <v>0</v>
      </c>
      <c r="CV106" s="80">
        <v>232</v>
      </c>
      <c r="CW106" s="80">
        <v>0</v>
      </c>
      <c r="CX106" s="80">
        <v>232</v>
      </c>
      <c r="CY106" s="80">
        <v>0</v>
      </c>
      <c r="CZ106" s="80">
        <v>2576</v>
      </c>
      <c r="DA106" s="80">
        <v>0</v>
      </c>
      <c r="DB106" s="80">
        <v>0</v>
      </c>
      <c r="DC106" s="80">
        <v>0</v>
      </c>
      <c r="DD106" s="80">
        <v>0</v>
      </c>
      <c r="DE106" s="80">
        <v>0</v>
      </c>
      <c r="DF106" s="80">
        <v>0</v>
      </c>
      <c r="DG106" s="80">
        <v>960</v>
      </c>
      <c r="DH106" s="80">
        <v>0</v>
      </c>
      <c r="DI106" s="80">
        <v>0</v>
      </c>
      <c r="DJ106" s="80">
        <v>0</v>
      </c>
      <c r="DK106" s="80">
        <v>0</v>
      </c>
      <c r="DL106" s="80">
        <v>0</v>
      </c>
      <c r="DM106" s="80">
        <v>960</v>
      </c>
      <c r="DN106" s="80">
        <v>409</v>
      </c>
      <c r="DO106" s="80">
        <v>42</v>
      </c>
      <c r="DP106" s="80">
        <v>509</v>
      </c>
      <c r="DQ106" s="80">
        <v>0</v>
      </c>
      <c r="DR106" s="80">
        <v>0</v>
      </c>
      <c r="DS106" s="80">
        <v>0</v>
      </c>
      <c r="DT106" s="80">
        <v>0</v>
      </c>
      <c r="DU106" s="80">
        <v>0</v>
      </c>
      <c r="DV106" s="80">
        <v>0</v>
      </c>
      <c r="DW106" s="80">
        <v>1616</v>
      </c>
      <c r="DX106" s="80">
        <v>15162</v>
      </c>
      <c r="DY106" s="80">
        <v>8230</v>
      </c>
      <c r="DZ106" s="80">
        <v>3687</v>
      </c>
      <c r="EA106" s="80">
        <v>0</v>
      </c>
      <c r="EB106" s="80">
        <v>0</v>
      </c>
      <c r="EC106" s="80">
        <v>4270</v>
      </c>
      <c r="ED106" s="80">
        <v>273</v>
      </c>
      <c r="EE106" s="80">
        <v>406</v>
      </c>
      <c r="EF106" s="80">
        <v>0</v>
      </c>
      <c r="EG106" s="80">
        <v>406</v>
      </c>
      <c r="EH106" s="80">
        <v>0</v>
      </c>
      <c r="EI106" s="80">
        <v>0</v>
      </c>
      <c r="EJ106" s="80">
        <v>0</v>
      </c>
      <c r="EK106" s="80">
        <v>236</v>
      </c>
      <c r="EL106" s="80">
        <v>0</v>
      </c>
      <c r="EM106" s="80">
        <v>236</v>
      </c>
      <c r="EN106" s="80">
        <v>0</v>
      </c>
      <c r="EO106" s="80">
        <v>6290</v>
      </c>
      <c r="EP106" s="80">
        <v>4866</v>
      </c>
      <c r="EQ106" s="80">
        <v>0</v>
      </c>
      <c r="ER106" s="80">
        <v>4694</v>
      </c>
      <c r="ES106" s="80">
        <v>0</v>
      </c>
      <c r="ET106" s="80">
        <v>4694</v>
      </c>
      <c r="EU106" s="80">
        <v>0</v>
      </c>
      <c r="EV106" s="80">
        <v>0</v>
      </c>
      <c r="EW106" s="80">
        <v>172</v>
      </c>
      <c r="EX106" s="80">
        <v>0</v>
      </c>
      <c r="EY106" s="80">
        <v>0</v>
      </c>
      <c r="EZ106" s="80">
        <v>0</v>
      </c>
      <c r="FA106" s="80">
        <v>0</v>
      </c>
      <c r="FB106" s="80">
        <v>0</v>
      </c>
      <c r="FC106" s="80">
        <v>0</v>
      </c>
      <c r="FD106" s="80">
        <v>1424</v>
      </c>
      <c r="FE106" s="80">
        <v>0</v>
      </c>
      <c r="FF106" s="80">
        <v>308</v>
      </c>
      <c r="FG106" s="80">
        <v>0</v>
      </c>
      <c r="FH106" s="80">
        <v>308</v>
      </c>
      <c r="FI106" s="80">
        <v>0</v>
      </c>
      <c r="FJ106" s="80">
        <v>0</v>
      </c>
      <c r="FK106" s="80">
        <v>0</v>
      </c>
      <c r="FL106" s="80">
        <v>0</v>
      </c>
      <c r="FM106" s="80">
        <v>0</v>
      </c>
      <c r="FN106" s="80">
        <v>737</v>
      </c>
      <c r="FO106" s="80">
        <v>68</v>
      </c>
      <c r="FP106" s="80">
        <v>311</v>
      </c>
      <c r="FQ106" s="80">
        <v>15162</v>
      </c>
      <c r="FR106" s="80">
        <v>1171</v>
      </c>
      <c r="FS106" s="80">
        <v>411</v>
      </c>
      <c r="FT106" s="100">
        <v>4638.0317086284958</v>
      </c>
      <c r="FU106" s="100"/>
      <c r="FV106" s="100">
        <v>2366</v>
      </c>
      <c r="FW106" s="67">
        <v>475</v>
      </c>
      <c r="FX106" s="100">
        <f t="shared" si="10"/>
        <v>-5452</v>
      </c>
      <c r="FY106" s="100">
        <f t="shared" si="11"/>
        <v>-7838</v>
      </c>
      <c r="FZ106" s="100">
        <v>5790.0685268514553</v>
      </c>
      <c r="GA106" s="67">
        <v>2386</v>
      </c>
      <c r="GB106" s="58">
        <f t="shared" si="8"/>
        <v>20</v>
      </c>
      <c r="GC106" s="67">
        <v>476</v>
      </c>
      <c r="GD106" s="100">
        <v>44</v>
      </c>
      <c r="GE106" s="100">
        <v>44</v>
      </c>
      <c r="GF106" s="58">
        <f t="shared" si="9"/>
        <v>0</v>
      </c>
      <c r="GG106" s="100">
        <v>-1516.076</v>
      </c>
      <c r="GH106" s="100">
        <v>-176.1039000000001</v>
      </c>
      <c r="GI106" s="100">
        <v>-4302.0471964516746</v>
      </c>
      <c r="GJ106" s="67">
        <f t="shared" si="12"/>
        <v>1</v>
      </c>
      <c r="GK106" s="67"/>
      <c r="GM106" s="96"/>
    </row>
    <row r="107" spans="1:195" ht="13.5" customHeight="1" x14ac:dyDescent="0.2">
      <c r="A107" s="74">
        <v>273</v>
      </c>
      <c r="B107" s="75" t="s">
        <v>68</v>
      </c>
      <c r="C107" s="75" t="s">
        <v>68</v>
      </c>
      <c r="D107" s="76"/>
      <c r="E107" s="77" t="s">
        <v>222</v>
      </c>
      <c r="F107" s="78">
        <v>2</v>
      </c>
      <c r="G107" s="79">
        <v>3848</v>
      </c>
      <c r="H107" s="80">
        <v>5786</v>
      </c>
      <c r="I107" s="80">
        <v>2600</v>
      </c>
      <c r="J107" s="80">
        <v>1733</v>
      </c>
      <c r="K107" s="80">
        <v>540</v>
      </c>
      <c r="L107" s="80">
        <v>913</v>
      </c>
      <c r="M107" s="80">
        <v>0</v>
      </c>
      <c r="N107" s="80">
        <v>0</v>
      </c>
      <c r="O107" s="80">
        <v>29258</v>
      </c>
      <c r="P107" s="80">
        <v>14593</v>
      </c>
      <c r="Q107" s="80">
        <v>10876</v>
      </c>
      <c r="R107" s="80">
        <v>3717</v>
      </c>
      <c r="S107" s="80">
        <v>3113</v>
      </c>
      <c r="T107" s="80">
        <v>604</v>
      </c>
      <c r="U107" s="80">
        <v>10277</v>
      </c>
      <c r="V107" s="80">
        <v>2074</v>
      </c>
      <c r="W107" s="80">
        <v>1319</v>
      </c>
      <c r="X107" s="80">
        <v>995</v>
      </c>
      <c r="Y107" s="80">
        <v>-23472</v>
      </c>
      <c r="Z107" s="80">
        <v>14217</v>
      </c>
      <c r="AA107" s="80">
        <v>10300</v>
      </c>
      <c r="AB107" s="80">
        <v>683</v>
      </c>
      <c r="AC107" s="80">
        <v>3234</v>
      </c>
      <c r="AD107" s="80">
        <v>12901</v>
      </c>
      <c r="AE107" s="80">
        <v>-134</v>
      </c>
      <c r="AF107" s="80">
        <v>12</v>
      </c>
      <c r="AG107" s="80">
        <v>22</v>
      </c>
      <c r="AH107" s="80">
        <v>1</v>
      </c>
      <c r="AI107" s="80">
        <v>144</v>
      </c>
      <c r="AJ107" s="80">
        <v>24</v>
      </c>
      <c r="AK107" s="80">
        <v>3512</v>
      </c>
      <c r="AL107" s="80">
        <v>1609</v>
      </c>
      <c r="AM107" s="80">
        <v>1609</v>
      </c>
      <c r="AN107" s="80">
        <v>0</v>
      </c>
      <c r="AO107" s="80">
        <v>0</v>
      </c>
      <c r="AP107" s="80">
        <v>0</v>
      </c>
      <c r="AQ107" s="80">
        <v>0</v>
      </c>
      <c r="AR107" s="80">
        <v>1903</v>
      </c>
      <c r="AS107" s="80">
        <v>14</v>
      </c>
      <c r="AT107" s="80">
        <v>0</v>
      </c>
      <c r="AU107" s="80">
        <v>0</v>
      </c>
      <c r="AV107" s="80">
        <v>1917</v>
      </c>
      <c r="AW107" s="81"/>
      <c r="AX107" s="80">
        <v>3173</v>
      </c>
      <c r="AY107" s="80">
        <v>3512</v>
      </c>
      <c r="AZ107" s="80">
        <v>0</v>
      </c>
      <c r="BA107" s="80">
        <v>-339</v>
      </c>
      <c r="BB107" s="80">
        <v>-2133</v>
      </c>
      <c r="BC107" s="80">
        <v>2292</v>
      </c>
      <c r="BD107" s="80">
        <v>104</v>
      </c>
      <c r="BE107" s="80">
        <v>55</v>
      </c>
      <c r="BF107" s="80">
        <v>1040</v>
      </c>
      <c r="BG107" s="80">
        <v>-812</v>
      </c>
      <c r="BH107" s="80">
        <v>50</v>
      </c>
      <c r="BI107" s="80">
        <v>0</v>
      </c>
      <c r="BJ107" s="80">
        <v>50</v>
      </c>
      <c r="BK107" s="80">
        <v>-2118</v>
      </c>
      <c r="BL107" s="80">
        <v>0</v>
      </c>
      <c r="BM107" s="80">
        <v>1318</v>
      </c>
      <c r="BN107" s="80">
        <v>-800</v>
      </c>
      <c r="BO107" s="80">
        <v>0</v>
      </c>
      <c r="BP107" s="80">
        <v>1256</v>
      </c>
      <c r="BQ107" s="80">
        <v>-2</v>
      </c>
      <c r="BR107" s="80">
        <v>17</v>
      </c>
      <c r="BS107" s="80">
        <v>939</v>
      </c>
      <c r="BT107" s="80">
        <v>302</v>
      </c>
      <c r="BU107" s="80">
        <v>227</v>
      </c>
      <c r="BV107" s="80">
        <v>942</v>
      </c>
      <c r="BW107" s="80">
        <v>715</v>
      </c>
      <c r="BX107" s="81"/>
      <c r="BY107" s="80">
        <v>26017</v>
      </c>
      <c r="BZ107" s="80">
        <v>167</v>
      </c>
      <c r="CA107" s="80">
        <v>47</v>
      </c>
      <c r="CB107" s="80">
        <v>120</v>
      </c>
      <c r="CC107" s="80">
        <v>0</v>
      </c>
      <c r="CD107" s="80">
        <v>20533</v>
      </c>
      <c r="CE107" s="80">
        <v>2802</v>
      </c>
      <c r="CF107" s="80">
        <v>13101</v>
      </c>
      <c r="CG107" s="80">
        <v>3860</v>
      </c>
      <c r="CH107" s="80">
        <v>493</v>
      </c>
      <c r="CI107" s="80">
        <v>0</v>
      </c>
      <c r="CJ107" s="80">
        <v>0</v>
      </c>
      <c r="CK107" s="80">
        <v>277</v>
      </c>
      <c r="CL107" s="80">
        <v>5317</v>
      </c>
      <c r="CM107" s="80">
        <v>3642</v>
      </c>
      <c r="CN107" s="80">
        <v>1051</v>
      </c>
      <c r="CO107" s="80">
        <v>2591</v>
      </c>
      <c r="CP107" s="80">
        <v>0</v>
      </c>
      <c r="CQ107" s="80">
        <v>1675</v>
      </c>
      <c r="CR107" s="80">
        <v>0</v>
      </c>
      <c r="CS107" s="80">
        <v>0</v>
      </c>
      <c r="CT107" s="80">
        <v>1675</v>
      </c>
      <c r="CU107" s="80">
        <v>0</v>
      </c>
      <c r="CV107" s="80">
        <v>0</v>
      </c>
      <c r="CW107" s="80">
        <v>0</v>
      </c>
      <c r="CX107" s="80">
        <v>0</v>
      </c>
      <c r="CY107" s="80">
        <v>0</v>
      </c>
      <c r="CZ107" s="80">
        <v>2239</v>
      </c>
      <c r="DA107" s="80">
        <v>60</v>
      </c>
      <c r="DB107" s="80">
        <v>60</v>
      </c>
      <c r="DC107" s="80">
        <v>0</v>
      </c>
      <c r="DD107" s="80">
        <v>0</v>
      </c>
      <c r="DE107" s="80">
        <v>0</v>
      </c>
      <c r="DF107" s="80">
        <v>0</v>
      </c>
      <c r="DG107" s="80">
        <v>1238</v>
      </c>
      <c r="DH107" s="80">
        <v>3</v>
      </c>
      <c r="DI107" s="80">
        <v>0</v>
      </c>
      <c r="DJ107" s="80">
        <v>3</v>
      </c>
      <c r="DK107" s="80">
        <v>0</v>
      </c>
      <c r="DL107" s="80">
        <v>0</v>
      </c>
      <c r="DM107" s="80">
        <v>1235</v>
      </c>
      <c r="DN107" s="80">
        <v>886</v>
      </c>
      <c r="DO107" s="80">
        <v>53</v>
      </c>
      <c r="DP107" s="80">
        <v>103</v>
      </c>
      <c r="DQ107" s="80">
        <v>193</v>
      </c>
      <c r="DR107" s="80">
        <v>0</v>
      </c>
      <c r="DS107" s="80">
        <v>0</v>
      </c>
      <c r="DT107" s="80">
        <v>0</v>
      </c>
      <c r="DU107" s="80">
        <v>0</v>
      </c>
      <c r="DV107" s="80">
        <v>0</v>
      </c>
      <c r="DW107" s="80">
        <v>941</v>
      </c>
      <c r="DX107" s="80">
        <v>28256</v>
      </c>
      <c r="DY107" s="80">
        <v>14103</v>
      </c>
      <c r="DZ107" s="80">
        <v>6828</v>
      </c>
      <c r="EA107" s="80">
        <v>0</v>
      </c>
      <c r="EB107" s="80">
        <v>0</v>
      </c>
      <c r="EC107" s="80">
        <v>5357</v>
      </c>
      <c r="ED107" s="80">
        <v>1918</v>
      </c>
      <c r="EE107" s="80">
        <v>342</v>
      </c>
      <c r="EF107" s="80">
        <v>342</v>
      </c>
      <c r="EG107" s="80">
        <v>0</v>
      </c>
      <c r="EH107" s="80">
        <v>0</v>
      </c>
      <c r="EI107" s="80">
        <v>0</v>
      </c>
      <c r="EJ107" s="80">
        <v>0</v>
      </c>
      <c r="EK107" s="80">
        <v>12</v>
      </c>
      <c r="EL107" s="80">
        <v>3</v>
      </c>
      <c r="EM107" s="80">
        <v>0</v>
      </c>
      <c r="EN107" s="80">
        <v>9</v>
      </c>
      <c r="EO107" s="80">
        <v>13803</v>
      </c>
      <c r="EP107" s="80">
        <v>8124</v>
      </c>
      <c r="EQ107" s="80">
        <v>0</v>
      </c>
      <c r="ER107" s="80">
        <v>8124</v>
      </c>
      <c r="ES107" s="80">
        <v>0</v>
      </c>
      <c r="ET107" s="80">
        <v>8124</v>
      </c>
      <c r="EU107" s="80">
        <v>0</v>
      </c>
      <c r="EV107" s="80">
        <v>0</v>
      </c>
      <c r="EW107" s="80">
        <v>0</v>
      </c>
      <c r="EX107" s="80">
        <v>0</v>
      </c>
      <c r="EY107" s="80">
        <v>0</v>
      </c>
      <c r="EZ107" s="80">
        <v>0</v>
      </c>
      <c r="FA107" s="80">
        <v>0</v>
      </c>
      <c r="FB107" s="80">
        <v>0</v>
      </c>
      <c r="FC107" s="80">
        <v>0</v>
      </c>
      <c r="FD107" s="80">
        <v>5679</v>
      </c>
      <c r="FE107" s="80">
        <v>0</v>
      </c>
      <c r="FF107" s="80">
        <v>1169</v>
      </c>
      <c r="FG107" s="80">
        <v>0</v>
      </c>
      <c r="FH107" s="80">
        <v>1169</v>
      </c>
      <c r="FI107" s="80">
        <v>0</v>
      </c>
      <c r="FJ107" s="80">
        <v>0</v>
      </c>
      <c r="FK107" s="80">
        <v>0</v>
      </c>
      <c r="FL107" s="80">
        <v>0</v>
      </c>
      <c r="FM107" s="80">
        <v>63</v>
      </c>
      <c r="FN107" s="80">
        <v>1633</v>
      </c>
      <c r="FO107" s="80">
        <v>243</v>
      </c>
      <c r="FP107" s="80">
        <v>2571</v>
      </c>
      <c r="FQ107" s="80">
        <v>28260</v>
      </c>
      <c r="FR107" s="80">
        <v>640</v>
      </c>
      <c r="FS107" s="80">
        <v>6376</v>
      </c>
      <c r="FT107" s="100">
        <v>15595.58802678274</v>
      </c>
      <c r="FU107" s="100"/>
      <c r="FV107" s="100">
        <v>7333</v>
      </c>
      <c r="FW107" s="67">
        <v>1275</v>
      </c>
      <c r="FX107" s="100">
        <f t="shared" si="10"/>
        <v>-12467</v>
      </c>
      <c r="FY107" s="100">
        <f t="shared" si="11"/>
        <v>-21863</v>
      </c>
      <c r="FZ107" s="100">
        <v>15694.476952930592</v>
      </c>
      <c r="GA107" s="67">
        <v>9396</v>
      </c>
      <c r="GB107" s="58">
        <f t="shared" si="8"/>
        <v>2063</v>
      </c>
      <c r="GC107" s="67">
        <v>1609</v>
      </c>
      <c r="GD107" s="100">
        <v>1735</v>
      </c>
      <c r="GE107" s="100">
        <v>669</v>
      </c>
      <c r="GF107" s="58">
        <f t="shared" si="9"/>
        <v>1066</v>
      </c>
      <c r="GG107" s="100">
        <v>-6274.7380000000003</v>
      </c>
      <c r="GH107" s="100">
        <v>-203.84170000000009</v>
      </c>
      <c r="GI107" s="100">
        <v>-9488.9995582106749</v>
      </c>
      <c r="GJ107" s="67">
        <f t="shared" si="12"/>
        <v>334</v>
      </c>
      <c r="GK107" s="67"/>
      <c r="GM107" s="96"/>
    </row>
    <row r="108" spans="1:195" ht="13.5" customHeight="1" x14ac:dyDescent="0.2">
      <c r="A108" s="74">
        <v>275</v>
      </c>
      <c r="B108" s="75" t="s">
        <v>69</v>
      </c>
      <c r="C108" s="75" t="s">
        <v>69</v>
      </c>
      <c r="D108" s="76"/>
      <c r="E108" s="77" t="s">
        <v>231</v>
      </c>
      <c r="F108" s="78">
        <v>2</v>
      </c>
      <c r="G108" s="79">
        <v>2757</v>
      </c>
      <c r="H108" s="80">
        <v>3577</v>
      </c>
      <c r="I108" s="80">
        <v>1609</v>
      </c>
      <c r="J108" s="80">
        <v>866</v>
      </c>
      <c r="K108" s="80">
        <v>304</v>
      </c>
      <c r="L108" s="80">
        <v>798</v>
      </c>
      <c r="M108" s="80">
        <v>0</v>
      </c>
      <c r="N108" s="80">
        <v>0</v>
      </c>
      <c r="O108" s="80">
        <v>20218</v>
      </c>
      <c r="P108" s="80">
        <v>6787</v>
      </c>
      <c r="Q108" s="80">
        <v>5076</v>
      </c>
      <c r="R108" s="80">
        <v>1711</v>
      </c>
      <c r="S108" s="80">
        <v>1464</v>
      </c>
      <c r="T108" s="80">
        <v>247</v>
      </c>
      <c r="U108" s="80">
        <v>11320</v>
      </c>
      <c r="V108" s="80">
        <v>1138</v>
      </c>
      <c r="W108" s="80">
        <v>689</v>
      </c>
      <c r="X108" s="80">
        <v>284</v>
      </c>
      <c r="Y108" s="80">
        <v>-16641</v>
      </c>
      <c r="Z108" s="80">
        <v>8842</v>
      </c>
      <c r="AA108" s="80">
        <v>7372</v>
      </c>
      <c r="AB108" s="80">
        <v>703</v>
      </c>
      <c r="AC108" s="80">
        <v>767</v>
      </c>
      <c r="AD108" s="80">
        <v>8870</v>
      </c>
      <c r="AE108" s="80">
        <v>71</v>
      </c>
      <c r="AF108" s="80">
        <v>29</v>
      </c>
      <c r="AG108" s="80">
        <v>167</v>
      </c>
      <c r="AH108" s="80">
        <v>165</v>
      </c>
      <c r="AI108" s="80">
        <v>99</v>
      </c>
      <c r="AJ108" s="80">
        <v>26</v>
      </c>
      <c r="AK108" s="80">
        <v>1142</v>
      </c>
      <c r="AL108" s="80">
        <v>703</v>
      </c>
      <c r="AM108" s="80">
        <v>703</v>
      </c>
      <c r="AN108" s="80">
        <v>0</v>
      </c>
      <c r="AO108" s="80">
        <v>0</v>
      </c>
      <c r="AP108" s="80">
        <v>0</v>
      </c>
      <c r="AQ108" s="80">
        <v>0</v>
      </c>
      <c r="AR108" s="80">
        <v>439</v>
      </c>
      <c r="AS108" s="80">
        <v>0</v>
      </c>
      <c r="AT108" s="80">
        <v>0</v>
      </c>
      <c r="AU108" s="80">
        <v>0</v>
      </c>
      <c r="AV108" s="80">
        <v>439</v>
      </c>
      <c r="AW108" s="81"/>
      <c r="AX108" s="80">
        <v>1142</v>
      </c>
      <c r="AY108" s="80">
        <v>1142</v>
      </c>
      <c r="AZ108" s="80">
        <v>0</v>
      </c>
      <c r="BA108" s="80">
        <v>0</v>
      </c>
      <c r="BB108" s="80">
        <v>-5538</v>
      </c>
      <c r="BC108" s="80">
        <v>5965</v>
      </c>
      <c r="BD108" s="80">
        <v>400</v>
      </c>
      <c r="BE108" s="80">
        <v>27</v>
      </c>
      <c r="BF108" s="80">
        <v>-4396</v>
      </c>
      <c r="BG108" s="80">
        <v>4689</v>
      </c>
      <c r="BH108" s="80">
        <v>63</v>
      </c>
      <c r="BI108" s="80">
        <v>0</v>
      </c>
      <c r="BJ108" s="80">
        <v>63</v>
      </c>
      <c r="BK108" s="80">
        <v>1891</v>
      </c>
      <c r="BL108" s="80">
        <v>4000</v>
      </c>
      <c r="BM108" s="80">
        <v>1375</v>
      </c>
      <c r="BN108" s="80">
        <v>-734</v>
      </c>
      <c r="BO108" s="80">
        <v>0</v>
      </c>
      <c r="BP108" s="80">
        <v>2735</v>
      </c>
      <c r="BQ108" s="80">
        <v>17</v>
      </c>
      <c r="BR108" s="80">
        <v>0</v>
      </c>
      <c r="BS108" s="80">
        <v>334</v>
      </c>
      <c r="BT108" s="80">
        <v>2384</v>
      </c>
      <c r="BU108" s="80">
        <v>294</v>
      </c>
      <c r="BV108" s="80">
        <v>1625</v>
      </c>
      <c r="BW108" s="80">
        <v>1331</v>
      </c>
      <c r="BX108" s="81"/>
      <c r="BY108" s="80">
        <v>28066</v>
      </c>
      <c r="BZ108" s="80">
        <v>0</v>
      </c>
      <c r="CA108" s="80">
        <v>0</v>
      </c>
      <c r="CB108" s="80">
        <v>0</v>
      </c>
      <c r="CC108" s="80">
        <v>0</v>
      </c>
      <c r="CD108" s="80">
        <v>20179</v>
      </c>
      <c r="CE108" s="80">
        <v>3391</v>
      </c>
      <c r="CF108" s="80">
        <v>7947</v>
      </c>
      <c r="CG108" s="80">
        <v>1904</v>
      </c>
      <c r="CH108" s="80">
        <v>123</v>
      </c>
      <c r="CI108" s="80">
        <v>36</v>
      </c>
      <c r="CJ108" s="80">
        <v>19</v>
      </c>
      <c r="CK108" s="80">
        <v>6778</v>
      </c>
      <c r="CL108" s="80">
        <v>7887</v>
      </c>
      <c r="CM108" s="80">
        <v>6924</v>
      </c>
      <c r="CN108" s="80">
        <v>665</v>
      </c>
      <c r="CO108" s="80">
        <v>6259</v>
      </c>
      <c r="CP108" s="80">
        <v>0</v>
      </c>
      <c r="CQ108" s="80">
        <v>963</v>
      </c>
      <c r="CR108" s="80">
        <v>0</v>
      </c>
      <c r="CS108" s="80">
        <v>0</v>
      </c>
      <c r="CT108" s="80">
        <v>963</v>
      </c>
      <c r="CU108" s="80">
        <v>0</v>
      </c>
      <c r="CV108" s="80">
        <v>64</v>
      </c>
      <c r="CW108" s="80">
        <v>0</v>
      </c>
      <c r="CX108" s="80">
        <v>64</v>
      </c>
      <c r="CY108" s="80">
        <v>0</v>
      </c>
      <c r="CZ108" s="80">
        <v>2547</v>
      </c>
      <c r="DA108" s="80">
        <v>0</v>
      </c>
      <c r="DB108" s="80">
        <v>0</v>
      </c>
      <c r="DC108" s="80">
        <v>0</v>
      </c>
      <c r="DD108" s="80">
        <v>0</v>
      </c>
      <c r="DE108" s="80">
        <v>0</v>
      </c>
      <c r="DF108" s="80">
        <v>0</v>
      </c>
      <c r="DG108" s="80">
        <v>912</v>
      </c>
      <c r="DH108" s="80">
        <v>19</v>
      </c>
      <c r="DI108" s="80">
        <v>19</v>
      </c>
      <c r="DJ108" s="80">
        <v>0</v>
      </c>
      <c r="DK108" s="80">
        <v>0</v>
      </c>
      <c r="DL108" s="80">
        <v>0</v>
      </c>
      <c r="DM108" s="80">
        <v>893</v>
      </c>
      <c r="DN108" s="80">
        <v>454</v>
      </c>
      <c r="DO108" s="80">
        <v>0</v>
      </c>
      <c r="DP108" s="80">
        <v>439</v>
      </c>
      <c r="DQ108" s="80">
        <v>0</v>
      </c>
      <c r="DR108" s="80">
        <v>1009</v>
      </c>
      <c r="DS108" s="80">
        <v>0</v>
      </c>
      <c r="DT108" s="80">
        <v>1009</v>
      </c>
      <c r="DU108" s="80">
        <v>0</v>
      </c>
      <c r="DV108" s="80">
        <v>0</v>
      </c>
      <c r="DW108" s="80">
        <v>626</v>
      </c>
      <c r="DX108" s="80">
        <v>30677</v>
      </c>
      <c r="DY108" s="80">
        <v>14158</v>
      </c>
      <c r="DZ108" s="80">
        <v>8445</v>
      </c>
      <c r="EA108" s="80">
        <v>0</v>
      </c>
      <c r="EB108" s="80">
        <v>0</v>
      </c>
      <c r="EC108" s="80">
        <v>5273</v>
      </c>
      <c r="ED108" s="80">
        <v>440</v>
      </c>
      <c r="EE108" s="80">
        <v>0</v>
      </c>
      <c r="EF108" s="80">
        <v>0</v>
      </c>
      <c r="EG108" s="80">
        <v>0</v>
      </c>
      <c r="EH108" s="80">
        <v>0</v>
      </c>
      <c r="EI108" s="80">
        <v>0</v>
      </c>
      <c r="EJ108" s="80">
        <v>0</v>
      </c>
      <c r="EK108" s="80">
        <v>85</v>
      </c>
      <c r="EL108" s="80">
        <v>0</v>
      </c>
      <c r="EM108" s="80">
        <v>85</v>
      </c>
      <c r="EN108" s="80">
        <v>0</v>
      </c>
      <c r="EO108" s="80">
        <v>16424</v>
      </c>
      <c r="EP108" s="80">
        <v>9815</v>
      </c>
      <c r="EQ108" s="80">
        <v>0</v>
      </c>
      <c r="ER108" s="80">
        <v>9656</v>
      </c>
      <c r="ES108" s="80">
        <v>0</v>
      </c>
      <c r="ET108" s="80">
        <v>9656</v>
      </c>
      <c r="EU108" s="80">
        <v>0</v>
      </c>
      <c r="EV108" s="80">
        <v>0</v>
      </c>
      <c r="EW108" s="80">
        <v>159</v>
      </c>
      <c r="EX108" s="80">
        <v>0</v>
      </c>
      <c r="EY108" s="80">
        <v>0</v>
      </c>
      <c r="EZ108" s="80">
        <v>0</v>
      </c>
      <c r="FA108" s="80">
        <v>0</v>
      </c>
      <c r="FB108" s="80">
        <v>0</v>
      </c>
      <c r="FC108" s="80">
        <v>0</v>
      </c>
      <c r="FD108" s="80">
        <v>6609</v>
      </c>
      <c r="FE108" s="80">
        <v>0</v>
      </c>
      <c r="FF108" s="80">
        <v>1100</v>
      </c>
      <c r="FG108" s="80">
        <v>0</v>
      </c>
      <c r="FH108" s="80">
        <v>1100</v>
      </c>
      <c r="FI108" s="80">
        <v>0</v>
      </c>
      <c r="FJ108" s="80">
        <v>0</v>
      </c>
      <c r="FK108" s="80">
        <v>142</v>
      </c>
      <c r="FL108" s="80">
        <v>0</v>
      </c>
      <c r="FM108" s="80">
        <v>0</v>
      </c>
      <c r="FN108" s="80">
        <v>4175</v>
      </c>
      <c r="FO108" s="80">
        <v>230</v>
      </c>
      <c r="FP108" s="80">
        <v>962</v>
      </c>
      <c r="FQ108" s="80">
        <v>30667</v>
      </c>
      <c r="FR108" s="80">
        <v>7766</v>
      </c>
      <c r="FS108" s="80">
        <v>1473</v>
      </c>
      <c r="FT108" s="100">
        <v>9915.8308109210284</v>
      </c>
      <c r="FU108" s="100"/>
      <c r="FV108" s="100">
        <v>3834</v>
      </c>
      <c r="FW108" s="67">
        <v>702</v>
      </c>
      <c r="FX108" s="100">
        <f t="shared" si="10"/>
        <v>-11043</v>
      </c>
      <c r="FY108" s="100">
        <f t="shared" si="11"/>
        <v>-15938</v>
      </c>
      <c r="FZ108" s="100">
        <v>10875.901472203568</v>
      </c>
      <c r="GA108" s="67">
        <v>4895</v>
      </c>
      <c r="GB108" s="58">
        <f t="shared" si="8"/>
        <v>1061</v>
      </c>
      <c r="GC108" s="67">
        <v>702</v>
      </c>
      <c r="GD108" s="100">
        <v>865</v>
      </c>
      <c r="GE108" s="100">
        <v>162</v>
      </c>
      <c r="GF108" s="58">
        <f t="shared" si="9"/>
        <v>703</v>
      </c>
      <c r="GG108" s="100">
        <v>-4039.6500000000005</v>
      </c>
      <c r="GH108" s="100">
        <v>-221.95005000000006</v>
      </c>
      <c r="GI108" s="100">
        <v>-6885.3772009542754</v>
      </c>
      <c r="GJ108" s="67">
        <f t="shared" si="12"/>
        <v>0</v>
      </c>
      <c r="GK108" s="67"/>
      <c r="GM108" s="96"/>
    </row>
    <row r="109" spans="1:195" ht="13.5" customHeight="1" x14ac:dyDescent="0.2">
      <c r="A109" s="74">
        <v>276</v>
      </c>
      <c r="B109" s="75" t="s">
        <v>70</v>
      </c>
      <c r="C109" s="75" t="s">
        <v>70</v>
      </c>
      <c r="D109" s="76"/>
      <c r="E109" s="77" t="s">
        <v>242</v>
      </c>
      <c r="F109" s="78">
        <v>4</v>
      </c>
      <c r="G109" s="79">
        <v>14827</v>
      </c>
      <c r="H109" s="80">
        <v>13324</v>
      </c>
      <c r="I109" s="80">
        <v>4960</v>
      </c>
      <c r="J109" s="80">
        <v>1777</v>
      </c>
      <c r="K109" s="80">
        <v>1821</v>
      </c>
      <c r="L109" s="80">
        <v>4766</v>
      </c>
      <c r="M109" s="80">
        <v>0</v>
      </c>
      <c r="N109" s="80">
        <v>0</v>
      </c>
      <c r="O109" s="80">
        <v>78562</v>
      </c>
      <c r="P109" s="80">
        <v>24118</v>
      </c>
      <c r="Q109" s="80">
        <v>18134</v>
      </c>
      <c r="R109" s="80">
        <v>5984</v>
      </c>
      <c r="S109" s="80">
        <v>4900</v>
      </c>
      <c r="T109" s="80">
        <v>1084</v>
      </c>
      <c r="U109" s="80">
        <v>46864</v>
      </c>
      <c r="V109" s="80">
        <v>4003</v>
      </c>
      <c r="W109" s="80">
        <v>2698</v>
      </c>
      <c r="X109" s="80">
        <v>879</v>
      </c>
      <c r="Y109" s="80">
        <v>-65238</v>
      </c>
      <c r="Z109" s="80">
        <v>50282</v>
      </c>
      <c r="AA109" s="80">
        <v>45667</v>
      </c>
      <c r="AB109" s="80">
        <v>2104</v>
      </c>
      <c r="AC109" s="80">
        <v>2511</v>
      </c>
      <c r="AD109" s="80">
        <v>22194</v>
      </c>
      <c r="AE109" s="80">
        <v>-562</v>
      </c>
      <c r="AF109" s="80">
        <v>13</v>
      </c>
      <c r="AG109" s="80">
        <v>270</v>
      </c>
      <c r="AH109" s="80">
        <v>246</v>
      </c>
      <c r="AI109" s="80">
        <v>841</v>
      </c>
      <c r="AJ109" s="80">
        <v>4</v>
      </c>
      <c r="AK109" s="80">
        <v>6676</v>
      </c>
      <c r="AL109" s="80">
        <v>4214</v>
      </c>
      <c r="AM109" s="80">
        <v>4214</v>
      </c>
      <c r="AN109" s="80">
        <v>0</v>
      </c>
      <c r="AO109" s="80">
        <v>0</v>
      </c>
      <c r="AP109" s="80">
        <v>0</v>
      </c>
      <c r="AQ109" s="80">
        <v>0</v>
      </c>
      <c r="AR109" s="80">
        <v>2462</v>
      </c>
      <c r="AS109" s="80">
        <v>80</v>
      </c>
      <c r="AT109" s="80">
        <v>0</v>
      </c>
      <c r="AU109" s="80">
        <v>0</v>
      </c>
      <c r="AV109" s="80">
        <v>2542</v>
      </c>
      <c r="AW109" s="81"/>
      <c r="AX109" s="80">
        <v>6035</v>
      </c>
      <c r="AY109" s="80">
        <v>6676</v>
      </c>
      <c r="AZ109" s="80">
        <v>0</v>
      </c>
      <c r="BA109" s="80">
        <v>-641</v>
      </c>
      <c r="BB109" s="80">
        <v>-3531</v>
      </c>
      <c r="BC109" s="80">
        <v>4253</v>
      </c>
      <c r="BD109" s="80">
        <v>44</v>
      </c>
      <c r="BE109" s="80">
        <v>678</v>
      </c>
      <c r="BF109" s="80">
        <v>2504</v>
      </c>
      <c r="BG109" s="80">
        <v>229</v>
      </c>
      <c r="BH109" s="80">
        <v>0</v>
      </c>
      <c r="BI109" s="80">
        <v>0</v>
      </c>
      <c r="BJ109" s="80">
        <v>0</v>
      </c>
      <c r="BK109" s="80">
        <v>-891</v>
      </c>
      <c r="BL109" s="80">
        <v>7500</v>
      </c>
      <c r="BM109" s="80">
        <v>6891</v>
      </c>
      <c r="BN109" s="80">
        <v>-1500</v>
      </c>
      <c r="BO109" s="80">
        <v>58</v>
      </c>
      <c r="BP109" s="80">
        <v>1062</v>
      </c>
      <c r="BQ109" s="80">
        <v>12</v>
      </c>
      <c r="BR109" s="80">
        <v>34</v>
      </c>
      <c r="BS109" s="80">
        <v>1414</v>
      </c>
      <c r="BT109" s="80">
        <v>-398</v>
      </c>
      <c r="BU109" s="80">
        <v>2733</v>
      </c>
      <c r="BV109" s="80">
        <v>4415</v>
      </c>
      <c r="BW109" s="80">
        <v>1682</v>
      </c>
      <c r="BX109" s="81"/>
      <c r="BY109" s="80">
        <v>80222</v>
      </c>
      <c r="BZ109" s="80">
        <v>161</v>
      </c>
      <c r="CA109" s="80">
        <v>2</v>
      </c>
      <c r="CB109" s="80">
        <v>159</v>
      </c>
      <c r="CC109" s="80">
        <v>0</v>
      </c>
      <c r="CD109" s="80">
        <v>72607</v>
      </c>
      <c r="CE109" s="80">
        <v>10720</v>
      </c>
      <c r="CF109" s="80">
        <v>44441</v>
      </c>
      <c r="CG109" s="80">
        <v>16544</v>
      </c>
      <c r="CH109" s="80">
        <v>634</v>
      </c>
      <c r="CI109" s="80">
        <v>18</v>
      </c>
      <c r="CJ109" s="80">
        <v>15</v>
      </c>
      <c r="CK109" s="80">
        <v>250</v>
      </c>
      <c r="CL109" s="80">
        <v>7454</v>
      </c>
      <c r="CM109" s="80">
        <v>7431</v>
      </c>
      <c r="CN109" s="80">
        <v>1973</v>
      </c>
      <c r="CO109" s="80">
        <v>5458</v>
      </c>
      <c r="CP109" s="80">
        <v>0</v>
      </c>
      <c r="CQ109" s="80">
        <v>23</v>
      </c>
      <c r="CR109" s="80">
        <v>0</v>
      </c>
      <c r="CS109" s="80">
        <v>0</v>
      </c>
      <c r="CT109" s="80">
        <v>23</v>
      </c>
      <c r="CU109" s="80">
        <v>0</v>
      </c>
      <c r="CV109" s="80">
        <v>1066</v>
      </c>
      <c r="CW109" s="80">
        <v>804</v>
      </c>
      <c r="CX109" s="80">
        <v>262</v>
      </c>
      <c r="CY109" s="80">
        <v>0</v>
      </c>
      <c r="CZ109" s="80">
        <v>8400</v>
      </c>
      <c r="DA109" s="80">
        <v>168</v>
      </c>
      <c r="DB109" s="80">
        <v>168</v>
      </c>
      <c r="DC109" s="80">
        <v>0</v>
      </c>
      <c r="DD109" s="80">
        <v>0</v>
      </c>
      <c r="DE109" s="80">
        <v>0</v>
      </c>
      <c r="DF109" s="80">
        <v>0</v>
      </c>
      <c r="DG109" s="80">
        <v>3817</v>
      </c>
      <c r="DH109" s="80">
        <v>1065</v>
      </c>
      <c r="DI109" s="80">
        <v>0</v>
      </c>
      <c r="DJ109" s="80">
        <v>0</v>
      </c>
      <c r="DK109" s="80">
        <v>1065</v>
      </c>
      <c r="DL109" s="80">
        <v>0</v>
      </c>
      <c r="DM109" s="80">
        <v>2752</v>
      </c>
      <c r="DN109" s="80">
        <v>1992</v>
      </c>
      <c r="DO109" s="80">
        <v>0</v>
      </c>
      <c r="DP109" s="80">
        <v>760</v>
      </c>
      <c r="DQ109" s="80">
        <v>0</v>
      </c>
      <c r="DR109" s="80">
        <v>168</v>
      </c>
      <c r="DS109" s="80">
        <v>0</v>
      </c>
      <c r="DT109" s="80">
        <v>0</v>
      </c>
      <c r="DU109" s="80">
        <v>0</v>
      </c>
      <c r="DV109" s="80">
        <v>168</v>
      </c>
      <c r="DW109" s="80">
        <v>4247</v>
      </c>
      <c r="DX109" s="80">
        <v>89688</v>
      </c>
      <c r="DY109" s="80">
        <v>34901</v>
      </c>
      <c r="DZ109" s="80">
        <v>20376</v>
      </c>
      <c r="EA109" s="80">
        <v>136</v>
      </c>
      <c r="EB109" s="80">
        <v>0</v>
      </c>
      <c r="EC109" s="80">
        <v>11847</v>
      </c>
      <c r="ED109" s="80">
        <v>2542</v>
      </c>
      <c r="EE109" s="80">
        <v>2309</v>
      </c>
      <c r="EF109" s="80">
        <v>2309</v>
      </c>
      <c r="EG109" s="80">
        <v>0</v>
      </c>
      <c r="EH109" s="80">
        <v>0</v>
      </c>
      <c r="EI109" s="80">
        <v>0</v>
      </c>
      <c r="EJ109" s="80">
        <v>0</v>
      </c>
      <c r="EK109" s="80">
        <v>1300</v>
      </c>
      <c r="EL109" s="80">
        <v>799</v>
      </c>
      <c r="EM109" s="80">
        <v>501</v>
      </c>
      <c r="EN109" s="80">
        <v>0</v>
      </c>
      <c r="EO109" s="80">
        <v>51178</v>
      </c>
      <c r="EP109" s="80">
        <v>32664</v>
      </c>
      <c r="EQ109" s="80">
        <v>0</v>
      </c>
      <c r="ER109" s="80">
        <v>31760</v>
      </c>
      <c r="ES109" s="80">
        <v>22525</v>
      </c>
      <c r="ET109" s="80">
        <v>9235</v>
      </c>
      <c r="EU109" s="80">
        <v>0</v>
      </c>
      <c r="EV109" s="80">
        <v>0</v>
      </c>
      <c r="EW109" s="80">
        <v>721</v>
      </c>
      <c r="EX109" s="80">
        <v>0</v>
      </c>
      <c r="EY109" s="80">
        <v>0</v>
      </c>
      <c r="EZ109" s="80">
        <v>183</v>
      </c>
      <c r="FA109" s="80">
        <v>0</v>
      </c>
      <c r="FB109" s="80">
        <v>0</v>
      </c>
      <c r="FC109" s="80">
        <v>0</v>
      </c>
      <c r="FD109" s="80">
        <v>18514</v>
      </c>
      <c r="FE109" s="80">
        <v>0</v>
      </c>
      <c r="FF109" s="80">
        <v>11084</v>
      </c>
      <c r="FG109" s="80">
        <v>7950</v>
      </c>
      <c r="FH109" s="80">
        <v>3134</v>
      </c>
      <c r="FI109" s="80">
        <v>0</v>
      </c>
      <c r="FJ109" s="80">
        <v>0</v>
      </c>
      <c r="FK109" s="80">
        <v>36</v>
      </c>
      <c r="FL109" s="80">
        <v>0</v>
      </c>
      <c r="FM109" s="80">
        <v>219</v>
      </c>
      <c r="FN109" s="80">
        <v>3946</v>
      </c>
      <c r="FO109" s="80">
        <v>487</v>
      </c>
      <c r="FP109" s="80">
        <v>2742</v>
      </c>
      <c r="FQ109" s="80">
        <v>89688</v>
      </c>
      <c r="FR109" s="80">
        <v>5002</v>
      </c>
      <c r="FS109" s="80">
        <v>1828</v>
      </c>
      <c r="FT109" s="100">
        <v>51034.8258288379</v>
      </c>
      <c r="FU109" s="100"/>
      <c r="FV109" s="100">
        <v>21785</v>
      </c>
      <c r="FW109" s="67">
        <v>4156</v>
      </c>
      <c r="FX109" s="100">
        <f t="shared" si="10"/>
        <v>-38008</v>
      </c>
      <c r="FY109" s="100">
        <f t="shared" si="11"/>
        <v>-61024</v>
      </c>
      <c r="FZ109" s="100">
        <v>38090.551205604301</v>
      </c>
      <c r="GA109" s="67">
        <v>23016</v>
      </c>
      <c r="GB109" s="58">
        <f t="shared" si="8"/>
        <v>1231</v>
      </c>
      <c r="GC109" s="67">
        <v>4213</v>
      </c>
      <c r="GD109" s="100">
        <v>1784</v>
      </c>
      <c r="GE109" s="100">
        <v>1784</v>
      </c>
      <c r="GF109" s="58">
        <f t="shared" si="9"/>
        <v>0</v>
      </c>
      <c r="GG109" s="100">
        <v>-26384.437000000002</v>
      </c>
      <c r="GH109" s="100">
        <v>-647.5727000000004</v>
      </c>
      <c r="GI109" s="100">
        <v>-10718.670403238188</v>
      </c>
      <c r="GJ109" s="67">
        <f t="shared" si="12"/>
        <v>57</v>
      </c>
      <c r="GK109" s="67"/>
      <c r="GM109" s="96"/>
    </row>
    <row r="110" spans="1:195" ht="13.5" customHeight="1" x14ac:dyDescent="0.2">
      <c r="A110" s="74">
        <v>499</v>
      </c>
      <c r="B110" s="75" t="s">
        <v>281</v>
      </c>
      <c r="C110" s="82" t="s">
        <v>281</v>
      </c>
      <c r="D110" s="76"/>
      <c r="E110" s="77" t="s">
        <v>248</v>
      </c>
      <c r="F110" s="78">
        <v>4</v>
      </c>
      <c r="G110" s="79">
        <v>19302</v>
      </c>
      <c r="H110" s="80">
        <v>23532</v>
      </c>
      <c r="I110" s="80">
        <v>13124</v>
      </c>
      <c r="J110" s="80">
        <v>6271</v>
      </c>
      <c r="K110" s="80">
        <v>858</v>
      </c>
      <c r="L110" s="80">
        <v>3279</v>
      </c>
      <c r="M110" s="80">
        <v>0</v>
      </c>
      <c r="N110" s="80">
        <v>181</v>
      </c>
      <c r="O110" s="80">
        <v>121304</v>
      </c>
      <c r="P110" s="80">
        <v>61917</v>
      </c>
      <c r="Q110" s="80">
        <v>48668</v>
      </c>
      <c r="R110" s="80">
        <v>13249</v>
      </c>
      <c r="S110" s="80">
        <v>10268</v>
      </c>
      <c r="T110" s="80">
        <v>2981</v>
      </c>
      <c r="U110" s="80">
        <v>45049</v>
      </c>
      <c r="V110" s="80">
        <v>7390</v>
      </c>
      <c r="W110" s="80">
        <v>5552</v>
      </c>
      <c r="X110" s="80">
        <v>1396</v>
      </c>
      <c r="Y110" s="80">
        <v>-97591</v>
      </c>
      <c r="Z110" s="80">
        <v>75152</v>
      </c>
      <c r="AA110" s="80">
        <v>68148</v>
      </c>
      <c r="AB110" s="80">
        <v>2504</v>
      </c>
      <c r="AC110" s="80">
        <v>4500</v>
      </c>
      <c r="AD110" s="80">
        <v>27621</v>
      </c>
      <c r="AE110" s="80">
        <v>-326</v>
      </c>
      <c r="AF110" s="80">
        <v>9</v>
      </c>
      <c r="AG110" s="80">
        <v>232</v>
      </c>
      <c r="AH110" s="80">
        <v>34</v>
      </c>
      <c r="AI110" s="80">
        <v>565</v>
      </c>
      <c r="AJ110" s="80">
        <v>2</v>
      </c>
      <c r="AK110" s="80">
        <v>4856</v>
      </c>
      <c r="AL110" s="80">
        <v>7463</v>
      </c>
      <c r="AM110" s="80">
        <v>7463</v>
      </c>
      <c r="AN110" s="80">
        <v>0</v>
      </c>
      <c r="AO110" s="80">
        <v>0</v>
      </c>
      <c r="AP110" s="80">
        <v>0</v>
      </c>
      <c r="AQ110" s="80">
        <v>0</v>
      </c>
      <c r="AR110" s="80">
        <v>-2607</v>
      </c>
      <c r="AS110" s="80">
        <v>0</v>
      </c>
      <c r="AT110" s="80">
        <v>0</v>
      </c>
      <c r="AU110" s="80">
        <v>0</v>
      </c>
      <c r="AV110" s="80">
        <v>-2607</v>
      </c>
      <c r="AW110" s="81"/>
      <c r="AX110" s="80">
        <v>4254</v>
      </c>
      <c r="AY110" s="80">
        <v>4856</v>
      </c>
      <c r="AZ110" s="80">
        <v>0</v>
      </c>
      <c r="BA110" s="80">
        <v>-602</v>
      </c>
      <c r="BB110" s="80">
        <v>-8469</v>
      </c>
      <c r="BC110" s="80">
        <v>9739</v>
      </c>
      <c r="BD110" s="80">
        <v>632</v>
      </c>
      <c r="BE110" s="80">
        <v>638</v>
      </c>
      <c r="BF110" s="80">
        <v>-4215</v>
      </c>
      <c r="BG110" s="80">
        <v>5134</v>
      </c>
      <c r="BH110" s="80">
        <v>119</v>
      </c>
      <c r="BI110" s="80">
        <v>0</v>
      </c>
      <c r="BJ110" s="80">
        <v>119</v>
      </c>
      <c r="BK110" s="80">
        <v>4200</v>
      </c>
      <c r="BL110" s="80">
        <v>0</v>
      </c>
      <c r="BM110" s="80">
        <v>5500</v>
      </c>
      <c r="BN110" s="80">
        <v>9700</v>
      </c>
      <c r="BO110" s="80">
        <v>0</v>
      </c>
      <c r="BP110" s="80">
        <v>815</v>
      </c>
      <c r="BQ110" s="80">
        <v>-9</v>
      </c>
      <c r="BR110" s="80">
        <v>-33</v>
      </c>
      <c r="BS110" s="80">
        <v>1159</v>
      </c>
      <c r="BT110" s="80">
        <v>-302</v>
      </c>
      <c r="BU110" s="80">
        <v>918</v>
      </c>
      <c r="BV110" s="80">
        <v>1947</v>
      </c>
      <c r="BW110" s="80">
        <v>1029</v>
      </c>
      <c r="BX110" s="81"/>
      <c r="BY110" s="80">
        <v>129519</v>
      </c>
      <c r="BZ110" s="80">
        <v>1670</v>
      </c>
      <c r="CA110" s="80">
        <v>184</v>
      </c>
      <c r="CB110" s="80">
        <v>1486</v>
      </c>
      <c r="CC110" s="80">
        <v>0</v>
      </c>
      <c r="CD110" s="80">
        <v>109948</v>
      </c>
      <c r="CE110" s="80">
        <v>13292</v>
      </c>
      <c r="CF110" s="80">
        <v>61660</v>
      </c>
      <c r="CG110" s="80">
        <v>30932</v>
      </c>
      <c r="CH110" s="80">
        <v>2487</v>
      </c>
      <c r="CI110" s="80">
        <v>0</v>
      </c>
      <c r="CJ110" s="80">
        <v>0</v>
      </c>
      <c r="CK110" s="80">
        <v>1577</v>
      </c>
      <c r="CL110" s="80">
        <v>17901</v>
      </c>
      <c r="CM110" s="80">
        <v>16531</v>
      </c>
      <c r="CN110" s="80">
        <v>11010</v>
      </c>
      <c r="CO110" s="80">
        <v>5521</v>
      </c>
      <c r="CP110" s="80">
        <v>0</v>
      </c>
      <c r="CQ110" s="80">
        <v>1300</v>
      </c>
      <c r="CR110" s="80">
        <v>0</v>
      </c>
      <c r="CS110" s="80">
        <v>0</v>
      </c>
      <c r="CT110" s="80">
        <v>1300</v>
      </c>
      <c r="CU110" s="80">
        <v>70</v>
      </c>
      <c r="CV110" s="80">
        <v>66</v>
      </c>
      <c r="CW110" s="80">
        <v>0</v>
      </c>
      <c r="CX110" s="80">
        <v>66</v>
      </c>
      <c r="CY110" s="80">
        <v>0</v>
      </c>
      <c r="CZ110" s="80">
        <v>7196</v>
      </c>
      <c r="DA110" s="80">
        <v>368</v>
      </c>
      <c r="DB110" s="80">
        <v>368</v>
      </c>
      <c r="DC110" s="80">
        <v>0</v>
      </c>
      <c r="DD110" s="80">
        <v>0</v>
      </c>
      <c r="DE110" s="80">
        <v>0</v>
      </c>
      <c r="DF110" s="80">
        <v>0</v>
      </c>
      <c r="DG110" s="80">
        <v>4881</v>
      </c>
      <c r="DH110" s="80">
        <v>254</v>
      </c>
      <c r="DI110" s="80">
        <v>0</v>
      </c>
      <c r="DJ110" s="80">
        <v>0</v>
      </c>
      <c r="DK110" s="80">
        <v>254</v>
      </c>
      <c r="DL110" s="80">
        <v>0</v>
      </c>
      <c r="DM110" s="80">
        <v>4627</v>
      </c>
      <c r="DN110" s="80">
        <v>2697</v>
      </c>
      <c r="DO110" s="80">
        <v>0</v>
      </c>
      <c r="DP110" s="80">
        <v>888</v>
      </c>
      <c r="DQ110" s="80">
        <v>1042</v>
      </c>
      <c r="DR110" s="80">
        <v>18</v>
      </c>
      <c r="DS110" s="80">
        <v>18</v>
      </c>
      <c r="DT110" s="80">
        <v>0</v>
      </c>
      <c r="DU110" s="80">
        <v>0</v>
      </c>
      <c r="DV110" s="80">
        <v>0</v>
      </c>
      <c r="DW110" s="80">
        <v>1929</v>
      </c>
      <c r="DX110" s="80">
        <v>136781</v>
      </c>
      <c r="DY110" s="80">
        <v>47488</v>
      </c>
      <c r="DZ110" s="80">
        <v>46420</v>
      </c>
      <c r="EA110" s="80">
        <v>0</v>
      </c>
      <c r="EB110" s="80">
        <v>0</v>
      </c>
      <c r="EC110" s="80">
        <v>3675</v>
      </c>
      <c r="ED110" s="80">
        <v>-2607</v>
      </c>
      <c r="EE110" s="80">
        <v>0</v>
      </c>
      <c r="EF110" s="80">
        <v>0</v>
      </c>
      <c r="EG110" s="80">
        <v>0</v>
      </c>
      <c r="EH110" s="80">
        <v>0</v>
      </c>
      <c r="EI110" s="80">
        <v>0</v>
      </c>
      <c r="EJ110" s="80">
        <v>0</v>
      </c>
      <c r="EK110" s="80">
        <v>210</v>
      </c>
      <c r="EL110" s="80">
        <v>11</v>
      </c>
      <c r="EM110" s="80">
        <v>184</v>
      </c>
      <c r="EN110" s="80">
        <v>15</v>
      </c>
      <c r="EO110" s="80">
        <v>89083</v>
      </c>
      <c r="EP110" s="80">
        <v>41343</v>
      </c>
      <c r="EQ110" s="80">
        <v>0</v>
      </c>
      <c r="ER110" s="80">
        <v>34500</v>
      </c>
      <c r="ES110" s="80">
        <v>16000</v>
      </c>
      <c r="ET110" s="80">
        <v>18500</v>
      </c>
      <c r="EU110" s="80">
        <v>0</v>
      </c>
      <c r="EV110" s="80">
        <v>0</v>
      </c>
      <c r="EW110" s="80">
        <v>0</v>
      </c>
      <c r="EX110" s="80">
        <v>0</v>
      </c>
      <c r="EY110" s="80">
        <v>140</v>
      </c>
      <c r="EZ110" s="80">
        <v>0</v>
      </c>
      <c r="FA110" s="80">
        <v>6703</v>
      </c>
      <c r="FB110" s="80">
        <v>0</v>
      </c>
      <c r="FC110" s="80">
        <v>0</v>
      </c>
      <c r="FD110" s="80">
        <v>47740</v>
      </c>
      <c r="FE110" s="80">
        <v>25000</v>
      </c>
      <c r="FF110" s="80">
        <v>8200</v>
      </c>
      <c r="FG110" s="80">
        <v>4700</v>
      </c>
      <c r="FH110" s="80">
        <v>3500</v>
      </c>
      <c r="FI110" s="80">
        <v>0</v>
      </c>
      <c r="FJ110" s="80">
        <v>0</v>
      </c>
      <c r="FK110" s="80">
        <v>0</v>
      </c>
      <c r="FL110" s="80">
        <v>0</v>
      </c>
      <c r="FM110" s="80">
        <v>12</v>
      </c>
      <c r="FN110" s="80">
        <v>5416</v>
      </c>
      <c r="FO110" s="80">
        <v>2101</v>
      </c>
      <c r="FP110" s="80">
        <v>7011</v>
      </c>
      <c r="FQ110" s="80">
        <v>136781</v>
      </c>
      <c r="FR110" s="80">
        <v>2636</v>
      </c>
      <c r="FS110" s="80">
        <v>7608</v>
      </c>
      <c r="FT110" s="100">
        <v>67417.058683724958</v>
      </c>
      <c r="FU110" s="100"/>
      <c r="FV110" s="100">
        <v>26040</v>
      </c>
      <c r="FW110" s="67">
        <v>6800</v>
      </c>
      <c r="FX110" s="100">
        <f t="shared" si="10"/>
        <v>-50335</v>
      </c>
      <c r="FY110" s="100">
        <f t="shared" si="11"/>
        <v>-90128</v>
      </c>
      <c r="FZ110" s="100">
        <v>58504.697396062096</v>
      </c>
      <c r="GA110" s="67">
        <v>39793</v>
      </c>
      <c r="GB110" s="58">
        <f t="shared" si="8"/>
        <v>13753</v>
      </c>
      <c r="GC110" s="67">
        <v>7462</v>
      </c>
      <c r="GD110" s="100">
        <v>6282</v>
      </c>
      <c r="GE110" s="100">
        <v>3118</v>
      </c>
      <c r="GF110" s="58">
        <f t="shared" si="9"/>
        <v>3164</v>
      </c>
      <c r="GG110" s="100">
        <v>-40066.591</v>
      </c>
      <c r="GH110" s="100">
        <v>-713.0209500000002</v>
      </c>
      <c r="GI110" s="100">
        <v>-18294.942720031315</v>
      </c>
      <c r="GJ110" s="67">
        <f t="shared" si="12"/>
        <v>662</v>
      </c>
      <c r="GK110" s="67"/>
      <c r="GM110" s="96"/>
    </row>
    <row r="111" spans="1:195" ht="13.5" customHeight="1" x14ac:dyDescent="0.2">
      <c r="A111" s="74">
        <v>280</v>
      </c>
      <c r="B111" s="75" t="s">
        <v>71</v>
      </c>
      <c r="C111" s="75" t="s">
        <v>71</v>
      </c>
      <c r="D111" s="76"/>
      <c r="E111" s="77" t="s">
        <v>248</v>
      </c>
      <c r="F111" s="78">
        <v>2</v>
      </c>
      <c r="G111" s="79">
        <v>2201</v>
      </c>
      <c r="H111" s="80">
        <v>2666</v>
      </c>
      <c r="I111" s="80">
        <v>703</v>
      </c>
      <c r="J111" s="80">
        <v>774</v>
      </c>
      <c r="K111" s="80">
        <v>219</v>
      </c>
      <c r="L111" s="80">
        <v>970</v>
      </c>
      <c r="M111" s="80">
        <v>0</v>
      </c>
      <c r="N111" s="80">
        <v>0</v>
      </c>
      <c r="O111" s="80">
        <v>15292</v>
      </c>
      <c r="P111" s="80">
        <v>5794</v>
      </c>
      <c r="Q111" s="80">
        <v>4465</v>
      </c>
      <c r="R111" s="80">
        <v>1329</v>
      </c>
      <c r="S111" s="80">
        <v>1107</v>
      </c>
      <c r="T111" s="80">
        <v>222</v>
      </c>
      <c r="U111" s="80">
        <v>7752</v>
      </c>
      <c r="V111" s="80">
        <v>979</v>
      </c>
      <c r="W111" s="80">
        <v>472</v>
      </c>
      <c r="X111" s="80">
        <v>295</v>
      </c>
      <c r="Y111" s="80">
        <v>-12626</v>
      </c>
      <c r="Z111" s="80">
        <v>6631</v>
      </c>
      <c r="AA111" s="80">
        <v>5014</v>
      </c>
      <c r="AB111" s="80">
        <v>969</v>
      </c>
      <c r="AC111" s="80">
        <v>648</v>
      </c>
      <c r="AD111" s="80">
        <v>6345</v>
      </c>
      <c r="AE111" s="80">
        <v>-16</v>
      </c>
      <c r="AF111" s="80">
        <v>2</v>
      </c>
      <c r="AG111" s="80">
        <v>19</v>
      </c>
      <c r="AH111" s="80">
        <v>1</v>
      </c>
      <c r="AI111" s="80">
        <v>37</v>
      </c>
      <c r="AJ111" s="80">
        <v>0</v>
      </c>
      <c r="AK111" s="80">
        <v>334</v>
      </c>
      <c r="AL111" s="80">
        <v>936</v>
      </c>
      <c r="AM111" s="80">
        <v>857</v>
      </c>
      <c r="AN111" s="80">
        <v>79</v>
      </c>
      <c r="AO111" s="80">
        <v>0</v>
      </c>
      <c r="AP111" s="80">
        <v>0</v>
      </c>
      <c r="AQ111" s="80">
        <v>0</v>
      </c>
      <c r="AR111" s="80">
        <v>-602</v>
      </c>
      <c r="AS111" s="80">
        <v>318</v>
      </c>
      <c r="AT111" s="80">
        <v>0</v>
      </c>
      <c r="AU111" s="80">
        <v>0</v>
      </c>
      <c r="AV111" s="80">
        <v>-284</v>
      </c>
      <c r="AW111" s="81"/>
      <c r="AX111" s="80">
        <v>327</v>
      </c>
      <c r="AY111" s="80">
        <v>334</v>
      </c>
      <c r="AZ111" s="80">
        <v>0</v>
      </c>
      <c r="BA111" s="80">
        <v>-7</v>
      </c>
      <c r="BB111" s="80">
        <v>-1284</v>
      </c>
      <c r="BC111" s="80">
        <v>1571</v>
      </c>
      <c r="BD111" s="80">
        <v>151</v>
      </c>
      <c r="BE111" s="80">
        <v>136</v>
      </c>
      <c r="BF111" s="80">
        <v>-957</v>
      </c>
      <c r="BG111" s="80">
        <v>296</v>
      </c>
      <c r="BH111" s="80">
        <v>-2</v>
      </c>
      <c r="BI111" s="80">
        <v>2</v>
      </c>
      <c r="BJ111" s="80">
        <v>0</v>
      </c>
      <c r="BK111" s="80">
        <v>245</v>
      </c>
      <c r="BL111" s="80">
        <v>500</v>
      </c>
      <c r="BM111" s="80">
        <v>255</v>
      </c>
      <c r="BN111" s="80">
        <v>0</v>
      </c>
      <c r="BO111" s="80">
        <v>0</v>
      </c>
      <c r="BP111" s="80">
        <v>53</v>
      </c>
      <c r="BQ111" s="80">
        <v>-2</v>
      </c>
      <c r="BR111" s="80">
        <v>0</v>
      </c>
      <c r="BS111" s="80">
        <v>145</v>
      </c>
      <c r="BT111" s="80">
        <v>-90</v>
      </c>
      <c r="BU111" s="80">
        <v>-660</v>
      </c>
      <c r="BV111" s="80">
        <v>389</v>
      </c>
      <c r="BW111" s="80">
        <v>1049</v>
      </c>
      <c r="BX111" s="81"/>
      <c r="BY111" s="80">
        <v>18389</v>
      </c>
      <c r="BZ111" s="80">
        <v>468</v>
      </c>
      <c r="CA111" s="80">
        <v>0</v>
      </c>
      <c r="CB111" s="80">
        <v>468</v>
      </c>
      <c r="CC111" s="80">
        <v>0</v>
      </c>
      <c r="CD111" s="80">
        <v>14432</v>
      </c>
      <c r="CE111" s="80">
        <v>741</v>
      </c>
      <c r="CF111" s="80">
        <v>10298</v>
      </c>
      <c r="CG111" s="80">
        <v>1686</v>
      </c>
      <c r="CH111" s="80">
        <v>223</v>
      </c>
      <c r="CI111" s="80">
        <v>0</v>
      </c>
      <c r="CJ111" s="80">
        <v>0</v>
      </c>
      <c r="CK111" s="80">
        <v>1484</v>
      </c>
      <c r="CL111" s="80">
        <v>3489</v>
      </c>
      <c r="CM111" s="80">
        <v>3445</v>
      </c>
      <c r="CN111" s="80">
        <v>1421</v>
      </c>
      <c r="CO111" s="80">
        <v>2024</v>
      </c>
      <c r="CP111" s="80">
        <v>0</v>
      </c>
      <c r="CQ111" s="80">
        <v>0</v>
      </c>
      <c r="CR111" s="80">
        <v>0</v>
      </c>
      <c r="CS111" s="80">
        <v>0</v>
      </c>
      <c r="CT111" s="80">
        <v>0</v>
      </c>
      <c r="CU111" s="80">
        <v>44</v>
      </c>
      <c r="CV111" s="80">
        <v>1715</v>
      </c>
      <c r="CW111" s="80">
        <v>0</v>
      </c>
      <c r="CX111" s="80">
        <v>1715</v>
      </c>
      <c r="CY111" s="80">
        <v>0</v>
      </c>
      <c r="CZ111" s="80">
        <v>742</v>
      </c>
      <c r="DA111" s="80">
        <v>0</v>
      </c>
      <c r="DB111" s="80">
        <v>0</v>
      </c>
      <c r="DC111" s="80">
        <v>0</v>
      </c>
      <c r="DD111" s="80">
        <v>0</v>
      </c>
      <c r="DE111" s="80">
        <v>0</v>
      </c>
      <c r="DF111" s="80">
        <v>0</v>
      </c>
      <c r="DG111" s="80">
        <v>353</v>
      </c>
      <c r="DH111" s="80">
        <v>0</v>
      </c>
      <c r="DI111" s="80">
        <v>0</v>
      </c>
      <c r="DJ111" s="80">
        <v>0</v>
      </c>
      <c r="DK111" s="80">
        <v>0</v>
      </c>
      <c r="DL111" s="80">
        <v>0</v>
      </c>
      <c r="DM111" s="80">
        <v>353</v>
      </c>
      <c r="DN111" s="80">
        <v>182</v>
      </c>
      <c r="DO111" s="80">
        <v>0</v>
      </c>
      <c r="DP111" s="80">
        <v>93</v>
      </c>
      <c r="DQ111" s="80">
        <v>78</v>
      </c>
      <c r="DR111" s="80">
        <v>0</v>
      </c>
      <c r="DS111" s="80">
        <v>0</v>
      </c>
      <c r="DT111" s="80">
        <v>0</v>
      </c>
      <c r="DU111" s="80">
        <v>0</v>
      </c>
      <c r="DV111" s="80">
        <v>0</v>
      </c>
      <c r="DW111" s="80">
        <v>389</v>
      </c>
      <c r="DX111" s="80">
        <v>20846</v>
      </c>
      <c r="DY111" s="80">
        <v>11795</v>
      </c>
      <c r="DZ111" s="80">
        <v>7077</v>
      </c>
      <c r="EA111" s="80">
        <v>0</v>
      </c>
      <c r="EB111" s="80">
        <v>0</v>
      </c>
      <c r="EC111" s="80">
        <v>5002</v>
      </c>
      <c r="ED111" s="80">
        <v>-284</v>
      </c>
      <c r="EE111" s="80">
        <v>2472</v>
      </c>
      <c r="EF111" s="80">
        <v>2022</v>
      </c>
      <c r="EG111" s="80">
        <v>450</v>
      </c>
      <c r="EH111" s="80">
        <v>0</v>
      </c>
      <c r="EI111" s="80">
        <v>0</v>
      </c>
      <c r="EJ111" s="80">
        <v>0</v>
      </c>
      <c r="EK111" s="80">
        <v>3208</v>
      </c>
      <c r="EL111" s="80">
        <v>0</v>
      </c>
      <c r="EM111" s="80">
        <v>3208</v>
      </c>
      <c r="EN111" s="80">
        <v>0</v>
      </c>
      <c r="EO111" s="80">
        <v>3371</v>
      </c>
      <c r="EP111" s="80">
        <v>1449</v>
      </c>
      <c r="EQ111" s="80">
        <v>0</v>
      </c>
      <c r="ER111" s="80">
        <v>1218</v>
      </c>
      <c r="ES111" s="80">
        <v>0</v>
      </c>
      <c r="ET111" s="80">
        <v>1218</v>
      </c>
      <c r="EU111" s="80">
        <v>0</v>
      </c>
      <c r="EV111" s="80">
        <v>0</v>
      </c>
      <c r="EW111" s="80">
        <v>100</v>
      </c>
      <c r="EX111" s="80">
        <v>0</v>
      </c>
      <c r="EY111" s="80">
        <v>0</v>
      </c>
      <c r="EZ111" s="80">
        <v>0</v>
      </c>
      <c r="FA111" s="80">
        <v>131</v>
      </c>
      <c r="FB111" s="80">
        <v>0</v>
      </c>
      <c r="FC111" s="80">
        <v>0</v>
      </c>
      <c r="FD111" s="80">
        <v>1922</v>
      </c>
      <c r="FE111" s="80">
        <v>0</v>
      </c>
      <c r="FF111" s="80">
        <v>178</v>
      </c>
      <c r="FG111" s="80">
        <v>0</v>
      </c>
      <c r="FH111" s="80">
        <v>178</v>
      </c>
      <c r="FI111" s="80">
        <v>0</v>
      </c>
      <c r="FJ111" s="80">
        <v>0</v>
      </c>
      <c r="FK111" s="80">
        <v>50</v>
      </c>
      <c r="FL111" s="80">
        <v>0</v>
      </c>
      <c r="FM111" s="80">
        <v>1</v>
      </c>
      <c r="FN111" s="80">
        <v>963</v>
      </c>
      <c r="FO111" s="80">
        <v>124</v>
      </c>
      <c r="FP111" s="80">
        <v>606</v>
      </c>
      <c r="FQ111" s="80">
        <v>20846</v>
      </c>
      <c r="FR111" s="80">
        <v>1150</v>
      </c>
      <c r="FS111" s="80">
        <v>109</v>
      </c>
      <c r="FT111" s="100">
        <v>7351.639165735749</v>
      </c>
      <c r="FU111" s="100"/>
      <c r="FV111" s="100">
        <v>2634</v>
      </c>
      <c r="FW111" s="67">
        <v>824</v>
      </c>
      <c r="FX111" s="100">
        <f t="shared" si="10"/>
        <v>-8113</v>
      </c>
      <c r="FY111" s="100">
        <f t="shared" si="11"/>
        <v>-11690</v>
      </c>
      <c r="FZ111" s="100">
        <v>7626.9493490056266</v>
      </c>
      <c r="GA111" s="67">
        <v>3577</v>
      </c>
      <c r="GB111" s="58">
        <f t="shared" si="8"/>
        <v>943</v>
      </c>
      <c r="GC111" s="67">
        <v>937</v>
      </c>
      <c r="GD111" s="100">
        <v>767</v>
      </c>
      <c r="GE111" s="100">
        <v>205</v>
      </c>
      <c r="GF111" s="58">
        <f t="shared" si="9"/>
        <v>562</v>
      </c>
      <c r="GG111" s="100">
        <v>-3140.3980000000001</v>
      </c>
      <c r="GH111" s="100">
        <v>-288.43320000000017</v>
      </c>
      <c r="GI111" s="100">
        <v>-4358.0721875839963</v>
      </c>
      <c r="GJ111" s="67">
        <f t="shared" si="12"/>
        <v>113</v>
      </c>
      <c r="GK111" s="67"/>
      <c r="GM111" s="96"/>
    </row>
    <row r="112" spans="1:195" ht="13.5" customHeight="1" x14ac:dyDescent="0.2">
      <c r="A112" s="74">
        <v>284</v>
      </c>
      <c r="B112" s="75" t="s">
        <v>72</v>
      </c>
      <c r="C112" s="75" t="s">
        <v>72</v>
      </c>
      <c r="D112" s="76"/>
      <c r="E112" s="77" t="s">
        <v>219</v>
      </c>
      <c r="F112" s="78">
        <v>2</v>
      </c>
      <c r="G112" s="79">
        <v>2399</v>
      </c>
      <c r="H112" s="80">
        <v>3140</v>
      </c>
      <c r="I112" s="80">
        <v>1659</v>
      </c>
      <c r="J112" s="80">
        <v>785</v>
      </c>
      <c r="K112" s="80">
        <v>173</v>
      </c>
      <c r="L112" s="80">
        <v>523</v>
      </c>
      <c r="M112" s="80">
        <v>0</v>
      </c>
      <c r="N112" s="80">
        <v>0</v>
      </c>
      <c r="O112" s="80">
        <v>16619</v>
      </c>
      <c r="P112" s="80">
        <v>7025</v>
      </c>
      <c r="Q112" s="80">
        <v>5425</v>
      </c>
      <c r="R112" s="80">
        <v>1600</v>
      </c>
      <c r="S112" s="80">
        <v>1347</v>
      </c>
      <c r="T112" s="80">
        <v>253</v>
      </c>
      <c r="U112" s="80">
        <v>7808</v>
      </c>
      <c r="V112" s="80">
        <v>991</v>
      </c>
      <c r="W112" s="80">
        <v>684</v>
      </c>
      <c r="X112" s="80">
        <v>111</v>
      </c>
      <c r="Y112" s="80">
        <v>-13479</v>
      </c>
      <c r="Z112" s="80">
        <v>6869</v>
      </c>
      <c r="AA112" s="80">
        <v>6010</v>
      </c>
      <c r="AB112" s="80">
        <v>379</v>
      </c>
      <c r="AC112" s="80">
        <v>480</v>
      </c>
      <c r="AD112" s="80">
        <v>7425</v>
      </c>
      <c r="AE112" s="80">
        <v>37</v>
      </c>
      <c r="AF112" s="80">
        <v>19</v>
      </c>
      <c r="AG112" s="80">
        <v>21</v>
      </c>
      <c r="AH112" s="80">
        <v>16</v>
      </c>
      <c r="AI112" s="80">
        <v>1</v>
      </c>
      <c r="AJ112" s="80">
        <v>2</v>
      </c>
      <c r="AK112" s="80">
        <v>852</v>
      </c>
      <c r="AL112" s="80">
        <v>629</v>
      </c>
      <c r="AM112" s="80">
        <v>629</v>
      </c>
      <c r="AN112" s="80">
        <v>0</v>
      </c>
      <c r="AO112" s="80">
        <v>0</v>
      </c>
      <c r="AP112" s="80">
        <v>0</v>
      </c>
      <c r="AQ112" s="80">
        <v>0</v>
      </c>
      <c r="AR112" s="80">
        <v>223</v>
      </c>
      <c r="AS112" s="80">
        <v>-324</v>
      </c>
      <c r="AT112" s="80">
        <v>350</v>
      </c>
      <c r="AU112" s="80">
        <v>0</v>
      </c>
      <c r="AV112" s="80">
        <v>249</v>
      </c>
      <c r="AW112" s="81"/>
      <c r="AX112" s="80">
        <v>883</v>
      </c>
      <c r="AY112" s="80">
        <v>852</v>
      </c>
      <c r="AZ112" s="80">
        <v>0</v>
      </c>
      <c r="BA112" s="80">
        <v>31</v>
      </c>
      <c r="BB112" s="80">
        <v>-700</v>
      </c>
      <c r="BC112" s="80">
        <v>899</v>
      </c>
      <c r="BD112" s="80">
        <v>188</v>
      </c>
      <c r="BE112" s="80">
        <v>11</v>
      </c>
      <c r="BF112" s="80">
        <v>183</v>
      </c>
      <c r="BG112" s="80">
        <v>169</v>
      </c>
      <c r="BH112" s="80">
        <v>0</v>
      </c>
      <c r="BI112" s="80">
        <v>0</v>
      </c>
      <c r="BJ112" s="80">
        <v>0</v>
      </c>
      <c r="BK112" s="80">
        <v>-100</v>
      </c>
      <c r="BL112" s="80">
        <v>0</v>
      </c>
      <c r="BM112" s="80">
        <v>100</v>
      </c>
      <c r="BN112" s="80">
        <v>0</v>
      </c>
      <c r="BO112" s="80">
        <v>0</v>
      </c>
      <c r="BP112" s="80">
        <v>269</v>
      </c>
      <c r="BQ112" s="80">
        <v>-21</v>
      </c>
      <c r="BR112" s="80">
        <v>0</v>
      </c>
      <c r="BS112" s="80">
        <v>57</v>
      </c>
      <c r="BT112" s="80">
        <v>233</v>
      </c>
      <c r="BU112" s="80">
        <v>351</v>
      </c>
      <c r="BV112" s="80">
        <v>2916</v>
      </c>
      <c r="BW112" s="80">
        <v>2565</v>
      </c>
      <c r="BX112" s="81"/>
      <c r="BY112" s="80">
        <v>11274</v>
      </c>
      <c r="BZ112" s="80">
        <v>17</v>
      </c>
      <c r="CA112" s="80">
        <v>0</v>
      </c>
      <c r="CB112" s="80">
        <v>17</v>
      </c>
      <c r="CC112" s="80">
        <v>0</v>
      </c>
      <c r="CD112" s="80">
        <v>8446</v>
      </c>
      <c r="CE112" s="80">
        <v>1674</v>
      </c>
      <c r="CF112" s="80">
        <v>4602</v>
      </c>
      <c r="CG112" s="80">
        <v>1945</v>
      </c>
      <c r="CH112" s="80">
        <v>67</v>
      </c>
      <c r="CI112" s="80">
        <v>4</v>
      </c>
      <c r="CJ112" s="80">
        <v>4</v>
      </c>
      <c r="CK112" s="80">
        <v>154</v>
      </c>
      <c r="CL112" s="80">
        <v>2811</v>
      </c>
      <c r="CM112" s="80">
        <v>2788</v>
      </c>
      <c r="CN112" s="80">
        <v>1376</v>
      </c>
      <c r="CO112" s="80">
        <v>1412</v>
      </c>
      <c r="CP112" s="80">
        <v>0</v>
      </c>
      <c r="CQ112" s="80">
        <v>23</v>
      </c>
      <c r="CR112" s="80">
        <v>0</v>
      </c>
      <c r="CS112" s="80">
        <v>0</v>
      </c>
      <c r="CT112" s="80">
        <v>23</v>
      </c>
      <c r="CU112" s="80">
        <v>0</v>
      </c>
      <c r="CV112" s="80">
        <v>15</v>
      </c>
      <c r="CW112" s="80">
        <v>0</v>
      </c>
      <c r="CX112" s="80">
        <v>0</v>
      </c>
      <c r="CY112" s="80">
        <v>15</v>
      </c>
      <c r="CZ112" s="80">
        <v>3602</v>
      </c>
      <c r="DA112" s="80">
        <v>0</v>
      </c>
      <c r="DB112" s="80">
        <v>0</v>
      </c>
      <c r="DC112" s="80">
        <v>0</v>
      </c>
      <c r="DD112" s="80">
        <v>0</v>
      </c>
      <c r="DE112" s="80">
        <v>0</v>
      </c>
      <c r="DF112" s="80">
        <v>0</v>
      </c>
      <c r="DG112" s="80">
        <v>686</v>
      </c>
      <c r="DH112" s="80">
        <v>70</v>
      </c>
      <c r="DI112" s="80">
        <v>0</v>
      </c>
      <c r="DJ112" s="80">
        <v>0</v>
      </c>
      <c r="DK112" s="80">
        <v>70</v>
      </c>
      <c r="DL112" s="80">
        <v>0</v>
      </c>
      <c r="DM112" s="80">
        <v>616</v>
      </c>
      <c r="DN112" s="80">
        <v>297</v>
      </c>
      <c r="DO112" s="80">
        <v>0</v>
      </c>
      <c r="DP112" s="80">
        <v>305</v>
      </c>
      <c r="DQ112" s="80">
        <v>14</v>
      </c>
      <c r="DR112" s="80">
        <v>51</v>
      </c>
      <c r="DS112" s="80">
        <v>51</v>
      </c>
      <c r="DT112" s="80">
        <v>0</v>
      </c>
      <c r="DU112" s="80">
        <v>0</v>
      </c>
      <c r="DV112" s="80">
        <v>0</v>
      </c>
      <c r="DW112" s="80">
        <v>2865</v>
      </c>
      <c r="DX112" s="80">
        <v>14891</v>
      </c>
      <c r="DY112" s="80">
        <v>10629</v>
      </c>
      <c r="DZ112" s="80">
        <v>6913</v>
      </c>
      <c r="EA112" s="80">
        <v>0</v>
      </c>
      <c r="EB112" s="80">
        <v>0</v>
      </c>
      <c r="EC112" s="80">
        <v>3467</v>
      </c>
      <c r="ED112" s="80">
        <v>249</v>
      </c>
      <c r="EE112" s="80">
        <v>994</v>
      </c>
      <c r="EF112" s="80">
        <v>594</v>
      </c>
      <c r="EG112" s="80">
        <v>400</v>
      </c>
      <c r="EH112" s="80">
        <v>0</v>
      </c>
      <c r="EI112" s="80">
        <v>0</v>
      </c>
      <c r="EJ112" s="80">
        <v>0</v>
      </c>
      <c r="EK112" s="80">
        <v>241</v>
      </c>
      <c r="EL112" s="80">
        <v>0</v>
      </c>
      <c r="EM112" s="80">
        <v>0</v>
      </c>
      <c r="EN112" s="80">
        <v>241</v>
      </c>
      <c r="EO112" s="80">
        <v>3030</v>
      </c>
      <c r="EP112" s="80">
        <v>1205</v>
      </c>
      <c r="EQ112" s="80">
        <v>0</v>
      </c>
      <c r="ER112" s="80">
        <v>0</v>
      </c>
      <c r="ES112" s="80">
        <v>0</v>
      </c>
      <c r="ET112" s="80">
        <v>0</v>
      </c>
      <c r="EU112" s="80">
        <v>0</v>
      </c>
      <c r="EV112" s="80">
        <v>0</v>
      </c>
      <c r="EW112" s="80">
        <v>100</v>
      </c>
      <c r="EX112" s="80">
        <v>0</v>
      </c>
      <c r="EY112" s="80">
        <v>0</v>
      </c>
      <c r="EZ112" s="80">
        <v>0</v>
      </c>
      <c r="FA112" s="80">
        <v>1105</v>
      </c>
      <c r="FB112" s="80">
        <v>0</v>
      </c>
      <c r="FC112" s="80">
        <v>0</v>
      </c>
      <c r="FD112" s="80">
        <v>1825</v>
      </c>
      <c r="FE112" s="80">
        <v>0</v>
      </c>
      <c r="FF112" s="80">
        <v>0</v>
      </c>
      <c r="FG112" s="80">
        <v>0</v>
      </c>
      <c r="FH112" s="80">
        <v>0</v>
      </c>
      <c r="FI112" s="80">
        <v>0</v>
      </c>
      <c r="FJ112" s="80">
        <v>0</v>
      </c>
      <c r="FK112" s="80">
        <v>100</v>
      </c>
      <c r="FL112" s="80">
        <v>0</v>
      </c>
      <c r="FM112" s="80">
        <v>34</v>
      </c>
      <c r="FN112" s="80">
        <v>530</v>
      </c>
      <c r="FO112" s="80">
        <v>337</v>
      </c>
      <c r="FP112" s="80">
        <v>824</v>
      </c>
      <c r="FQ112" s="80">
        <v>14894</v>
      </c>
      <c r="FR112" s="80">
        <v>170</v>
      </c>
      <c r="FS112" s="80">
        <v>0</v>
      </c>
      <c r="FT112" s="100">
        <v>9245.2220424798688</v>
      </c>
      <c r="FU112" s="100"/>
      <c r="FV112" s="100">
        <v>3943</v>
      </c>
      <c r="FW112" s="67">
        <v>515</v>
      </c>
      <c r="FX112" s="100">
        <f t="shared" si="10"/>
        <v>-8036</v>
      </c>
      <c r="FY112" s="100">
        <f t="shared" si="11"/>
        <v>-12850</v>
      </c>
      <c r="FZ112" s="100">
        <v>8138.692535416043</v>
      </c>
      <c r="GA112" s="67">
        <v>4814</v>
      </c>
      <c r="GB112" s="58">
        <f t="shared" si="8"/>
        <v>871</v>
      </c>
      <c r="GC112" s="67">
        <v>629</v>
      </c>
      <c r="GD112" s="100">
        <v>842</v>
      </c>
      <c r="GE112" s="100">
        <v>257</v>
      </c>
      <c r="GF112" s="58">
        <f t="shared" si="9"/>
        <v>585</v>
      </c>
      <c r="GG112" s="100">
        <v>-3611.4360000000001</v>
      </c>
      <c r="GH112" s="100">
        <v>-126.64470000000004</v>
      </c>
      <c r="GI112" s="100">
        <v>-4630.8329116126397</v>
      </c>
      <c r="GJ112" s="67">
        <f t="shared" si="12"/>
        <v>114</v>
      </c>
      <c r="GK112" s="67"/>
      <c r="GM112" s="96"/>
    </row>
    <row r="113" spans="1:195" ht="13.5" customHeight="1" x14ac:dyDescent="0.2">
      <c r="A113" s="74">
        <v>285</v>
      </c>
      <c r="B113" s="75" t="s">
        <v>73</v>
      </c>
      <c r="C113" s="75" t="s">
        <v>73</v>
      </c>
      <c r="D113" s="76"/>
      <c r="E113" s="77" t="s">
        <v>230</v>
      </c>
      <c r="F113" s="78">
        <v>6</v>
      </c>
      <c r="G113" s="79">
        <v>54319</v>
      </c>
      <c r="H113" s="80">
        <v>89111</v>
      </c>
      <c r="I113" s="80">
        <v>37036</v>
      </c>
      <c r="J113" s="80">
        <v>13983</v>
      </c>
      <c r="K113" s="80">
        <v>10922</v>
      </c>
      <c r="L113" s="80">
        <v>27170</v>
      </c>
      <c r="M113" s="80">
        <v>0</v>
      </c>
      <c r="N113" s="80">
        <v>1642</v>
      </c>
      <c r="O113" s="80">
        <v>390951</v>
      </c>
      <c r="P113" s="80">
        <v>151928</v>
      </c>
      <c r="Q113" s="80">
        <v>114462</v>
      </c>
      <c r="R113" s="80">
        <v>37466</v>
      </c>
      <c r="S113" s="80">
        <v>31192</v>
      </c>
      <c r="T113" s="80">
        <v>6274</v>
      </c>
      <c r="U113" s="80">
        <v>168897</v>
      </c>
      <c r="V113" s="80">
        <v>17578</v>
      </c>
      <c r="W113" s="80">
        <v>37653</v>
      </c>
      <c r="X113" s="80">
        <v>14895</v>
      </c>
      <c r="Y113" s="80">
        <v>-300198</v>
      </c>
      <c r="Z113" s="80">
        <v>211078</v>
      </c>
      <c r="AA113" s="80">
        <v>185520</v>
      </c>
      <c r="AB113" s="80">
        <v>10334</v>
      </c>
      <c r="AC113" s="80">
        <v>15224</v>
      </c>
      <c r="AD113" s="80">
        <v>96737</v>
      </c>
      <c r="AE113" s="80">
        <v>2269</v>
      </c>
      <c r="AF113" s="80">
        <v>742</v>
      </c>
      <c r="AG113" s="80">
        <v>6808</v>
      </c>
      <c r="AH113" s="80">
        <v>6603</v>
      </c>
      <c r="AI113" s="80">
        <v>2979</v>
      </c>
      <c r="AJ113" s="80">
        <v>2302</v>
      </c>
      <c r="AK113" s="80">
        <v>9886</v>
      </c>
      <c r="AL113" s="80">
        <v>18684</v>
      </c>
      <c r="AM113" s="80">
        <v>18684</v>
      </c>
      <c r="AN113" s="80">
        <v>0</v>
      </c>
      <c r="AO113" s="80">
        <v>0</v>
      </c>
      <c r="AP113" s="80">
        <v>0</v>
      </c>
      <c r="AQ113" s="80">
        <v>0</v>
      </c>
      <c r="AR113" s="80">
        <v>-8798</v>
      </c>
      <c r="AS113" s="80">
        <v>271</v>
      </c>
      <c r="AT113" s="80">
        <v>0</v>
      </c>
      <c r="AU113" s="80">
        <v>0</v>
      </c>
      <c r="AV113" s="80">
        <v>-8527</v>
      </c>
      <c r="AW113" s="81"/>
      <c r="AX113" s="80">
        <v>8486</v>
      </c>
      <c r="AY113" s="80">
        <v>9886</v>
      </c>
      <c r="AZ113" s="80">
        <v>0</v>
      </c>
      <c r="BA113" s="80">
        <v>-1400</v>
      </c>
      <c r="BB113" s="80">
        <v>-21857</v>
      </c>
      <c r="BC113" s="80">
        <v>24851</v>
      </c>
      <c r="BD113" s="80">
        <v>1716</v>
      </c>
      <c r="BE113" s="80">
        <v>1278</v>
      </c>
      <c r="BF113" s="80">
        <v>-13371</v>
      </c>
      <c r="BG113" s="80">
        <v>13372</v>
      </c>
      <c r="BH113" s="80">
        <v>-11</v>
      </c>
      <c r="BI113" s="80">
        <v>11</v>
      </c>
      <c r="BJ113" s="80">
        <v>0</v>
      </c>
      <c r="BK113" s="80">
        <v>14854</v>
      </c>
      <c r="BL113" s="80">
        <v>30000</v>
      </c>
      <c r="BM113" s="80">
        <v>32432</v>
      </c>
      <c r="BN113" s="80">
        <v>17286</v>
      </c>
      <c r="BO113" s="80">
        <v>0</v>
      </c>
      <c r="BP113" s="80">
        <v>-1471</v>
      </c>
      <c r="BQ113" s="80">
        <v>13</v>
      </c>
      <c r="BR113" s="80">
        <v>49</v>
      </c>
      <c r="BS113" s="80">
        <v>-2085</v>
      </c>
      <c r="BT113" s="80">
        <v>552</v>
      </c>
      <c r="BU113" s="80">
        <v>0</v>
      </c>
      <c r="BV113" s="80">
        <v>0</v>
      </c>
      <c r="BW113" s="80">
        <v>0</v>
      </c>
      <c r="BX113" s="81"/>
      <c r="BY113" s="80">
        <v>552962</v>
      </c>
      <c r="BZ113" s="80">
        <v>2823</v>
      </c>
      <c r="CA113" s="80">
        <v>498</v>
      </c>
      <c r="CB113" s="80">
        <v>2112</v>
      </c>
      <c r="CC113" s="80">
        <v>213</v>
      </c>
      <c r="CD113" s="80">
        <v>314058</v>
      </c>
      <c r="CE113" s="80">
        <v>89046</v>
      </c>
      <c r="CF113" s="80">
        <v>146068</v>
      </c>
      <c r="CG113" s="80">
        <v>66406</v>
      </c>
      <c r="CH113" s="80">
        <v>7049</v>
      </c>
      <c r="CI113" s="80">
        <v>2169</v>
      </c>
      <c r="CJ113" s="80">
        <v>2169</v>
      </c>
      <c r="CK113" s="80">
        <v>3320</v>
      </c>
      <c r="CL113" s="80">
        <v>236081</v>
      </c>
      <c r="CM113" s="80">
        <v>230925</v>
      </c>
      <c r="CN113" s="80">
        <v>39467</v>
      </c>
      <c r="CO113" s="80">
        <v>191458</v>
      </c>
      <c r="CP113" s="80">
        <v>0</v>
      </c>
      <c r="CQ113" s="80">
        <v>4781</v>
      </c>
      <c r="CR113" s="80">
        <v>0</v>
      </c>
      <c r="CS113" s="80">
        <v>0</v>
      </c>
      <c r="CT113" s="80">
        <v>4781</v>
      </c>
      <c r="CU113" s="80">
        <v>375</v>
      </c>
      <c r="CV113" s="80">
        <v>763</v>
      </c>
      <c r="CW113" s="80">
        <v>8</v>
      </c>
      <c r="CX113" s="80">
        <v>755</v>
      </c>
      <c r="CY113" s="80">
        <v>0</v>
      </c>
      <c r="CZ113" s="80">
        <v>42144</v>
      </c>
      <c r="DA113" s="80">
        <v>622</v>
      </c>
      <c r="DB113" s="80">
        <v>622</v>
      </c>
      <c r="DC113" s="80">
        <v>0</v>
      </c>
      <c r="DD113" s="80">
        <v>0</v>
      </c>
      <c r="DE113" s="80">
        <v>0</v>
      </c>
      <c r="DF113" s="80">
        <v>0</v>
      </c>
      <c r="DG113" s="80">
        <v>41522</v>
      </c>
      <c r="DH113" s="80">
        <v>18114</v>
      </c>
      <c r="DI113" s="80">
        <v>0</v>
      </c>
      <c r="DJ113" s="80">
        <v>12175</v>
      </c>
      <c r="DK113" s="80">
        <v>0</v>
      </c>
      <c r="DL113" s="80">
        <v>5939</v>
      </c>
      <c r="DM113" s="80">
        <v>23408</v>
      </c>
      <c r="DN113" s="80">
        <v>5610</v>
      </c>
      <c r="DO113" s="80">
        <v>132</v>
      </c>
      <c r="DP113" s="80">
        <v>10497</v>
      </c>
      <c r="DQ113" s="80">
        <v>7169</v>
      </c>
      <c r="DR113" s="80">
        <v>0</v>
      </c>
      <c r="DS113" s="80">
        <v>0</v>
      </c>
      <c r="DT113" s="80">
        <v>0</v>
      </c>
      <c r="DU113" s="80">
        <v>0</v>
      </c>
      <c r="DV113" s="80">
        <v>0</v>
      </c>
      <c r="DW113" s="80">
        <v>0</v>
      </c>
      <c r="DX113" s="80">
        <v>595869</v>
      </c>
      <c r="DY113" s="80">
        <v>252823</v>
      </c>
      <c r="DZ113" s="80">
        <v>293100</v>
      </c>
      <c r="EA113" s="80">
        <v>0</v>
      </c>
      <c r="EB113" s="80">
        <v>1000</v>
      </c>
      <c r="EC113" s="80">
        <v>-32750</v>
      </c>
      <c r="ED113" s="80">
        <v>-8527</v>
      </c>
      <c r="EE113" s="80">
        <v>5526</v>
      </c>
      <c r="EF113" s="80">
        <v>5526</v>
      </c>
      <c r="EG113" s="80">
        <v>0</v>
      </c>
      <c r="EH113" s="80">
        <v>4790</v>
      </c>
      <c r="EI113" s="80">
        <v>4790</v>
      </c>
      <c r="EJ113" s="80">
        <v>0</v>
      </c>
      <c r="EK113" s="80">
        <v>750</v>
      </c>
      <c r="EL113" s="80">
        <v>0</v>
      </c>
      <c r="EM113" s="80">
        <v>750</v>
      </c>
      <c r="EN113" s="80">
        <v>0</v>
      </c>
      <c r="EO113" s="80">
        <v>331979</v>
      </c>
      <c r="EP113" s="80">
        <v>193165</v>
      </c>
      <c r="EQ113" s="80">
        <v>30000</v>
      </c>
      <c r="ER113" s="80">
        <v>163163</v>
      </c>
      <c r="ES113" s="80">
        <v>6316</v>
      </c>
      <c r="ET113" s="80">
        <v>149847</v>
      </c>
      <c r="EU113" s="80">
        <v>0</v>
      </c>
      <c r="EV113" s="80">
        <v>7000</v>
      </c>
      <c r="EW113" s="80">
        <v>0</v>
      </c>
      <c r="EX113" s="80">
        <v>0</v>
      </c>
      <c r="EY113" s="80">
        <v>2</v>
      </c>
      <c r="EZ113" s="80">
        <v>0</v>
      </c>
      <c r="FA113" s="80">
        <v>0</v>
      </c>
      <c r="FB113" s="80">
        <v>0</v>
      </c>
      <c r="FC113" s="80">
        <v>0</v>
      </c>
      <c r="FD113" s="80">
        <v>138814</v>
      </c>
      <c r="FE113" s="80">
        <v>0</v>
      </c>
      <c r="FF113" s="80">
        <v>79243</v>
      </c>
      <c r="FG113" s="80">
        <v>32099</v>
      </c>
      <c r="FH113" s="80">
        <v>45504</v>
      </c>
      <c r="FI113" s="80">
        <v>707</v>
      </c>
      <c r="FJ113" s="80">
        <v>933</v>
      </c>
      <c r="FK113" s="80">
        <v>0</v>
      </c>
      <c r="FL113" s="80">
        <v>8865</v>
      </c>
      <c r="FM113" s="80">
        <v>1721</v>
      </c>
      <c r="FN113" s="80">
        <v>23319</v>
      </c>
      <c r="FO113" s="80">
        <v>5180</v>
      </c>
      <c r="FP113" s="80">
        <v>20486</v>
      </c>
      <c r="FQ113" s="80">
        <v>595868</v>
      </c>
      <c r="FR113" s="80">
        <v>229698</v>
      </c>
      <c r="FS113" s="80">
        <v>755</v>
      </c>
      <c r="FT113" s="100">
        <v>190982.3679773492</v>
      </c>
      <c r="FU113" s="100"/>
      <c r="FV113" s="100">
        <v>89433</v>
      </c>
      <c r="FW113" s="67">
        <v>17259</v>
      </c>
      <c r="FX113" s="100">
        <f t="shared" si="10"/>
        <v>-142318</v>
      </c>
      <c r="FY113" s="100">
        <f t="shared" si="11"/>
        <v>-281514</v>
      </c>
      <c r="FZ113" s="100">
        <v>200284.14350377387</v>
      </c>
      <c r="GA113" s="67">
        <v>139196</v>
      </c>
      <c r="GB113" s="58">
        <f t="shared" si="8"/>
        <v>49763</v>
      </c>
      <c r="GC113" s="67">
        <v>18684</v>
      </c>
      <c r="GD113" s="100">
        <v>13979</v>
      </c>
      <c r="GE113" s="100">
        <v>4910</v>
      </c>
      <c r="GF113" s="58">
        <f t="shared" si="9"/>
        <v>9069</v>
      </c>
      <c r="GG113" s="100">
        <v>-110709.993</v>
      </c>
      <c r="GH113" s="100">
        <v>-2521.6341000000007</v>
      </c>
      <c r="GI113" s="100">
        <v>-88814.6143823241</v>
      </c>
      <c r="GJ113" s="67">
        <f t="shared" si="12"/>
        <v>1425</v>
      </c>
      <c r="GK113" s="67"/>
      <c r="GM113" s="96"/>
    </row>
    <row r="114" spans="1:195" ht="13.5" customHeight="1" x14ac:dyDescent="0.2">
      <c r="A114" s="74">
        <v>286</v>
      </c>
      <c r="B114" s="75" t="s">
        <v>74</v>
      </c>
      <c r="C114" s="75" t="s">
        <v>74</v>
      </c>
      <c r="D114" s="76"/>
      <c r="E114" s="77" t="s">
        <v>230</v>
      </c>
      <c r="F114" s="78">
        <v>6</v>
      </c>
      <c r="G114" s="79">
        <v>85855</v>
      </c>
      <c r="H114" s="80">
        <v>74893</v>
      </c>
      <c r="I114" s="80">
        <v>17879</v>
      </c>
      <c r="J114" s="80">
        <v>28518</v>
      </c>
      <c r="K114" s="80">
        <v>12691</v>
      </c>
      <c r="L114" s="80">
        <v>15805</v>
      </c>
      <c r="M114" s="80">
        <v>61</v>
      </c>
      <c r="N114" s="80">
        <v>2378</v>
      </c>
      <c r="O114" s="80">
        <v>570794</v>
      </c>
      <c r="P114" s="80">
        <v>271380</v>
      </c>
      <c r="Q114" s="80">
        <v>206398</v>
      </c>
      <c r="R114" s="80">
        <v>64982</v>
      </c>
      <c r="S114" s="80">
        <v>53785</v>
      </c>
      <c r="T114" s="80">
        <v>11197</v>
      </c>
      <c r="U114" s="80">
        <v>207087</v>
      </c>
      <c r="V114" s="80">
        <v>34989</v>
      </c>
      <c r="W114" s="80">
        <v>46123</v>
      </c>
      <c r="X114" s="80">
        <v>11215</v>
      </c>
      <c r="Y114" s="80">
        <v>-493462</v>
      </c>
      <c r="Z114" s="80">
        <v>332743</v>
      </c>
      <c r="AA114" s="80">
        <v>288291</v>
      </c>
      <c r="AB114" s="80">
        <v>19392</v>
      </c>
      <c r="AC114" s="80">
        <v>25060</v>
      </c>
      <c r="AD114" s="80">
        <v>166672</v>
      </c>
      <c r="AE114" s="80">
        <v>8629</v>
      </c>
      <c r="AF114" s="80">
        <v>2253</v>
      </c>
      <c r="AG114" s="80">
        <v>10183</v>
      </c>
      <c r="AH114" s="80">
        <v>6800</v>
      </c>
      <c r="AI114" s="80">
        <v>3158</v>
      </c>
      <c r="AJ114" s="80">
        <v>649</v>
      </c>
      <c r="AK114" s="80">
        <v>14582</v>
      </c>
      <c r="AL114" s="80">
        <v>20923</v>
      </c>
      <c r="AM114" s="80">
        <v>20379</v>
      </c>
      <c r="AN114" s="80">
        <v>544</v>
      </c>
      <c r="AO114" s="80">
        <v>1873</v>
      </c>
      <c r="AP114" s="80">
        <v>2445</v>
      </c>
      <c r="AQ114" s="80">
        <v>572</v>
      </c>
      <c r="AR114" s="80">
        <v>-4468</v>
      </c>
      <c r="AS114" s="80">
        <v>102</v>
      </c>
      <c r="AT114" s="80">
        <v>0</v>
      </c>
      <c r="AU114" s="80">
        <v>3</v>
      </c>
      <c r="AV114" s="80">
        <v>-4363</v>
      </c>
      <c r="AW114" s="81"/>
      <c r="AX114" s="80">
        <v>14452</v>
      </c>
      <c r="AY114" s="80">
        <v>14582</v>
      </c>
      <c r="AZ114" s="80">
        <v>1873</v>
      </c>
      <c r="BA114" s="80">
        <v>-2003</v>
      </c>
      <c r="BB114" s="80">
        <v>-23379</v>
      </c>
      <c r="BC114" s="80">
        <v>30106</v>
      </c>
      <c r="BD114" s="80">
        <v>951</v>
      </c>
      <c r="BE114" s="80">
        <v>5776</v>
      </c>
      <c r="BF114" s="80">
        <v>-8927</v>
      </c>
      <c r="BG114" s="80">
        <v>19989</v>
      </c>
      <c r="BH114" s="80">
        <v>-703</v>
      </c>
      <c r="BI114" s="80">
        <v>961</v>
      </c>
      <c r="BJ114" s="80">
        <v>258</v>
      </c>
      <c r="BK114" s="80">
        <v>24598</v>
      </c>
      <c r="BL114" s="80">
        <v>50000</v>
      </c>
      <c r="BM114" s="80">
        <v>25402</v>
      </c>
      <c r="BN114" s="80">
        <v>0</v>
      </c>
      <c r="BO114" s="80">
        <v>0</v>
      </c>
      <c r="BP114" s="80">
        <v>-3906</v>
      </c>
      <c r="BQ114" s="80">
        <v>-186</v>
      </c>
      <c r="BR114" s="80">
        <v>239</v>
      </c>
      <c r="BS114" s="80">
        <v>3579</v>
      </c>
      <c r="BT114" s="80">
        <v>-7538</v>
      </c>
      <c r="BU114" s="80">
        <v>11062</v>
      </c>
      <c r="BV114" s="80">
        <v>44936</v>
      </c>
      <c r="BW114" s="80">
        <v>33874</v>
      </c>
      <c r="BX114" s="81"/>
      <c r="BY114" s="80">
        <v>535674</v>
      </c>
      <c r="BZ114" s="80">
        <v>1668</v>
      </c>
      <c r="CA114" s="80">
        <v>402</v>
      </c>
      <c r="CB114" s="80">
        <v>1206</v>
      </c>
      <c r="CC114" s="80">
        <v>60</v>
      </c>
      <c r="CD114" s="80">
        <v>335440</v>
      </c>
      <c r="CE114" s="80">
        <v>67877</v>
      </c>
      <c r="CF114" s="80">
        <v>167733</v>
      </c>
      <c r="CG114" s="80">
        <v>87460</v>
      </c>
      <c r="CH114" s="80">
        <v>2366</v>
      </c>
      <c r="CI114" s="80">
        <v>1273</v>
      </c>
      <c r="CJ114" s="80">
        <v>1273</v>
      </c>
      <c r="CK114" s="80">
        <v>8731</v>
      </c>
      <c r="CL114" s="80">
        <v>198566</v>
      </c>
      <c r="CM114" s="80">
        <v>157522</v>
      </c>
      <c r="CN114" s="80">
        <v>40383</v>
      </c>
      <c r="CO114" s="80">
        <v>117139</v>
      </c>
      <c r="CP114" s="80">
        <v>0</v>
      </c>
      <c r="CQ114" s="80">
        <v>40707</v>
      </c>
      <c r="CR114" s="80">
        <v>0</v>
      </c>
      <c r="CS114" s="80">
        <v>0</v>
      </c>
      <c r="CT114" s="80">
        <v>40707</v>
      </c>
      <c r="CU114" s="80">
        <v>337</v>
      </c>
      <c r="CV114" s="80">
        <v>1211</v>
      </c>
      <c r="CW114" s="80">
        <v>34</v>
      </c>
      <c r="CX114" s="80">
        <v>1162</v>
      </c>
      <c r="CY114" s="80">
        <v>15</v>
      </c>
      <c r="CZ114" s="80">
        <v>83479</v>
      </c>
      <c r="DA114" s="80">
        <v>553</v>
      </c>
      <c r="DB114" s="80">
        <v>259</v>
      </c>
      <c r="DC114" s="80">
        <v>294</v>
      </c>
      <c r="DD114" s="80">
        <v>0</v>
      </c>
      <c r="DE114" s="80">
        <v>0</v>
      </c>
      <c r="DF114" s="80">
        <v>0</v>
      </c>
      <c r="DG114" s="80">
        <v>37990</v>
      </c>
      <c r="DH114" s="80">
        <v>13082</v>
      </c>
      <c r="DI114" s="80">
        <v>3776</v>
      </c>
      <c r="DJ114" s="80">
        <v>7576</v>
      </c>
      <c r="DK114" s="80">
        <v>1730</v>
      </c>
      <c r="DL114" s="80">
        <v>0</v>
      </c>
      <c r="DM114" s="80">
        <v>24908</v>
      </c>
      <c r="DN114" s="80">
        <v>11665</v>
      </c>
      <c r="DO114" s="80">
        <v>2803</v>
      </c>
      <c r="DP114" s="80">
        <v>4562</v>
      </c>
      <c r="DQ114" s="80">
        <v>5878</v>
      </c>
      <c r="DR114" s="80">
        <v>24919</v>
      </c>
      <c r="DS114" s="80">
        <v>0</v>
      </c>
      <c r="DT114" s="80">
        <v>0</v>
      </c>
      <c r="DU114" s="80">
        <v>0</v>
      </c>
      <c r="DV114" s="80">
        <v>24919</v>
      </c>
      <c r="DW114" s="80">
        <v>20017</v>
      </c>
      <c r="DX114" s="80">
        <v>620364</v>
      </c>
      <c r="DY114" s="80">
        <v>318732</v>
      </c>
      <c r="DZ114" s="80">
        <v>285681</v>
      </c>
      <c r="EA114" s="80">
        <v>0</v>
      </c>
      <c r="EB114" s="80">
        <v>34005</v>
      </c>
      <c r="EC114" s="80">
        <v>3408</v>
      </c>
      <c r="ED114" s="80">
        <v>-4362</v>
      </c>
      <c r="EE114" s="80">
        <v>1891</v>
      </c>
      <c r="EF114" s="80">
        <v>1891</v>
      </c>
      <c r="EG114" s="80">
        <v>0</v>
      </c>
      <c r="EH114" s="80">
        <v>6303</v>
      </c>
      <c r="EI114" s="80">
        <v>13</v>
      </c>
      <c r="EJ114" s="80">
        <v>6290</v>
      </c>
      <c r="EK114" s="80">
        <v>2185</v>
      </c>
      <c r="EL114" s="80">
        <v>59</v>
      </c>
      <c r="EM114" s="80">
        <v>1397</v>
      </c>
      <c r="EN114" s="80">
        <v>729</v>
      </c>
      <c r="EO114" s="80">
        <v>291253</v>
      </c>
      <c r="EP114" s="80">
        <v>179658</v>
      </c>
      <c r="EQ114" s="80">
        <v>0</v>
      </c>
      <c r="ER114" s="80">
        <v>179658</v>
      </c>
      <c r="ES114" s="80">
        <v>13684</v>
      </c>
      <c r="ET114" s="80">
        <v>165974</v>
      </c>
      <c r="EU114" s="80">
        <v>0</v>
      </c>
      <c r="EV114" s="80">
        <v>0</v>
      </c>
      <c r="EW114" s="80">
        <v>0</v>
      </c>
      <c r="EX114" s="80">
        <v>0</v>
      </c>
      <c r="EY114" s="80">
        <v>0</v>
      </c>
      <c r="EZ114" s="80">
        <v>0</v>
      </c>
      <c r="FA114" s="80">
        <v>0</v>
      </c>
      <c r="FB114" s="80">
        <v>0</v>
      </c>
      <c r="FC114" s="80">
        <v>0</v>
      </c>
      <c r="FD114" s="80">
        <v>111595</v>
      </c>
      <c r="FE114" s="80">
        <v>0</v>
      </c>
      <c r="FF114" s="80">
        <v>23854</v>
      </c>
      <c r="FG114" s="80">
        <v>2772</v>
      </c>
      <c r="FH114" s="80">
        <v>21082</v>
      </c>
      <c r="FI114" s="80">
        <v>0</v>
      </c>
      <c r="FJ114" s="80">
        <v>0</v>
      </c>
      <c r="FK114" s="80">
        <v>0</v>
      </c>
      <c r="FL114" s="80">
        <v>0</v>
      </c>
      <c r="FM114" s="80">
        <v>2827</v>
      </c>
      <c r="FN114" s="80">
        <v>25483</v>
      </c>
      <c r="FO114" s="80">
        <v>18296</v>
      </c>
      <c r="FP114" s="80">
        <v>41135</v>
      </c>
      <c r="FQ114" s="80">
        <v>620364</v>
      </c>
      <c r="FR114" s="80">
        <v>147619</v>
      </c>
      <c r="FS114" s="80">
        <v>18850</v>
      </c>
      <c r="FT114" s="100">
        <v>326729.01343110425</v>
      </c>
      <c r="FU114" s="100"/>
      <c r="FV114" s="100">
        <v>134852</v>
      </c>
      <c r="FW114" s="67">
        <v>20030</v>
      </c>
      <c r="FX114" s="100">
        <f t="shared" si="10"/>
        <v>-298979</v>
      </c>
      <c r="FY114" s="100">
        <f t="shared" si="11"/>
        <v>-472539</v>
      </c>
      <c r="FZ114" s="100">
        <v>302811.68512612843</v>
      </c>
      <c r="GA114" s="67">
        <v>173560</v>
      </c>
      <c r="GB114" s="58">
        <f t="shared" si="8"/>
        <v>38708</v>
      </c>
      <c r="GC114" s="67">
        <v>20923</v>
      </c>
      <c r="GD114" s="100">
        <v>28519</v>
      </c>
      <c r="GE114" s="100">
        <v>6160</v>
      </c>
      <c r="GF114" s="58">
        <f t="shared" si="9"/>
        <v>22359</v>
      </c>
      <c r="GG114" s="100">
        <v>-171505.74600000001</v>
      </c>
      <c r="GH114" s="100">
        <v>-5713.1581500000002</v>
      </c>
      <c r="GI114" s="100">
        <v>-128156.6325330023</v>
      </c>
      <c r="GJ114" s="67">
        <f t="shared" si="12"/>
        <v>893</v>
      </c>
      <c r="GK114" s="67"/>
      <c r="GM114" s="96"/>
    </row>
    <row r="115" spans="1:195" ht="13.5" customHeight="1" x14ac:dyDescent="0.2">
      <c r="A115" s="74">
        <v>287</v>
      </c>
      <c r="B115" s="75" t="s">
        <v>265</v>
      </c>
      <c r="C115" s="82" t="s">
        <v>265</v>
      </c>
      <c r="D115" s="76"/>
      <c r="E115" s="77" t="s">
        <v>248</v>
      </c>
      <c r="F115" s="78">
        <v>3</v>
      </c>
      <c r="G115" s="79">
        <v>6793</v>
      </c>
      <c r="H115" s="80">
        <v>8654</v>
      </c>
      <c r="I115" s="80">
        <v>2554</v>
      </c>
      <c r="J115" s="80">
        <v>2625</v>
      </c>
      <c r="K115" s="80">
        <v>816</v>
      </c>
      <c r="L115" s="80">
        <v>2659</v>
      </c>
      <c r="M115" s="80">
        <v>1</v>
      </c>
      <c r="N115" s="80">
        <v>0</v>
      </c>
      <c r="O115" s="80">
        <v>47622</v>
      </c>
      <c r="P115" s="80">
        <v>21989</v>
      </c>
      <c r="Q115" s="80">
        <v>16791</v>
      </c>
      <c r="R115" s="80">
        <v>5198</v>
      </c>
      <c r="S115" s="80">
        <v>4106</v>
      </c>
      <c r="T115" s="80">
        <v>1092</v>
      </c>
      <c r="U115" s="80">
        <v>20326</v>
      </c>
      <c r="V115" s="80">
        <v>3500</v>
      </c>
      <c r="W115" s="80">
        <v>1001</v>
      </c>
      <c r="X115" s="80">
        <v>806</v>
      </c>
      <c r="Y115" s="80">
        <v>-38967</v>
      </c>
      <c r="Z115" s="80">
        <v>23239</v>
      </c>
      <c r="AA115" s="80">
        <v>20266</v>
      </c>
      <c r="AB115" s="80">
        <v>1185</v>
      </c>
      <c r="AC115" s="80">
        <v>1788</v>
      </c>
      <c r="AD115" s="80">
        <v>19390</v>
      </c>
      <c r="AE115" s="80">
        <v>-563</v>
      </c>
      <c r="AF115" s="80">
        <v>9</v>
      </c>
      <c r="AG115" s="80">
        <v>41</v>
      </c>
      <c r="AH115" s="80">
        <v>0</v>
      </c>
      <c r="AI115" s="80">
        <v>535</v>
      </c>
      <c r="AJ115" s="80">
        <v>78</v>
      </c>
      <c r="AK115" s="80">
        <v>3099</v>
      </c>
      <c r="AL115" s="80">
        <v>2278</v>
      </c>
      <c r="AM115" s="80">
        <v>2116</v>
      </c>
      <c r="AN115" s="80">
        <v>162</v>
      </c>
      <c r="AO115" s="80">
        <v>0</v>
      </c>
      <c r="AP115" s="80">
        <v>0</v>
      </c>
      <c r="AQ115" s="80">
        <v>0</v>
      </c>
      <c r="AR115" s="80">
        <v>821</v>
      </c>
      <c r="AS115" s="80">
        <v>0</v>
      </c>
      <c r="AT115" s="80">
        <v>0</v>
      </c>
      <c r="AU115" s="80">
        <v>0</v>
      </c>
      <c r="AV115" s="80">
        <v>821</v>
      </c>
      <c r="AW115" s="81"/>
      <c r="AX115" s="80">
        <v>2215</v>
      </c>
      <c r="AY115" s="80">
        <v>3099</v>
      </c>
      <c r="AZ115" s="80">
        <v>0</v>
      </c>
      <c r="BA115" s="80">
        <v>-884</v>
      </c>
      <c r="BB115" s="80">
        <v>-2134</v>
      </c>
      <c r="BC115" s="80">
        <v>3169</v>
      </c>
      <c r="BD115" s="80">
        <v>0</v>
      </c>
      <c r="BE115" s="80">
        <v>1035</v>
      </c>
      <c r="BF115" s="80">
        <v>81</v>
      </c>
      <c r="BG115" s="80">
        <v>-1665</v>
      </c>
      <c r="BH115" s="80">
        <v>-297</v>
      </c>
      <c r="BI115" s="80">
        <v>305</v>
      </c>
      <c r="BJ115" s="80">
        <v>8</v>
      </c>
      <c r="BK115" s="80">
        <v>-856</v>
      </c>
      <c r="BL115" s="80">
        <v>3000</v>
      </c>
      <c r="BM115" s="80">
        <v>3856</v>
      </c>
      <c r="BN115" s="80">
        <v>0</v>
      </c>
      <c r="BO115" s="80">
        <v>0</v>
      </c>
      <c r="BP115" s="80">
        <v>-512</v>
      </c>
      <c r="BQ115" s="80">
        <v>-49</v>
      </c>
      <c r="BR115" s="80">
        <v>6</v>
      </c>
      <c r="BS115" s="80">
        <v>41</v>
      </c>
      <c r="BT115" s="80">
        <v>-510</v>
      </c>
      <c r="BU115" s="80">
        <v>-1583</v>
      </c>
      <c r="BV115" s="80">
        <v>4631</v>
      </c>
      <c r="BW115" s="80">
        <v>6214</v>
      </c>
      <c r="BX115" s="81"/>
      <c r="BY115" s="80">
        <v>42470</v>
      </c>
      <c r="BZ115" s="80">
        <v>227</v>
      </c>
      <c r="CA115" s="80">
        <v>227</v>
      </c>
      <c r="CB115" s="80">
        <v>0</v>
      </c>
      <c r="CC115" s="80">
        <v>0</v>
      </c>
      <c r="CD115" s="80">
        <v>36320</v>
      </c>
      <c r="CE115" s="80">
        <v>3351</v>
      </c>
      <c r="CF115" s="80">
        <v>22687</v>
      </c>
      <c r="CG115" s="80">
        <v>8936</v>
      </c>
      <c r="CH115" s="80">
        <v>839</v>
      </c>
      <c r="CI115" s="80">
        <v>0</v>
      </c>
      <c r="CJ115" s="80">
        <v>0</v>
      </c>
      <c r="CK115" s="80">
        <v>507</v>
      </c>
      <c r="CL115" s="80">
        <v>5923</v>
      </c>
      <c r="CM115" s="80">
        <v>5923</v>
      </c>
      <c r="CN115" s="80">
        <v>3793</v>
      </c>
      <c r="CO115" s="80">
        <v>2130</v>
      </c>
      <c r="CP115" s="80">
        <v>0</v>
      </c>
      <c r="CQ115" s="80">
        <v>0</v>
      </c>
      <c r="CR115" s="80">
        <v>0</v>
      </c>
      <c r="CS115" s="80">
        <v>0</v>
      </c>
      <c r="CT115" s="80">
        <v>0</v>
      </c>
      <c r="CU115" s="80">
        <v>0</v>
      </c>
      <c r="CV115" s="80">
        <v>481</v>
      </c>
      <c r="CW115" s="80">
        <v>14</v>
      </c>
      <c r="CX115" s="80">
        <v>467</v>
      </c>
      <c r="CY115" s="80">
        <v>0</v>
      </c>
      <c r="CZ115" s="80">
        <v>7471</v>
      </c>
      <c r="DA115" s="80">
        <v>148</v>
      </c>
      <c r="DB115" s="80">
        <v>148</v>
      </c>
      <c r="DC115" s="80">
        <v>0</v>
      </c>
      <c r="DD115" s="80">
        <v>0</v>
      </c>
      <c r="DE115" s="80">
        <v>0</v>
      </c>
      <c r="DF115" s="80">
        <v>0</v>
      </c>
      <c r="DG115" s="80">
        <v>3161</v>
      </c>
      <c r="DH115" s="80">
        <v>632</v>
      </c>
      <c r="DI115" s="80">
        <v>0</v>
      </c>
      <c r="DJ115" s="80">
        <v>223</v>
      </c>
      <c r="DK115" s="80">
        <v>409</v>
      </c>
      <c r="DL115" s="80">
        <v>0</v>
      </c>
      <c r="DM115" s="80">
        <v>2529</v>
      </c>
      <c r="DN115" s="80">
        <v>1718</v>
      </c>
      <c r="DO115" s="80">
        <v>0</v>
      </c>
      <c r="DP115" s="80">
        <v>509</v>
      </c>
      <c r="DQ115" s="80">
        <v>302</v>
      </c>
      <c r="DR115" s="80">
        <v>954</v>
      </c>
      <c r="DS115" s="80">
        <v>0</v>
      </c>
      <c r="DT115" s="80">
        <v>954</v>
      </c>
      <c r="DU115" s="80">
        <v>0</v>
      </c>
      <c r="DV115" s="80">
        <v>0</v>
      </c>
      <c r="DW115" s="80">
        <v>3208</v>
      </c>
      <c r="DX115" s="80">
        <v>50422</v>
      </c>
      <c r="DY115" s="80">
        <v>17021</v>
      </c>
      <c r="DZ115" s="80">
        <v>13472</v>
      </c>
      <c r="EA115" s="80">
        <v>2667</v>
      </c>
      <c r="EB115" s="80">
        <v>39</v>
      </c>
      <c r="EC115" s="80">
        <v>22</v>
      </c>
      <c r="ED115" s="80">
        <v>821</v>
      </c>
      <c r="EE115" s="80">
        <v>870</v>
      </c>
      <c r="EF115" s="80">
        <v>0</v>
      </c>
      <c r="EG115" s="80">
        <v>870</v>
      </c>
      <c r="EH115" s="80">
        <v>16</v>
      </c>
      <c r="EI115" s="80">
        <v>16</v>
      </c>
      <c r="EJ115" s="80">
        <v>0</v>
      </c>
      <c r="EK115" s="80">
        <v>507</v>
      </c>
      <c r="EL115" s="80">
        <v>40</v>
      </c>
      <c r="EM115" s="80">
        <v>467</v>
      </c>
      <c r="EN115" s="80">
        <v>0</v>
      </c>
      <c r="EO115" s="80">
        <v>32008</v>
      </c>
      <c r="EP115" s="80">
        <v>22244</v>
      </c>
      <c r="EQ115" s="80">
        <v>0</v>
      </c>
      <c r="ER115" s="80">
        <v>20431</v>
      </c>
      <c r="ES115" s="80">
        <v>3525</v>
      </c>
      <c r="ET115" s="80">
        <v>16906</v>
      </c>
      <c r="EU115" s="80">
        <v>0</v>
      </c>
      <c r="EV115" s="80">
        <v>0</v>
      </c>
      <c r="EW115" s="80">
        <v>300</v>
      </c>
      <c r="EX115" s="80">
        <v>0</v>
      </c>
      <c r="EY115" s="80">
        <v>0</v>
      </c>
      <c r="EZ115" s="80">
        <v>0</v>
      </c>
      <c r="FA115" s="80">
        <v>1513</v>
      </c>
      <c r="FB115" s="80">
        <v>0</v>
      </c>
      <c r="FC115" s="80">
        <v>0</v>
      </c>
      <c r="FD115" s="80">
        <v>9764</v>
      </c>
      <c r="FE115" s="80">
        <v>0</v>
      </c>
      <c r="FF115" s="80">
        <v>3749</v>
      </c>
      <c r="FG115" s="80">
        <v>840</v>
      </c>
      <c r="FH115" s="80">
        <v>2909</v>
      </c>
      <c r="FI115" s="80">
        <v>0</v>
      </c>
      <c r="FJ115" s="80">
        <v>0</v>
      </c>
      <c r="FK115" s="80">
        <v>200</v>
      </c>
      <c r="FL115" s="80">
        <v>0</v>
      </c>
      <c r="FM115" s="80">
        <v>0</v>
      </c>
      <c r="FN115" s="80">
        <v>2751</v>
      </c>
      <c r="FO115" s="80">
        <v>588</v>
      </c>
      <c r="FP115" s="80">
        <v>2476</v>
      </c>
      <c r="FQ115" s="80">
        <v>50422</v>
      </c>
      <c r="FR115" s="80">
        <v>21</v>
      </c>
      <c r="FS115" s="80">
        <v>900</v>
      </c>
      <c r="FT115" s="100">
        <v>24486.09435099753</v>
      </c>
      <c r="FU115" s="100"/>
      <c r="FV115" s="100">
        <v>9208</v>
      </c>
      <c r="FW115" s="67">
        <v>2152</v>
      </c>
      <c r="FX115" s="100">
        <f t="shared" si="10"/>
        <v>-24899</v>
      </c>
      <c r="FY115" s="100">
        <f t="shared" si="11"/>
        <v>-36689</v>
      </c>
      <c r="FZ115" s="100">
        <v>23355.015662509111</v>
      </c>
      <c r="GA115" s="67">
        <v>11790</v>
      </c>
      <c r="GB115" s="58">
        <f t="shared" si="8"/>
        <v>2582</v>
      </c>
      <c r="GC115" s="67">
        <v>2279</v>
      </c>
      <c r="GD115" s="100">
        <v>2492</v>
      </c>
      <c r="GE115" s="100">
        <v>589</v>
      </c>
      <c r="GF115" s="58">
        <f t="shared" si="9"/>
        <v>1903</v>
      </c>
      <c r="GG115" s="100">
        <v>-11646.534</v>
      </c>
      <c r="GH115" s="100">
        <v>-414.1219500000002</v>
      </c>
      <c r="GI115" s="100">
        <v>-11573.401170382649</v>
      </c>
      <c r="GJ115" s="67">
        <f t="shared" si="12"/>
        <v>127</v>
      </c>
      <c r="GK115" s="67"/>
      <c r="GM115" s="96"/>
    </row>
    <row r="116" spans="1:195" ht="13.5" customHeight="1" x14ac:dyDescent="0.2">
      <c r="A116" s="74">
        <v>288</v>
      </c>
      <c r="B116" s="75" t="s">
        <v>266</v>
      </c>
      <c r="C116" s="82" t="s">
        <v>266</v>
      </c>
      <c r="D116" s="76"/>
      <c r="E116" s="77" t="s">
        <v>248</v>
      </c>
      <c r="F116" s="78">
        <v>3</v>
      </c>
      <c r="G116" s="79">
        <v>6682</v>
      </c>
      <c r="H116" s="80">
        <v>2663</v>
      </c>
      <c r="I116" s="80">
        <v>206</v>
      </c>
      <c r="J116" s="80">
        <v>591</v>
      </c>
      <c r="K116" s="80">
        <v>616</v>
      </c>
      <c r="L116" s="80">
        <v>1250</v>
      </c>
      <c r="M116" s="80">
        <v>0</v>
      </c>
      <c r="N116" s="80">
        <v>0</v>
      </c>
      <c r="O116" s="80">
        <v>40377</v>
      </c>
      <c r="P116" s="80">
        <v>10492</v>
      </c>
      <c r="Q116" s="80">
        <v>7640</v>
      </c>
      <c r="R116" s="80">
        <v>2852</v>
      </c>
      <c r="S116" s="80">
        <v>2422</v>
      </c>
      <c r="T116" s="80">
        <v>430</v>
      </c>
      <c r="U116" s="80">
        <v>27370</v>
      </c>
      <c r="V116" s="80">
        <v>1318</v>
      </c>
      <c r="W116" s="80">
        <v>922</v>
      </c>
      <c r="X116" s="80">
        <v>275</v>
      </c>
      <c r="Y116" s="80">
        <v>-37714</v>
      </c>
      <c r="Z116" s="80">
        <v>22777</v>
      </c>
      <c r="AA116" s="80">
        <v>19049</v>
      </c>
      <c r="AB116" s="80">
        <v>1504</v>
      </c>
      <c r="AC116" s="80">
        <v>2224</v>
      </c>
      <c r="AD116" s="80">
        <v>16004</v>
      </c>
      <c r="AE116" s="80">
        <v>-346</v>
      </c>
      <c r="AF116" s="80">
        <v>4</v>
      </c>
      <c r="AG116" s="80">
        <v>36</v>
      </c>
      <c r="AH116" s="80">
        <v>7</v>
      </c>
      <c r="AI116" s="80">
        <v>385</v>
      </c>
      <c r="AJ116" s="80">
        <v>1</v>
      </c>
      <c r="AK116" s="80">
        <v>721</v>
      </c>
      <c r="AL116" s="80">
        <v>1090</v>
      </c>
      <c r="AM116" s="80">
        <v>1090</v>
      </c>
      <c r="AN116" s="80">
        <v>0</v>
      </c>
      <c r="AO116" s="80">
        <v>0</v>
      </c>
      <c r="AP116" s="80">
        <v>0</v>
      </c>
      <c r="AQ116" s="80">
        <v>0</v>
      </c>
      <c r="AR116" s="80">
        <v>-369</v>
      </c>
      <c r="AS116" s="80">
        <v>0</v>
      </c>
      <c r="AT116" s="80">
        <v>0</v>
      </c>
      <c r="AU116" s="80">
        <v>0</v>
      </c>
      <c r="AV116" s="80">
        <v>-369</v>
      </c>
      <c r="AW116" s="81"/>
      <c r="AX116" s="80">
        <v>604</v>
      </c>
      <c r="AY116" s="80">
        <v>721</v>
      </c>
      <c r="AZ116" s="80">
        <v>0</v>
      </c>
      <c r="BA116" s="80">
        <v>-117</v>
      </c>
      <c r="BB116" s="80">
        <v>-2716</v>
      </c>
      <c r="BC116" s="80">
        <v>2843</v>
      </c>
      <c r="BD116" s="80">
        <v>0</v>
      </c>
      <c r="BE116" s="80">
        <v>127</v>
      </c>
      <c r="BF116" s="80">
        <v>-2112</v>
      </c>
      <c r="BG116" s="80">
        <v>257</v>
      </c>
      <c r="BH116" s="80">
        <v>-10</v>
      </c>
      <c r="BI116" s="80">
        <v>10</v>
      </c>
      <c r="BJ116" s="80">
        <v>0</v>
      </c>
      <c r="BK116" s="80">
        <v>1893</v>
      </c>
      <c r="BL116" s="80">
        <v>4355</v>
      </c>
      <c r="BM116" s="80">
        <v>2531</v>
      </c>
      <c r="BN116" s="80">
        <v>69</v>
      </c>
      <c r="BO116" s="80">
        <v>0</v>
      </c>
      <c r="BP116" s="80">
        <v>-1626</v>
      </c>
      <c r="BQ116" s="80">
        <v>9</v>
      </c>
      <c r="BR116" s="80">
        <v>0</v>
      </c>
      <c r="BS116" s="80">
        <v>-3</v>
      </c>
      <c r="BT116" s="80">
        <v>-1632</v>
      </c>
      <c r="BU116" s="80">
        <v>-1853</v>
      </c>
      <c r="BV116" s="80">
        <v>219</v>
      </c>
      <c r="BW116" s="80">
        <v>2072</v>
      </c>
      <c r="BX116" s="81"/>
      <c r="BY116" s="80">
        <v>33100</v>
      </c>
      <c r="BZ116" s="80">
        <v>547</v>
      </c>
      <c r="CA116" s="80">
        <v>3</v>
      </c>
      <c r="CB116" s="80">
        <v>544</v>
      </c>
      <c r="CC116" s="80">
        <v>0</v>
      </c>
      <c r="CD116" s="80">
        <v>18428</v>
      </c>
      <c r="CE116" s="80">
        <v>1901</v>
      </c>
      <c r="CF116" s="80">
        <v>13072</v>
      </c>
      <c r="CG116" s="80">
        <v>1444</v>
      </c>
      <c r="CH116" s="80">
        <v>551</v>
      </c>
      <c r="CI116" s="80">
        <v>10</v>
      </c>
      <c r="CJ116" s="80">
        <v>0</v>
      </c>
      <c r="CK116" s="80">
        <v>1450</v>
      </c>
      <c r="CL116" s="80">
        <v>14125</v>
      </c>
      <c r="CM116" s="80">
        <v>13906</v>
      </c>
      <c r="CN116" s="80">
        <v>2529</v>
      </c>
      <c r="CO116" s="80">
        <v>11377</v>
      </c>
      <c r="CP116" s="80">
        <v>0</v>
      </c>
      <c r="CQ116" s="80">
        <v>0</v>
      </c>
      <c r="CR116" s="80">
        <v>0</v>
      </c>
      <c r="CS116" s="80">
        <v>0</v>
      </c>
      <c r="CT116" s="80">
        <v>0</v>
      </c>
      <c r="CU116" s="80">
        <v>219</v>
      </c>
      <c r="CV116" s="80">
        <v>47</v>
      </c>
      <c r="CW116" s="80">
        <v>1</v>
      </c>
      <c r="CX116" s="80">
        <v>46</v>
      </c>
      <c r="CY116" s="80">
        <v>0</v>
      </c>
      <c r="CZ116" s="80">
        <v>1068</v>
      </c>
      <c r="DA116" s="80">
        <v>0</v>
      </c>
      <c r="DB116" s="80">
        <v>0</v>
      </c>
      <c r="DC116" s="80">
        <v>0</v>
      </c>
      <c r="DD116" s="80">
        <v>0</v>
      </c>
      <c r="DE116" s="80">
        <v>0</v>
      </c>
      <c r="DF116" s="80">
        <v>0</v>
      </c>
      <c r="DG116" s="80">
        <v>849</v>
      </c>
      <c r="DH116" s="80">
        <v>0</v>
      </c>
      <c r="DI116" s="80">
        <v>0</v>
      </c>
      <c r="DJ116" s="80">
        <v>0</v>
      </c>
      <c r="DK116" s="80">
        <v>0</v>
      </c>
      <c r="DL116" s="80">
        <v>0</v>
      </c>
      <c r="DM116" s="80">
        <v>849</v>
      </c>
      <c r="DN116" s="80">
        <v>170</v>
      </c>
      <c r="DO116" s="80">
        <v>0</v>
      </c>
      <c r="DP116" s="80">
        <v>308</v>
      </c>
      <c r="DQ116" s="80">
        <v>371</v>
      </c>
      <c r="DR116" s="80">
        <v>0</v>
      </c>
      <c r="DS116" s="80">
        <v>0</v>
      </c>
      <c r="DT116" s="80">
        <v>0</v>
      </c>
      <c r="DU116" s="80">
        <v>0</v>
      </c>
      <c r="DV116" s="80">
        <v>0</v>
      </c>
      <c r="DW116" s="80">
        <v>219</v>
      </c>
      <c r="DX116" s="80">
        <v>34215</v>
      </c>
      <c r="DY116" s="80">
        <v>10757</v>
      </c>
      <c r="DZ116" s="80">
        <v>4807</v>
      </c>
      <c r="EA116" s="80">
        <v>542</v>
      </c>
      <c r="EB116" s="80">
        <v>0</v>
      </c>
      <c r="EC116" s="80">
        <v>5777</v>
      </c>
      <c r="ED116" s="80">
        <v>-369</v>
      </c>
      <c r="EE116" s="80">
        <v>0</v>
      </c>
      <c r="EF116" s="80">
        <v>0</v>
      </c>
      <c r="EG116" s="80">
        <v>0</v>
      </c>
      <c r="EH116" s="80">
        <v>0</v>
      </c>
      <c r="EI116" s="80">
        <v>0</v>
      </c>
      <c r="EJ116" s="80">
        <v>0</v>
      </c>
      <c r="EK116" s="80">
        <v>51</v>
      </c>
      <c r="EL116" s="80">
        <v>1</v>
      </c>
      <c r="EM116" s="80">
        <v>50</v>
      </c>
      <c r="EN116" s="80">
        <v>0</v>
      </c>
      <c r="EO116" s="80">
        <v>23407</v>
      </c>
      <c r="EP116" s="80">
        <v>14983</v>
      </c>
      <c r="EQ116" s="80">
        <v>0</v>
      </c>
      <c r="ER116" s="80">
        <v>13733</v>
      </c>
      <c r="ES116" s="80">
        <v>4050</v>
      </c>
      <c r="ET116" s="80">
        <v>9683</v>
      </c>
      <c r="EU116" s="80">
        <v>0</v>
      </c>
      <c r="EV116" s="80">
        <v>0</v>
      </c>
      <c r="EW116" s="80">
        <v>1250</v>
      </c>
      <c r="EX116" s="80">
        <v>0</v>
      </c>
      <c r="EY116" s="80">
        <v>0</v>
      </c>
      <c r="EZ116" s="80">
        <v>0</v>
      </c>
      <c r="FA116" s="80">
        <v>0</v>
      </c>
      <c r="FB116" s="80">
        <v>0</v>
      </c>
      <c r="FC116" s="80">
        <v>0</v>
      </c>
      <c r="FD116" s="80">
        <v>8424</v>
      </c>
      <c r="FE116" s="80">
        <v>0</v>
      </c>
      <c r="FF116" s="80">
        <v>5131</v>
      </c>
      <c r="FG116" s="80">
        <v>3466</v>
      </c>
      <c r="FH116" s="80">
        <v>1665</v>
      </c>
      <c r="FI116" s="80">
        <v>0</v>
      </c>
      <c r="FJ116" s="80">
        <v>0</v>
      </c>
      <c r="FK116" s="80">
        <v>250</v>
      </c>
      <c r="FL116" s="80">
        <v>0</v>
      </c>
      <c r="FM116" s="80">
        <v>0</v>
      </c>
      <c r="FN116" s="80">
        <v>1693</v>
      </c>
      <c r="FO116" s="80">
        <v>254</v>
      </c>
      <c r="FP116" s="80">
        <v>1096</v>
      </c>
      <c r="FQ116" s="80">
        <v>34215</v>
      </c>
      <c r="FR116" s="80">
        <v>2843</v>
      </c>
      <c r="FS116" s="80">
        <v>6049</v>
      </c>
      <c r="FT116" s="100">
        <v>19356.778568176727</v>
      </c>
      <c r="FU116" s="100"/>
      <c r="FV116" s="100">
        <v>3991</v>
      </c>
      <c r="FW116" s="67">
        <v>990</v>
      </c>
      <c r="FX116" s="100">
        <f t="shared" si="10"/>
        <v>-32454</v>
      </c>
      <c r="FY116" s="100">
        <f t="shared" si="11"/>
        <v>-36624</v>
      </c>
      <c r="FZ116" s="100">
        <v>22774.161170945659</v>
      </c>
      <c r="GA116" s="67">
        <v>4170</v>
      </c>
      <c r="GB116" s="58">
        <f t="shared" si="8"/>
        <v>179</v>
      </c>
      <c r="GC116" s="67">
        <v>1090</v>
      </c>
      <c r="GD116" s="100">
        <v>590</v>
      </c>
      <c r="GE116" s="100">
        <v>590</v>
      </c>
      <c r="GF116" s="58">
        <f t="shared" si="9"/>
        <v>0</v>
      </c>
      <c r="GG116" s="100">
        <v>-10848.848</v>
      </c>
      <c r="GH116" s="100">
        <v>-668.44520000000023</v>
      </c>
      <c r="GI116" s="100">
        <v>-11261.29864408405</v>
      </c>
      <c r="GJ116" s="67">
        <f t="shared" si="12"/>
        <v>100</v>
      </c>
      <c r="GK116" s="67"/>
      <c r="GM116" s="96"/>
    </row>
    <row r="117" spans="1:195" ht="13.5" customHeight="1" x14ac:dyDescent="0.2">
      <c r="A117" s="74">
        <v>290</v>
      </c>
      <c r="B117" s="75" t="s">
        <v>75</v>
      </c>
      <c r="C117" s="75" t="s">
        <v>75</v>
      </c>
      <c r="D117" s="76"/>
      <c r="E117" s="77" t="s">
        <v>234</v>
      </c>
      <c r="F117" s="78">
        <v>3</v>
      </c>
      <c r="G117" s="79">
        <v>8806</v>
      </c>
      <c r="H117" s="80">
        <v>6916</v>
      </c>
      <c r="I117" s="80">
        <v>3331</v>
      </c>
      <c r="J117" s="80">
        <v>777</v>
      </c>
      <c r="K117" s="80">
        <v>1299</v>
      </c>
      <c r="L117" s="80">
        <v>1509</v>
      </c>
      <c r="M117" s="80">
        <v>0</v>
      </c>
      <c r="N117" s="80">
        <v>0</v>
      </c>
      <c r="O117" s="80">
        <v>67361</v>
      </c>
      <c r="P117" s="80">
        <v>17192</v>
      </c>
      <c r="Q117" s="80">
        <v>12276</v>
      </c>
      <c r="R117" s="80">
        <v>4916</v>
      </c>
      <c r="S117" s="80">
        <v>4255</v>
      </c>
      <c r="T117" s="80">
        <v>661</v>
      </c>
      <c r="U117" s="80">
        <v>43923</v>
      </c>
      <c r="V117" s="80">
        <v>3254</v>
      </c>
      <c r="W117" s="80">
        <v>2602</v>
      </c>
      <c r="X117" s="80">
        <v>390</v>
      </c>
      <c r="Y117" s="80">
        <v>-60445</v>
      </c>
      <c r="Z117" s="80">
        <v>29580</v>
      </c>
      <c r="AA117" s="80">
        <v>24548</v>
      </c>
      <c r="AB117" s="80">
        <v>2949</v>
      </c>
      <c r="AC117" s="80">
        <v>2083</v>
      </c>
      <c r="AD117" s="80">
        <v>32479</v>
      </c>
      <c r="AE117" s="80">
        <v>543</v>
      </c>
      <c r="AF117" s="80">
        <v>74</v>
      </c>
      <c r="AG117" s="80">
        <v>858</v>
      </c>
      <c r="AH117" s="80">
        <v>0</v>
      </c>
      <c r="AI117" s="80">
        <v>183</v>
      </c>
      <c r="AJ117" s="80">
        <v>206</v>
      </c>
      <c r="AK117" s="80">
        <v>2157</v>
      </c>
      <c r="AL117" s="80">
        <v>1920</v>
      </c>
      <c r="AM117" s="80">
        <v>1922</v>
      </c>
      <c r="AN117" s="80">
        <v>-2</v>
      </c>
      <c r="AO117" s="80">
        <v>0</v>
      </c>
      <c r="AP117" s="80">
        <v>0</v>
      </c>
      <c r="AQ117" s="80">
        <v>0</v>
      </c>
      <c r="AR117" s="80">
        <v>237</v>
      </c>
      <c r="AS117" s="80">
        <v>43</v>
      </c>
      <c r="AT117" s="80">
        <v>0</v>
      </c>
      <c r="AU117" s="80">
        <v>0</v>
      </c>
      <c r="AV117" s="80">
        <v>280</v>
      </c>
      <c r="AW117" s="81"/>
      <c r="AX117" s="80">
        <v>2002</v>
      </c>
      <c r="AY117" s="80">
        <v>2157</v>
      </c>
      <c r="AZ117" s="80">
        <v>0</v>
      </c>
      <c r="BA117" s="80">
        <v>-155</v>
      </c>
      <c r="BB117" s="80">
        <v>-7949</v>
      </c>
      <c r="BC117" s="80">
        <v>9393</v>
      </c>
      <c r="BD117" s="80">
        <v>1444</v>
      </c>
      <c r="BE117" s="80">
        <v>0</v>
      </c>
      <c r="BF117" s="80">
        <v>-5947</v>
      </c>
      <c r="BG117" s="80">
        <v>5273</v>
      </c>
      <c r="BH117" s="80">
        <v>-201</v>
      </c>
      <c r="BI117" s="80">
        <v>259</v>
      </c>
      <c r="BJ117" s="80">
        <v>58</v>
      </c>
      <c r="BK117" s="80">
        <v>2141</v>
      </c>
      <c r="BL117" s="80">
        <v>3570</v>
      </c>
      <c r="BM117" s="80">
        <v>3929</v>
      </c>
      <c r="BN117" s="80">
        <v>2500</v>
      </c>
      <c r="BO117" s="80">
        <v>0</v>
      </c>
      <c r="BP117" s="80">
        <v>3333</v>
      </c>
      <c r="BQ117" s="80">
        <v>1</v>
      </c>
      <c r="BR117" s="80">
        <v>0</v>
      </c>
      <c r="BS117" s="80">
        <v>2945</v>
      </c>
      <c r="BT117" s="80">
        <v>387</v>
      </c>
      <c r="BU117" s="80">
        <v>-674</v>
      </c>
      <c r="BV117" s="80">
        <v>18053</v>
      </c>
      <c r="BW117" s="80">
        <v>18727</v>
      </c>
      <c r="BX117" s="81"/>
      <c r="BY117" s="80">
        <v>41394</v>
      </c>
      <c r="BZ117" s="80">
        <v>221</v>
      </c>
      <c r="CA117" s="80">
        <v>0</v>
      </c>
      <c r="CB117" s="80">
        <v>221</v>
      </c>
      <c r="CC117" s="80">
        <v>0</v>
      </c>
      <c r="CD117" s="80">
        <v>32152</v>
      </c>
      <c r="CE117" s="80">
        <v>4496</v>
      </c>
      <c r="CF117" s="80">
        <v>17868</v>
      </c>
      <c r="CG117" s="80">
        <v>7695</v>
      </c>
      <c r="CH117" s="80">
        <v>1058</v>
      </c>
      <c r="CI117" s="80">
        <v>221</v>
      </c>
      <c r="CJ117" s="80">
        <v>221</v>
      </c>
      <c r="CK117" s="80">
        <v>814</v>
      </c>
      <c r="CL117" s="80">
        <v>9021</v>
      </c>
      <c r="CM117" s="80">
        <v>8581</v>
      </c>
      <c r="CN117" s="80">
        <v>1577</v>
      </c>
      <c r="CO117" s="80">
        <v>7004</v>
      </c>
      <c r="CP117" s="80">
        <v>0</v>
      </c>
      <c r="CQ117" s="80">
        <v>440</v>
      </c>
      <c r="CR117" s="80">
        <v>0</v>
      </c>
      <c r="CS117" s="80">
        <v>0</v>
      </c>
      <c r="CT117" s="80">
        <v>440</v>
      </c>
      <c r="CU117" s="80">
        <v>0</v>
      </c>
      <c r="CV117" s="80">
        <v>14</v>
      </c>
      <c r="CW117" s="80">
        <v>0</v>
      </c>
      <c r="CX117" s="80">
        <v>14</v>
      </c>
      <c r="CY117" s="80">
        <v>0</v>
      </c>
      <c r="CZ117" s="80">
        <v>21422</v>
      </c>
      <c r="DA117" s="80">
        <v>0</v>
      </c>
      <c r="DB117" s="80">
        <v>0</v>
      </c>
      <c r="DC117" s="80">
        <v>0</v>
      </c>
      <c r="DD117" s="80">
        <v>0</v>
      </c>
      <c r="DE117" s="80">
        <v>0</v>
      </c>
      <c r="DF117" s="80">
        <v>0</v>
      </c>
      <c r="DG117" s="80">
        <v>3369</v>
      </c>
      <c r="DH117" s="80">
        <v>1676</v>
      </c>
      <c r="DI117" s="80">
        <v>0</v>
      </c>
      <c r="DJ117" s="80">
        <v>1676</v>
      </c>
      <c r="DK117" s="80">
        <v>0</v>
      </c>
      <c r="DL117" s="80">
        <v>0</v>
      </c>
      <c r="DM117" s="80">
        <v>1693</v>
      </c>
      <c r="DN117" s="80">
        <v>889</v>
      </c>
      <c r="DO117" s="80">
        <v>0</v>
      </c>
      <c r="DP117" s="80">
        <v>404</v>
      </c>
      <c r="DQ117" s="80">
        <v>400</v>
      </c>
      <c r="DR117" s="80">
        <v>17885</v>
      </c>
      <c r="DS117" s="80">
        <v>0</v>
      </c>
      <c r="DT117" s="80">
        <v>17885</v>
      </c>
      <c r="DU117" s="80">
        <v>0</v>
      </c>
      <c r="DV117" s="80">
        <v>0</v>
      </c>
      <c r="DW117" s="80">
        <v>168</v>
      </c>
      <c r="DX117" s="80">
        <v>62830</v>
      </c>
      <c r="DY117" s="80">
        <v>35414</v>
      </c>
      <c r="DZ117" s="80">
        <v>23580</v>
      </c>
      <c r="EA117" s="80">
        <v>299</v>
      </c>
      <c r="EB117" s="80">
        <v>9772</v>
      </c>
      <c r="EC117" s="80">
        <v>1483</v>
      </c>
      <c r="ED117" s="80">
        <v>280</v>
      </c>
      <c r="EE117" s="80">
        <v>496</v>
      </c>
      <c r="EF117" s="80">
        <v>496</v>
      </c>
      <c r="EG117" s="80">
        <v>0</v>
      </c>
      <c r="EH117" s="80">
        <v>195</v>
      </c>
      <c r="EI117" s="80">
        <v>0</v>
      </c>
      <c r="EJ117" s="80">
        <v>195</v>
      </c>
      <c r="EK117" s="80">
        <v>249</v>
      </c>
      <c r="EL117" s="80">
        <v>0</v>
      </c>
      <c r="EM117" s="80">
        <v>249</v>
      </c>
      <c r="EN117" s="80">
        <v>0</v>
      </c>
      <c r="EO117" s="80">
        <v>26476</v>
      </c>
      <c r="EP117" s="80">
        <v>14357</v>
      </c>
      <c r="EQ117" s="80">
        <v>0</v>
      </c>
      <c r="ER117" s="80">
        <v>12574</v>
      </c>
      <c r="ES117" s="80">
        <v>3237</v>
      </c>
      <c r="ET117" s="80">
        <v>9337</v>
      </c>
      <c r="EU117" s="80">
        <v>0</v>
      </c>
      <c r="EV117" s="80">
        <v>0</v>
      </c>
      <c r="EW117" s="80">
        <v>393</v>
      </c>
      <c r="EX117" s="80">
        <v>0</v>
      </c>
      <c r="EY117" s="80">
        <v>0</v>
      </c>
      <c r="EZ117" s="80">
        <v>0</v>
      </c>
      <c r="FA117" s="80">
        <v>1390</v>
      </c>
      <c r="FB117" s="80">
        <v>0</v>
      </c>
      <c r="FC117" s="80">
        <v>0</v>
      </c>
      <c r="FD117" s="80">
        <v>12119</v>
      </c>
      <c r="FE117" s="80">
        <v>0</v>
      </c>
      <c r="FF117" s="80">
        <v>6932</v>
      </c>
      <c r="FG117" s="80">
        <v>700</v>
      </c>
      <c r="FH117" s="80">
        <v>6232</v>
      </c>
      <c r="FI117" s="80">
        <v>0</v>
      </c>
      <c r="FJ117" s="80">
        <v>0</v>
      </c>
      <c r="FK117" s="80">
        <v>208</v>
      </c>
      <c r="FL117" s="80">
        <v>0</v>
      </c>
      <c r="FM117" s="80">
        <v>117</v>
      </c>
      <c r="FN117" s="80">
        <v>1925</v>
      </c>
      <c r="FO117" s="80">
        <v>581</v>
      </c>
      <c r="FP117" s="80">
        <v>2356</v>
      </c>
      <c r="FQ117" s="80">
        <v>62830</v>
      </c>
      <c r="FR117" s="80">
        <v>6435</v>
      </c>
      <c r="FS117" s="80">
        <v>1131</v>
      </c>
      <c r="FT117" s="100">
        <v>33225.200081063886</v>
      </c>
      <c r="FU117" s="100"/>
      <c r="FV117" s="100">
        <v>11407</v>
      </c>
      <c r="FW117" s="67">
        <v>1920</v>
      </c>
      <c r="FX117" s="100">
        <f t="shared" si="10"/>
        <v>-47118</v>
      </c>
      <c r="FY117" s="100">
        <f t="shared" si="11"/>
        <v>-58525</v>
      </c>
      <c r="FZ117" s="100">
        <v>37358.452362120806</v>
      </c>
      <c r="GA117" s="67">
        <v>11407</v>
      </c>
      <c r="GB117" s="58">
        <f t="shared" si="8"/>
        <v>0</v>
      </c>
      <c r="GC117" s="67">
        <v>1920</v>
      </c>
      <c r="GD117" s="100">
        <v>777</v>
      </c>
      <c r="GE117" s="100">
        <v>777</v>
      </c>
      <c r="GF117" s="58">
        <f t="shared" si="9"/>
        <v>0</v>
      </c>
      <c r="GG117" s="100">
        <v>-13688.569</v>
      </c>
      <c r="GH117" s="100">
        <v>-892.36045000000036</v>
      </c>
      <c r="GI117" s="100">
        <v>-23338.844193759411</v>
      </c>
      <c r="GJ117" s="67">
        <f t="shared" si="12"/>
        <v>0</v>
      </c>
      <c r="GK117" s="67"/>
      <c r="GM117" s="96"/>
    </row>
    <row r="118" spans="1:195" ht="13.5" customHeight="1" x14ac:dyDescent="0.2">
      <c r="A118" s="74">
        <v>291</v>
      </c>
      <c r="B118" s="75" t="s">
        <v>76</v>
      </c>
      <c r="C118" s="75" t="s">
        <v>76</v>
      </c>
      <c r="D118" s="76"/>
      <c r="E118" s="77" t="s">
        <v>231</v>
      </c>
      <c r="F118" s="78">
        <v>2</v>
      </c>
      <c r="G118" s="79">
        <v>2334</v>
      </c>
      <c r="H118" s="80">
        <v>2664</v>
      </c>
      <c r="I118" s="80">
        <v>1557</v>
      </c>
      <c r="J118" s="80">
        <v>124</v>
      </c>
      <c r="K118" s="80">
        <v>186</v>
      </c>
      <c r="L118" s="80">
        <v>797</v>
      </c>
      <c r="M118" s="80">
        <v>0</v>
      </c>
      <c r="N118" s="80">
        <v>0</v>
      </c>
      <c r="O118" s="80">
        <v>18119</v>
      </c>
      <c r="P118" s="80">
        <v>4546</v>
      </c>
      <c r="Q118" s="80">
        <v>3228</v>
      </c>
      <c r="R118" s="80">
        <v>1318</v>
      </c>
      <c r="S118" s="80">
        <v>1143</v>
      </c>
      <c r="T118" s="80">
        <v>175</v>
      </c>
      <c r="U118" s="80">
        <v>11929</v>
      </c>
      <c r="V118" s="80">
        <v>1312</v>
      </c>
      <c r="W118" s="80">
        <v>209</v>
      </c>
      <c r="X118" s="80">
        <v>123</v>
      </c>
      <c r="Y118" s="80">
        <v>-15455</v>
      </c>
      <c r="Z118" s="80">
        <v>8155</v>
      </c>
      <c r="AA118" s="80">
        <v>5917</v>
      </c>
      <c r="AB118" s="80">
        <v>906</v>
      </c>
      <c r="AC118" s="80">
        <v>1332</v>
      </c>
      <c r="AD118" s="80">
        <v>9040</v>
      </c>
      <c r="AE118" s="80">
        <v>63</v>
      </c>
      <c r="AF118" s="80">
        <v>114</v>
      </c>
      <c r="AG118" s="80">
        <v>49</v>
      </c>
      <c r="AH118" s="80">
        <v>11</v>
      </c>
      <c r="AI118" s="80">
        <v>21</v>
      </c>
      <c r="AJ118" s="80">
        <v>79</v>
      </c>
      <c r="AK118" s="80">
        <v>1803</v>
      </c>
      <c r="AL118" s="80">
        <v>1114</v>
      </c>
      <c r="AM118" s="80">
        <v>1114</v>
      </c>
      <c r="AN118" s="80">
        <v>0</v>
      </c>
      <c r="AO118" s="80">
        <v>0</v>
      </c>
      <c r="AP118" s="80">
        <v>0</v>
      </c>
      <c r="AQ118" s="80">
        <v>0</v>
      </c>
      <c r="AR118" s="80">
        <v>689</v>
      </c>
      <c r="AS118" s="80">
        <v>3</v>
      </c>
      <c r="AT118" s="80">
        <v>0</v>
      </c>
      <c r="AU118" s="80">
        <v>0</v>
      </c>
      <c r="AV118" s="80">
        <v>692</v>
      </c>
      <c r="AW118" s="81"/>
      <c r="AX118" s="80">
        <v>1690</v>
      </c>
      <c r="AY118" s="80">
        <v>1803</v>
      </c>
      <c r="AZ118" s="80">
        <v>0</v>
      </c>
      <c r="BA118" s="80">
        <v>-113</v>
      </c>
      <c r="BB118" s="80">
        <v>-1436</v>
      </c>
      <c r="BC118" s="80">
        <v>1609</v>
      </c>
      <c r="BD118" s="80">
        <v>0</v>
      </c>
      <c r="BE118" s="80">
        <v>173</v>
      </c>
      <c r="BF118" s="80">
        <v>254</v>
      </c>
      <c r="BG118" s="80">
        <v>-434</v>
      </c>
      <c r="BH118" s="80">
        <v>11</v>
      </c>
      <c r="BI118" s="80">
        <v>0</v>
      </c>
      <c r="BJ118" s="80">
        <v>11</v>
      </c>
      <c r="BK118" s="80">
        <v>-1297</v>
      </c>
      <c r="BL118" s="80">
        <v>1000</v>
      </c>
      <c r="BM118" s="80">
        <v>297</v>
      </c>
      <c r="BN118" s="80">
        <v>-2000</v>
      </c>
      <c r="BO118" s="80">
        <v>0</v>
      </c>
      <c r="BP118" s="80">
        <v>852</v>
      </c>
      <c r="BQ118" s="80">
        <v>-3</v>
      </c>
      <c r="BR118" s="80">
        <v>0</v>
      </c>
      <c r="BS118" s="80">
        <v>612</v>
      </c>
      <c r="BT118" s="80">
        <v>243</v>
      </c>
      <c r="BU118" s="80">
        <v>-179</v>
      </c>
      <c r="BV118" s="80">
        <v>3339</v>
      </c>
      <c r="BW118" s="80">
        <v>3518</v>
      </c>
      <c r="BX118" s="81"/>
      <c r="BY118" s="80">
        <v>17341</v>
      </c>
      <c r="BZ118" s="80">
        <v>0</v>
      </c>
      <c r="CA118" s="80">
        <v>0</v>
      </c>
      <c r="CB118" s="80">
        <v>0</v>
      </c>
      <c r="CC118" s="80">
        <v>0</v>
      </c>
      <c r="CD118" s="80">
        <v>14594</v>
      </c>
      <c r="CE118" s="80">
        <v>2545</v>
      </c>
      <c r="CF118" s="80">
        <v>6399</v>
      </c>
      <c r="CG118" s="80">
        <v>4245</v>
      </c>
      <c r="CH118" s="80">
        <v>92</v>
      </c>
      <c r="CI118" s="80">
        <v>3</v>
      </c>
      <c r="CJ118" s="80">
        <v>3</v>
      </c>
      <c r="CK118" s="80">
        <v>1310</v>
      </c>
      <c r="CL118" s="80">
        <v>2747</v>
      </c>
      <c r="CM118" s="80">
        <v>2165</v>
      </c>
      <c r="CN118" s="80">
        <v>505</v>
      </c>
      <c r="CO118" s="80">
        <v>1660</v>
      </c>
      <c r="CP118" s="80">
        <v>0</v>
      </c>
      <c r="CQ118" s="80">
        <v>571</v>
      </c>
      <c r="CR118" s="80">
        <v>0</v>
      </c>
      <c r="CS118" s="80">
        <v>0</v>
      </c>
      <c r="CT118" s="80">
        <v>571</v>
      </c>
      <c r="CU118" s="80">
        <v>11</v>
      </c>
      <c r="CV118" s="80">
        <v>481</v>
      </c>
      <c r="CW118" s="80">
        <v>0</v>
      </c>
      <c r="CX118" s="80">
        <v>481</v>
      </c>
      <c r="CY118" s="80">
        <v>0</v>
      </c>
      <c r="CZ118" s="80">
        <v>3928</v>
      </c>
      <c r="DA118" s="80">
        <v>0</v>
      </c>
      <c r="DB118" s="80">
        <v>0</v>
      </c>
      <c r="DC118" s="80">
        <v>0</v>
      </c>
      <c r="DD118" s="80">
        <v>0</v>
      </c>
      <c r="DE118" s="80">
        <v>0</v>
      </c>
      <c r="DF118" s="80">
        <v>0</v>
      </c>
      <c r="DG118" s="80">
        <v>589</v>
      </c>
      <c r="DH118" s="80">
        <v>0</v>
      </c>
      <c r="DI118" s="80">
        <v>0</v>
      </c>
      <c r="DJ118" s="80">
        <v>0</v>
      </c>
      <c r="DK118" s="80">
        <v>0</v>
      </c>
      <c r="DL118" s="80">
        <v>0</v>
      </c>
      <c r="DM118" s="80">
        <v>589</v>
      </c>
      <c r="DN118" s="80">
        <v>396</v>
      </c>
      <c r="DO118" s="80">
        <v>0</v>
      </c>
      <c r="DP118" s="80">
        <v>126</v>
      </c>
      <c r="DQ118" s="80">
        <v>67</v>
      </c>
      <c r="DR118" s="80">
        <v>2867</v>
      </c>
      <c r="DS118" s="80">
        <v>0</v>
      </c>
      <c r="DT118" s="80">
        <v>0</v>
      </c>
      <c r="DU118" s="80">
        <v>0</v>
      </c>
      <c r="DV118" s="80">
        <v>2867</v>
      </c>
      <c r="DW118" s="80">
        <v>472</v>
      </c>
      <c r="DX118" s="80">
        <v>21750</v>
      </c>
      <c r="DY118" s="80">
        <v>16884</v>
      </c>
      <c r="DZ118" s="80">
        <v>12685</v>
      </c>
      <c r="EA118" s="80">
        <v>0</v>
      </c>
      <c r="EB118" s="80">
        <v>0</v>
      </c>
      <c r="EC118" s="80">
        <v>3507</v>
      </c>
      <c r="ED118" s="80">
        <v>692</v>
      </c>
      <c r="EE118" s="80">
        <v>42</v>
      </c>
      <c r="EF118" s="80">
        <v>42</v>
      </c>
      <c r="EG118" s="80">
        <v>0</v>
      </c>
      <c r="EH118" s="80">
        <v>0</v>
      </c>
      <c r="EI118" s="80">
        <v>0</v>
      </c>
      <c r="EJ118" s="80">
        <v>0</v>
      </c>
      <c r="EK118" s="80">
        <v>643</v>
      </c>
      <c r="EL118" s="80">
        <v>0</v>
      </c>
      <c r="EM118" s="80">
        <v>643</v>
      </c>
      <c r="EN118" s="80">
        <v>0</v>
      </c>
      <c r="EO118" s="80">
        <v>4181</v>
      </c>
      <c r="EP118" s="80">
        <v>1594</v>
      </c>
      <c r="EQ118" s="80">
        <v>0</v>
      </c>
      <c r="ER118" s="80">
        <v>1409</v>
      </c>
      <c r="ES118" s="80">
        <v>1409</v>
      </c>
      <c r="ET118" s="80">
        <v>0</v>
      </c>
      <c r="EU118" s="80">
        <v>0</v>
      </c>
      <c r="EV118" s="80">
        <v>0</v>
      </c>
      <c r="EW118" s="80">
        <v>0</v>
      </c>
      <c r="EX118" s="80">
        <v>0</v>
      </c>
      <c r="EY118" s="80">
        <v>3</v>
      </c>
      <c r="EZ118" s="80">
        <v>0</v>
      </c>
      <c r="FA118" s="80">
        <v>182</v>
      </c>
      <c r="FB118" s="80">
        <v>0</v>
      </c>
      <c r="FC118" s="80">
        <v>0</v>
      </c>
      <c r="FD118" s="80">
        <v>2587</v>
      </c>
      <c r="FE118" s="80">
        <v>0</v>
      </c>
      <c r="FF118" s="80">
        <v>1211</v>
      </c>
      <c r="FG118" s="80">
        <v>1211</v>
      </c>
      <c r="FH118" s="80">
        <v>0</v>
      </c>
      <c r="FI118" s="80">
        <v>0</v>
      </c>
      <c r="FJ118" s="80">
        <v>0</v>
      </c>
      <c r="FK118" s="80">
        <v>0</v>
      </c>
      <c r="FL118" s="80">
        <v>0</v>
      </c>
      <c r="FM118" s="80">
        <v>0</v>
      </c>
      <c r="FN118" s="80">
        <v>717</v>
      </c>
      <c r="FO118" s="80">
        <v>115</v>
      </c>
      <c r="FP118" s="80">
        <v>544</v>
      </c>
      <c r="FQ118" s="80">
        <v>21750</v>
      </c>
      <c r="FR118" s="80">
        <v>2542</v>
      </c>
      <c r="FS118" s="80">
        <v>391</v>
      </c>
      <c r="FT118" s="100">
        <v>8851.2102800347348</v>
      </c>
      <c r="FU118" s="100"/>
      <c r="FV118" s="100">
        <v>3759</v>
      </c>
      <c r="FW118" s="67">
        <v>1099</v>
      </c>
      <c r="FX118" s="100">
        <f t="shared" si="10"/>
        <v>-10518</v>
      </c>
      <c r="FY118" s="100">
        <f t="shared" si="11"/>
        <v>-14341</v>
      </c>
      <c r="FZ118" s="100">
        <v>10285.925541537235</v>
      </c>
      <c r="GA118" s="67">
        <v>3823</v>
      </c>
      <c r="GB118" s="58">
        <f t="shared" si="8"/>
        <v>64</v>
      </c>
      <c r="GC118" s="67">
        <v>1113</v>
      </c>
      <c r="GD118" s="100">
        <v>121</v>
      </c>
      <c r="GE118" s="100">
        <v>121</v>
      </c>
      <c r="GF118" s="58">
        <f t="shared" si="9"/>
        <v>0</v>
      </c>
      <c r="GG118" s="100">
        <v>-3462.558</v>
      </c>
      <c r="GH118" s="100">
        <v>-282.2892500000001</v>
      </c>
      <c r="GI118" s="100">
        <v>-6714.9632975776758</v>
      </c>
      <c r="GJ118" s="67">
        <f t="shared" si="12"/>
        <v>14</v>
      </c>
      <c r="GK118" s="67"/>
      <c r="GM118" s="96"/>
    </row>
    <row r="119" spans="1:195" ht="13.5" customHeight="1" x14ac:dyDescent="0.2">
      <c r="A119" s="74">
        <v>271</v>
      </c>
      <c r="B119" s="75" t="s">
        <v>263</v>
      </c>
      <c r="C119" s="82" t="s">
        <v>263</v>
      </c>
      <c r="D119" s="76"/>
      <c r="E119" s="77" t="s">
        <v>224</v>
      </c>
      <c r="F119" s="78">
        <v>3</v>
      </c>
      <c r="G119" s="79">
        <v>7591</v>
      </c>
      <c r="H119" s="80">
        <v>4685</v>
      </c>
      <c r="I119" s="80">
        <v>696</v>
      </c>
      <c r="J119" s="80">
        <v>2413</v>
      </c>
      <c r="K119" s="80">
        <v>692</v>
      </c>
      <c r="L119" s="80">
        <v>884</v>
      </c>
      <c r="M119" s="80">
        <v>0</v>
      </c>
      <c r="N119" s="80">
        <v>0</v>
      </c>
      <c r="O119" s="80">
        <v>47824</v>
      </c>
      <c r="P119" s="80">
        <v>17866</v>
      </c>
      <c r="Q119" s="80">
        <v>13380</v>
      </c>
      <c r="R119" s="80">
        <v>4486</v>
      </c>
      <c r="S119" s="80">
        <v>3734</v>
      </c>
      <c r="T119" s="80">
        <v>752</v>
      </c>
      <c r="U119" s="80">
        <v>26095</v>
      </c>
      <c r="V119" s="80">
        <v>1787</v>
      </c>
      <c r="W119" s="80">
        <v>1722</v>
      </c>
      <c r="X119" s="80">
        <v>354</v>
      </c>
      <c r="Y119" s="80">
        <v>-43139</v>
      </c>
      <c r="Z119" s="80">
        <v>27021</v>
      </c>
      <c r="AA119" s="80">
        <v>23112</v>
      </c>
      <c r="AB119" s="80">
        <v>1625</v>
      </c>
      <c r="AC119" s="80">
        <v>2284</v>
      </c>
      <c r="AD119" s="80">
        <v>17945</v>
      </c>
      <c r="AE119" s="80">
        <v>60</v>
      </c>
      <c r="AF119" s="80">
        <v>154</v>
      </c>
      <c r="AG119" s="80">
        <v>141</v>
      </c>
      <c r="AH119" s="80">
        <v>1</v>
      </c>
      <c r="AI119" s="80">
        <v>166</v>
      </c>
      <c r="AJ119" s="80">
        <v>69</v>
      </c>
      <c r="AK119" s="80">
        <v>1887</v>
      </c>
      <c r="AL119" s="80">
        <v>1677</v>
      </c>
      <c r="AM119" s="80">
        <v>1596</v>
      </c>
      <c r="AN119" s="80">
        <v>81</v>
      </c>
      <c r="AO119" s="80">
        <v>0</v>
      </c>
      <c r="AP119" s="80">
        <v>0</v>
      </c>
      <c r="AQ119" s="80">
        <v>0</v>
      </c>
      <c r="AR119" s="80">
        <v>210</v>
      </c>
      <c r="AS119" s="80">
        <v>0</v>
      </c>
      <c r="AT119" s="80">
        <v>0</v>
      </c>
      <c r="AU119" s="80">
        <v>0</v>
      </c>
      <c r="AV119" s="80">
        <v>210</v>
      </c>
      <c r="AW119" s="81"/>
      <c r="AX119" s="80">
        <v>1841</v>
      </c>
      <c r="AY119" s="80">
        <v>1887</v>
      </c>
      <c r="AZ119" s="80">
        <v>0</v>
      </c>
      <c r="BA119" s="80">
        <v>-46</v>
      </c>
      <c r="BB119" s="80">
        <v>-2538</v>
      </c>
      <c r="BC119" s="80">
        <v>3784</v>
      </c>
      <c r="BD119" s="80">
        <v>1180</v>
      </c>
      <c r="BE119" s="80">
        <v>66</v>
      </c>
      <c r="BF119" s="80">
        <v>-697</v>
      </c>
      <c r="BG119" s="80">
        <v>557</v>
      </c>
      <c r="BH119" s="80">
        <v>-1215</v>
      </c>
      <c r="BI119" s="80">
        <v>1257</v>
      </c>
      <c r="BJ119" s="80">
        <v>42</v>
      </c>
      <c r="BK119" s="80">
        <v>1890</v>
      </c>
      <c r="BL119" s="80">
        <v>6200</v>
      </c>
      <c r="BM119" s="80">
        <v>2610</v>
      </c>
      <c r="BN119" s="80">
        <v>-1700</v>
      </c>
      <c r="BO119" s="80">
        <v>0</v>
      </c>
      <c r="BP119" s="80">
        <v>-118</v>
      </c>
      <c r="BQ119" s="80">
        <v>0</v>
      </c>
      <c r="BR119" s="80">
        <v>0</v>
      </c>
      <c r="BS119" s="80">
        <v>-169</v>
      </c>
      <c r="BT119" s="80">
        <v>51</v>
      </c>
      <c r="BU119" s="80">
        <v>-139</v>
      </c>
      <c r="BV119" s="80">
        <v>789</v>
      </c>
      <c r="BW119" s="80">
        <v>928</v>
      </c>
      <c r="BX119" s="81"/>
      <c r="BY119" s="80">
        <v>36474</v>
      </c>
      <c r="BZ119" s="80">
        <v>361</v>
      </c>
      <c r="CA119" s="80">
        <v>43</v>
      </c>
      <c r="CB119" s="80">
        <v>318</v>
      </c>
      <c r="CC119" s="80">
        <v>0</v>
      </c>
      <c r="CD119" s="80">
        <v>21811</v>
      </c>
      <c r="CE119" s="80">
        <v>1439</v>
      </c>
      <c r="CF119" s="80">
        <v>15062</v>
      </c>
      <c r="CG119" s="80">
        <v>3202</v>
      </c>
      <c r="CH119" s="80">
        <v>204</v>
      </c>
      <c r="CI119" s="80">
        <v>56</v>
      </c>
      <c r="CJ119" s="80">
        <v>22</v>
      </c>
      <c r="CK119" s="80">
        <v>1848</v>
      </c>
      <c r="CL119" s="80">
        <v>14302</v>
      </c>
      <c r="CM119" s="80">
        <v>8605</v>
      </c>
      <c r="CN119" s="80">
        <v>7303</v>
      </c>
      <c r="CO119" s="80">
        <v>1302</v>
      </c>
      <c r="CP119" s="80">
        <v>0</v>
      </c>
      <c r="CQ119" s="80">
        <v>5362</v>
      </c>
      <c r="CR119" s="80">
        <v>0</v>
      </c>
      <c r="CS119" s="80">
        <v>0</v>
      </c>
      <c r="CT119" s="80">
        <v>5362</v>
      </c>
      <c r="CU119" s="80">
        <v>335</v>
      </c>
      <c r="CV119" s="80">
        <v>140</v>
      </c>
      <c r="CW119" s="80">
        <v>0</v>
      </c>
      <c r="CX119" s="80">
        <v>0</v>
      </c>
      <c r="CY119" s="80">
        <v>140</v>
      </c>
      <c r="CZ119" s="80">
        <v>3199</v>
      </c>
      <c r="DA119" s="80">
        <v>14</v>
      </c>
      <c r="DB119" s="80">
        <v>14</v>
      </c>
      <c r="DC119" s="80">
        <v>0</v>
      </c>
      <c r="DD119" s="80">
        <v>0</v>
      </c>
      <c r="DE119" s="80">
        <v>0</v>
      </c>
      <c r="DF119" s="80">
        <v>0</v>
      </c>
      <c r="DG119" s="80">
        <v>2396</v>
      </c>
      <c r="DH119" s="80">
        <v>0</v>
      </c>
      <c r="DI119" s="80">
        <v>0</v>
      </c>
      <c r="DJ119" s="80">
        <v>0</v>
      </c>
      <c r="DK119" s="80">
        <v>0</v>
      </c>
      <c r="DL119" s="80">
        <v>0</v>
      </c>
      <c r="DM119" s="80">
        <v>2396</v>
      </c>
      <c r="DN119" s="80">
        <v>898</v>
      </c>
      <c r="DO119" s="80">
        <v>1</v>
      </c>
      <c r="DP119" s="80">
        <v>1306</v>
      </c>
      <c r="DQ119" s="80">
        <v>191</v>
      </c>
      <c r="DR119" s="80">
        <v>2</v>
      </c>
      <c r="DS119" s="80">
        <v>2</v>
      </c>
      <c r="DT119" s="80">
        <v>0</v>
      </c>
      <c r="DU119" s="80">
        <v>0</v>
      </c>
      <c r="DV119" s="80">
        <v>0</v>
      </c>
      <c r="DW119" s="80">
        <v>787</v>
      </c>
      <c r="DX119" s="80">
        <v>39813</v>
      </c>
      <c r="DY119" s="80">
        <v>11481</v>
      </c>
      <c r="DZ119" s="80">
        <v>12157</v>
      </c>
      <c r="EA119" s="80">
        <v>0</v>
      </c>
      <c r="EB119" s="80">
        <v>0</v>
      </c>
      <c r="EC119" s="80">
        <v>-887</v>
      </c>
      <c r="ED119" s="80">
        <v>211</v>
      </c>
      <c r="EE119" s="80">
        <v>0</v>
      </c>
      <c r="EF119" s="80">
        <v>0</v>
      </c>
      <c r="EG119" s="80">
        <v>0</v>
      </c>
      <c r="EH119" s="80">
        <v>0</v>
      </c>
      <c r="EI119" s="80">
        <v>0</v>
      </c>
      <c r="EJ119" s="80">
        <v>0</v>
      </c>
      <c r="EK119" s="80">
        <v>141</v>
      </c>
      <c r="EL119" s="80">
        <v>0</v>
      </c>
      <c r="EM119" s="80">
        <v>0</v>
      </c>
      <c r="EN119" s="80">
        <v>141</v>
      </c>
      <c r="EO119" s="80">
        <v>28191</v>
      </c>
      <c r="EP119" s="80">
        <v>12504</v>
      </c>
      <c r="EQ119" s="80">
        <v>3120</v>
      </c>
      <c r="ER119" s="80">
        <v>9196</v>
      </c>
      <c r="ES119" s="80">
        <v>0</v>
      </c>
      <c r="ET119" s="80">
        <v>9196</v>
      </c>
      <c r="EU119" s="80">
        <v>0</v>
      </c>
      <c r="EV119" s="80">
        <v>0</v>
      </c>
      <c r="EW119" s="80">
        <v>188</v>
      </c>
      <c r="EX119" s="80">
        <v>0</v>
      </c>
      <c r="EY119" s="80">
        <v>0</v>
      </c>
      <c r="EZ119" s="80">
        <v>0</v>
      </c>
      <c r="FA119" s="80">
        <v>0</v>
      </c>
      <c r="FB119" s="80">
        <v>0</v>
      </c>
      <c r="FC119" s="80">
        <v>0</v>
      </c>
      <c r="FD119" s="80">
        <v>15687</v>
      </c>
      <c r="FE119" s="80">
        <v>0</v>
      </c>
      <c r="FF119" s="80">
        <v>9215</v>
      </c>
      <c r="FG119" s="80">
        <v>3680</v>
      </c>
      <c r="FH119" s="80">
        <v>5535</v>
      </c>
      <c r="FI119" s="80">
        <v>0</v>
      </c>
      <c r="FJ119" s="80">
        <v>0</v>
      </c>
      <c r="FK119" s="80">
        <v>125</v>
      </c>
      <c r="FL119" s="80">
        <v>0</v>
      </c>
      <c r="FM119" s="80">
        <v>0</v>
      </c>
      <c r="FN119" s="80">
        <v>3168</v>
      </c>
      <c r="FO119" s="80">
        <v>617</v>
      </c>
      <c r="FP119" s="80">
        <v>2562</v>
      </c>
      <c r="FQ119" s="80">
        <v>39813</v>
      </c>
      <c r="FR119" s="80">
        <v>11157</v>
      </c>
      <c r="FS119" s="80">
        <v>1209</v>
      </c>
      <c r="FT119" s="100">
        <v>19657.811520413376</v>
      </c>
      <c r="FU119" s="100"/>
      <c r="FV119" s="100">
        <v>4041</v>
      </c>
      <c r="FW119" s="67">
        <v>1582</v>
      </c>
      <c r="FX119" s="100">
        <f t="shared" si="10"/>
        <v>-35022</v>
      </c>
      <c r="FY119" s="100">
        <f t="shared" si="11"/>
        <v>-41462</v>
      </c>
      <c r="FZ119" s="100">
        <v>27136.406349202949</v>
      </c>
      <c r="GA119" s="67">
        <v>6440</v>
      </c>
      <c r="GB119" s="58">
        <f t="shared" si="8"/>
        <v>2399</v>
      </c>
      <c r="GC119" s="67">
        <v>1677</v>
      </c>
      <c r="GD119" s="100">
        <v>2294</v>
      </c>
      <c r="GE119" s="100">
        <v>665</v>
      </c>
      <c r="GF119" s="58">
        <f t="shared" si="9"/>
        <v>1629</v>
      </c>
      <c r="GG119" s="100">
        <v>-13035.945</v>
      </c>
      <c r="GH119" s="100">
        <v>-502.59220000000028</v>
      </c>
      <c r="GI119" s="100">
        <v>-14072.826229971437</v>
      </c>
      <c r="GJ119" s="67">
        <f t="shared" si="12"/>
        <v>95</v>
      </c>
      <c r="GK119" s="67"/>
      <c r="GM119" s="96"/>
    </row>
    <row r="120" spans="1:195" ht="13.5" customHeight="1" x14ac:dyDescent="0.2">
      <c r="A120" s="74">
        <v>297</v>
      </c>
      <c r="B120" s="75" t="s">
        <v>77</v>
      </c>
      <c r="C120" s="75" t="s">
        <v>77</v>
      </c>
      <c r="D120" s="76"/>
      <c r="E120" s="77" t="s">
        <v>239</v>
      </c>
      <c r="F120" s="78">
        <v>7</v>
      </c>
      <c r="G120" s="79">
        <v>112119</v>
      </c>
      <c r="H120" s="80">
        <v>185799</v>
      </c>
      <c r="I120" s="80">
        <v>83473</v>
      </c>
      <c r="J120" s="80">
        <v>38242</v>
      </c>
      <c r="K120" s="80">
        <v>26043</v>
      </c>
      <c r="L120" s="80">
        <v>38041</v>
      </c>
      <c r="M120" s="80">
        <v>0</v>
      </c>
      <c r="N120" s="80">
        <v>15845</v>
      </c>
      <c r="O120" s="80">
        <v>764350</v>
      </c>
      <c r="P120" s="80">
        <v>308628</v>
      </c>
      <c r="Q120" s="80">
        <v>234020</v>
      </c>
      <c r="R120" s="80">
        <v>74608</v>
      </c>
      <c r="S120" s="80">
        <v>60909</v>
      </c>
      <c r="T120" s="80">
        <v>13699</v>
      </c>
      <c r="U120" s="80">
        <v>347061</v>
      </c>
      <c r="V120" s="80">
        <v>33371</v>
      </c>
      <c r="W120" s="80">
        <v>55004</v>
      </c>
      <c r="X120" s="80">
        <v>20286</v>
      </c>
      <c r="Y120" s="80">
        <v>-562706</v>
      </c>
      <c r="Z120" s="80">
        <v>429383</v>
      </c>
      <c r="AA120" s="80">
        <v>369418</v>
      </c>
      <c r="AB120" s="80">
        <v>21790</v>
      </c>
      <c r="AC120" s="80">
        <v>38175</v>
      </c>
      <c r="AD120" s="80">
        <v>164183</v>
      </c>
      <c r="AE120" s="80">
        <v>5885</v>
      </c>
      <c r="AF120" s="80">
        <v>7910</v>
      </c>
      <c r="AG120" s="80">
        <v>3850</v>
      </c>
      <c r="AH120" s="80">
        <v>1588</v>
      </c>
      <c r="AI120" s="80">
        <v>5863</v>
      </c>
      <c r="AJ120" s="80">
        <v>12</v>
      </c>
      <c r="AK120" s="80">
        <v>36745</v>
      </c>
      <c r="AL120" s="80">
        <v>50470</v>
      </c>
      <c r="AM120" s="80">
        <v>45273</v>
      </c>
      <c r="AN120" s="80">
        <v>5197</v>
      </c>
      <c r="AO120" s="80">
        <v>270</v>
      </c>
      <c r="AP120" s="80">
        <v>270</v>
      </c>
      <c r="AQ120" s="80">
        <v>0</v>
      </c>
      <c r="AR120" s="80">
        <v>-13455</v>
      </c>
      <c r="AS120" s="80">
        <v>482</v>
      </c>
      <c r="AT120" s="80">
        <v>0</v>
      </c>
      <c r="AU120" s="80">
        <v>0</v>
      </c>
      <c r="AV120" s="80">
        <v>-12973</v>
      </c>
      <c r="AW120" s="81"/>
      <c r="AX120" s="80">
        <v>29350</v>
      </c>
      <c r="AY120" s="80">
        <v>36745</v>
      </c>
      <c r="AZ120" s="80">
        <v>270</v>
      </c>
      <c r="BA120" s="80">
        <v>-7665</v>
      </c>
      <c r="BB120" s="80">
        <v>-32984</v>
      </c>
      <c r="BC120" s="80">
        <v>46958</v>
      </c>
      <c r="BD120" s="80">
        <v>651</v>
      </c>
      <c r="BE120" s="80">
        <v>13323</v>
      </c>
      <c r="BF120" s="80">
        <v>-3634</v>
      </c>
      <c r="BG120" s="80">
        <v>1961</v>
      </c>
      <c r="BH120" s="80">
        <v>127</v>
      </c>
      <c r="BI120" s="80">
        <v>67</v>
      </c>
      <c r="BJ120" s="80">
        <v>194</v>
      </c>
      <c r="BK120" s="80">
        <v>2548</v>
      </c>
      <c r="BL120" s="80">
        <v>45000</v>
      </c>
      <c r="BM120" s="80">
        <v>41952</v>
      </c>
      <c r="BN120" s="80">
        <v>-500</v>
      </c>
      <c r="BO120" s="80">
        <v>706</v>
      </c>
      <c r="BP120" s="80">
        <v>-1420</v>
      </c>
      <c r="BQ120" s="80">
        <v>138</v>
      </c>
      <c r="BR120" s="80">
        <v>184</v>
      </c>
      <c r="BS120" s="80">
        <v>-2520</v>
      </c>
      <c r="BT120" s="80">
        <v>778</v>
      </c>
      <c r="BU120" s="80">
        <v>-1672</v>
      </c>
      <c r="BV120" s="80">
        <v>52196</v>
      </c>
      <c r="BW120" s="80">
        <v>53868</v>
      </c>
      <c r="BX120" s="81"/>
      <c r="BY120" s="80">
        <v>864059</v>
      </c>
      <c r="BZ120" s="80">
        <v>2975</v>
      </c>
      <c r="CA120" s="80">
        <v>956</v>
      </c>
      <c r="CB120" s="80">
        <v>2019</v>
      </c>
      <c r="CC120" s="80">
        <v>0</v>
      </c>
      <c r="CD120" s="80">
        <v>477093</v>
      </c>
      <c r="CE120" s="80">
        <v>116565</v>
      </c>
      <c r="CF120" s="80">
        <v>207408</v>
      </c>
      <c r="CG120" s="80">
        <v>128168</v>
      </c>
      <c r="CH120" s="80">
        <v>16334</v>
      </c>
      <c r="CI120" s="80">
        <v>1660</v>
      </c>
      <c r="CJ120" s="80">
        <v>1654</v>
      </c>
      <c r="CK120" s="80">
        <v>6958</v>
      </c>
      <c r="CL120" s="80">
        <v>383991</v>
      </c>
      <c r="CM120" s="80">
        <v>246872</v>
      </c>
      <c r="CN120" s="80">
        <v>66781</v>
      </c>
      <c r="CO120" s="80">
        <v>180091</v>
      </c>
      <c r="CP120" s="80">
        <v>0</v>
      </c>
      <c r="CQ120" s="80">
        <v>135453</v>
      </c>
      <c r="CR120" s="80">
        <v>0</v>
      </c>
      <c r="CS120" s="80">
        <v>0</v>
      </c>
      <c r="CT120" s="80">
        <v>135453</v>
      </c>
      <c r="CU120" s="80">
        <v>1666</v>
      </c>
      <c r="CV120" s="80">
        <v>553</v>
      </c>
      <c r="CW120" s="80">
        <v>267</v>
      </c>
      <c r="CX120" s="80">
        <v>286</v>
      </c>
      <c r="CY120" s="80">
        <v>0</v>
      </c>
      <c r="CZ120" s="80">
        <v>88176</v>
      </c>
      <c r="DA120" s="80">
        <v>1322</v>
      </c>
      <c r="DB120" s="80">
        <v>1322</v>
      </c>
      <c r="DC120" s="80">
        <v>0</v>
      </c>
      <c r="DD120" s="80">
        <v>0</v>
      </c>
      <c r="DE120" s="80">
        <v>0</v>
      </c>
      <c r="DF120" s="80">
        <v>0</v>
      </c>
      <c r="DG120" s="80">
        <v>34658</v>
      </c>
      <c r="DH120" s="80">
        <v>2811</v>
      </c>
      <c r="DI120" s="80">
        <v>600</v>
      </c>
      <c r="DJ120" s="80">
        <v>2051</v>
      </c>
      <c r="DK120" s="80">
        <v>160</v>
      </c>
      <c r="DL120" s="80">
        <v>0</v>
      </c>
      <c r="DM120" s="80">
        <v>31847</v>
      </c>
      <c r="DN120" s="80">
        <v>15923</v>
      </c>
      <c r="DO120" s="80">
        <v>1035</v>
      </c>
      <c r="DP120" s="80">
        <v>5660</v>
      </c>
      <c r="DQ120" s="80">
        <v>9229</v>
      </c>
      <c r="DR120" s="80">
        <v>763</v>
      </c>
      <c r="DS120" s="80">
        <v>0</v>
      </c>
      <c r="DT120" s="80">
        <v>763</v>
      </c>
      <c r="DU120" s="80">
        <v>0</v>
      </c>
      <c r="DV120" s="80">
        <v>0</v>
      </c>
      <c r="DW120" s="80">
        <v>51433</v>
      </c>
      <c r="DX120" s="80">
        <v>952788</v>
      </c>
      <c r="DY120" s="80">
        <v>532669</v>
      </c>
      <c r="DZ120" s="80">
        <v>414490</v>
      </c>
      <c r="EA120" s="80">
        <v>68</v>
      </c>
      <c r="EB120" s="80">
        <v>1075</v>
      </c>
      <c r="EC120" s="80">
        <v>130009</v>
      </c>
      <c r="ED120" s="80">
        <v>-12973</v>
      </c>
      <c r="EE120" s="80">
        <v>1528</v>
      </c>
      <c r="EF120" s="80">
        <v>1528</v>
      </c>
      <c r="EG120" s="80">
        <v>0</v>
      </c>
      <c r="EH120" s="80">
        <v>962</v>
      </c>
      <c r="EI120" s="80">
        <v>270</v>
      </c>
      <c r="EJ120" s="80">
        <v>692</v>
      </c>
      <c r="EK120" s="80">
        <v>3024</v>
      </c>
      <c r="EL120" s="80">
        <v>293</v>
      </c>
      <c r="EM120" s="80">
        <v>1024</v>
      </c>
      <c r="EN120" s="80">
        <v>1707</v>
      </c>
      <c r="EO120" s="80">
        <v>414605</v>
      </c>
      <c r="EP120" s="80">
        <v>294812</v>
      </c>
      <c r="EQ120" s="80">
        <v>0</v>
      </c>
      <c r="ER120" s="80">
        <v>278926</v>
      </c>
      <c r="ES120" s="80">
        <v>12036</v>
      </c>
      <c r="ET120" s="80">
        <v>259705</v>
      </c>
      <c r="EU120" s="80">
        <v>0</v>
      </c>
      <c r="EV120" s="80">
        <v>7185</v>
      </c>
      <c r="EW120" s="80">
        <v>0</v>
      </c>
      <c r="EX120" s="80">
        <v>0</v>
      </c>
      <c r="EY120" s="80">
        <v>260</v>
      </c>
      <c r="EZ120" s="80">
        <v>2800</v>
      </c>
      <c r="FA120" s="80">
        <v>12817</v>
      </c>
      <c r="FB120" s="80">
        <v>0</v>
      </c>
      <c r="FC120" s="80">
        <v>9</v>
      </c>
      <c r="FD120" s="80">
        <v>119793</v>
      </c>
      <c r="FE120" s="80">
        <v>0</v>
      </c>
      <c r="FF120" s="80">
        <v>35180</v>
      </c>
      <c r="FG120" s="80">
        <v>2138</v>
      </c>
      <c r="FH120" s="80">
        <v>27847</v>
      </c>
      <c r="FI120" s="80">
        <v>0</v>
      </c>
      <c r="FJ120" s="80">
        <v>5195</v>
      </c>
      <c r="FK120" s="80">
        <v>0</v>
      </c>
      <c r="FL120" s="80">
        <v>0</v>
      </c>
      <c r="FM120" s="80">
        <v>5153</v>
      </c>
      <c r="FN120" s="80">
        <v>25274</v>
      </c>
      <c r="FO120" s="80">
        <v>10601</v>
      </c>
      <c r="FP120" s="80">
        <v>43585</v>
      </c>
      <c r="FQ120" s="80">
        <v>952788</v>
      </c>
      <c r="FR120" s="80">
        <v>241874</v>
      </c>
      <c r="FS120" s="80">
        <v>11986</v>
      </c>
      <c r="FT120" s="100">
        <v>409021.72872251994</v>
      </c>
      <c r="FU120" s="100"/>
      <c r="FV120" s="100">
        <v>209436</v>
      </c>
      <c r="FW120" s="67">
        <v>49107</v>
      </c>
      <c r="FX120" s="100">
        <f t="shared" si="10"/>
        <v>-235149</v>
      </c>
      <c r="FY120" s="100">
        <f t="shared" si="11"/>
        <v>-512236</v>
      </c>
      <c r="FZ120" s="100">
        <v>377275.81469025736</v>
      </c>
      <c r="GA120" s="67">
        <v>277087</v>
      </c>
      <c r="GB120" s="58">
        <f t="shared" si="8"/>
        <v>67651</v>
      </c>
      <c r="GC120" s="67">
        <v>50470</v>
      </c>
      <c r="GD120" s="100">
        <v>38361</v>
      </c>
      <c r="GE120" s="100">
        <v>17218</v>
      </c>
      <c r="GF120" s="58">
        <f t="shared" si="9"/>
        <v>21143</v>
      </c>
      <c r="GG120" s="100">
        <v>-215167.96900000001</v>
      </c>
      <c r="GH120" s="100">
        <v>-6587.5317000000032</v>
      </c>
      <c r="GI120" s="100">
        <v>-153261.90875</v>
      </c>
      <c r="GJ120" s="67">
        <f t="shared" si="12"/>
        <v>1363</v>
      </c>
      <c r="GK120" s="67"/>
      <c r="GM120" s="96"/>
    </row>
    <row r="121" spans="1:195" ht="13.5" customHeight="1" x14ac:dyDescent="0.2">
      <c r="A121" s="74">
        <v>300</v>
      </c>
      <c r="B121" s="75" t="s">
        <v>78</v>
      </c>
      <c r="C121" s="75" t="s">
        <v>78</v>
      </c>
      <c r="D121" s="76"/>
      <c r="E121" s="77" t="s">
        <v>215</v>
      </c>
      <c r="F121" s="78">
        <v>2</v>
      </c>
      <c r="G121" s="79">
        <v>3715</v>
      </c>
      <c r="H121" s="80">
        <v>3836</v>
      </c>
      <c r="I121" s="80">
        <v>1405</v>
      </c>
      <c r="J121" s="80">
        <v>1345</v>
      </c>
      <c r="K121" s="80">
        <v>270</v>
      </c>
      <c r="L121" s="80">
        <v>816</v>
      </c>
      <c r="M121" s="80">
        <v>0</v>
      </c>
      <c r="N121" s="80">
        <v>0</v>
      </c>
      <c r="O121" s="80">
        <v>26514</v>
      </c>
      <c r="P121" s="80">
        <v>12031</v>
      </c>
      <c r="Q121" s="80">
        <v>9261</v>
      </c>
      <c r="R121" s="80">
        <v>2770</v>
      </c>
      <c r="S121" s="80">
        <v>2245</v>
      </c>
      <c r="T121" s="80">
        <v>525</v>
      </c>
      <c r="U121" s="80">
        <v>11700</v>
      </c>
      <c r="V121" s="80">
        <v>1820</v>
      </c>
      <c r="W121" s="80">
        <v>738</v>
      </c>
      <c r="X121" s="80">
        <v>225</v>
      </c>
      <c r="Y121" s="80">
        <v>-22678</v>
      </c>
      <c r="Z121" s="80">
        <v>11001</v>
      </c>
      <c r="AA121" s="80">
        <v>9670</v>
      </c>
      <c r="AB121" s="80">
        <v>611</v>
      </c>
      <c r="AC121" s="80">
        <v>720</v>
      </c>
      <c r="AD121" s="80">
        <v>12477</v>
      </c>
      <c r="AE121" s="80">
        <v>28</v>
      </c>
      <c r="AF121" s="80">
        <v>21</v>
      </c>
      <c r="AG121" s="80">
        <v>20</v>
      </c>
      <c r="AH121" s="80">
        <v>0</v>
      </c>
      <c r="AI121" s="80">
        <v>11</v>
      </c>
      <c r="AJ121" s="80">
        <v>2</v>
      </c>
      <c r="AK121" s="80">
        <v>828</v>
      </c>
      <c r="AL121" s="80">
        <v>1143</v>
      </c>
      <c r="AM121" s="80">
        <v>1143</v>
      </c>
      <c r="AN121" s="80">
        <v>0</v>
      </c>
      <c r="AO121" s="80">
        <v>0</v>
      </c>
      <c r="AP121" s="80">
        <v>0</v>
      </c>
      <c r="AQ121" s="80">
        <v>0</v>
      </c>
      <c r="AR121" s="80">
        <v>-315</v>
      </c>
      <c r="AS121" s="80">
        <v>0</v>
      </c>
      <c r="AT121" s="80">
        <v>0</v>
      </c>
      <c r="AU121" s="80">
        <v>0</v>
      </c>
      <c r="AV121" s="80">
        <v>-315</v>
      </c>
      <c r="AW121" s="81"/>
      <c r="AX121" s="80">
        <v>752</v>
      </c>
      <c r="AY121" s="80">
        <v>828</v>
      </c>
      <c r="AZ121" s="80">
        <v>0</v>
      </c>
      <c r="BA121" s="80">
        <v>-76</v>
      </c>
      <c r="BB121" s="80">
        <v>-1210</v>
      </c>
      <c r="BC121" s="80">
        <v>1646</v>
      </c>
      <c r="BD121" s="80">
        <v>163</v>
      </c>
      <c r="BE121" s="80">
        <v>273</v>
      </c>
      <c r="BF121" s="80">
        <v>-458</v>
      </c>
      <c r="BG121" s="80">
        <v>154</v>
      </c>
      <c r="BH121" s="80">
        <v>86</v>
      </c>
      <c r="BI121" s="80">
        <v>30</v>
      </c>
      <c r="BJ121" s="80">
        <v>116</v>
      </c>
      <c r="BK121" s="80">
        <v>168</v>
      </c>
      <c r="BL121" s="80">
        <v>0</v>
      </c>
      <c r="BM121" s="80">
        <v>2</v>
      </c>
      <c r="BN121" s="80">
        <v>170</v>
      </c>
      <c r="BO121" s="80">
        <v>-218</v>
      </c>
      <c r="BP121" s="80">
        <v>118</v>
      </c>
      <c r="BQ121" s="80">
        <v>0</v>
      </c>
      <c r="BR121" s="80">
        <v>0</v>
      </c>
      <c r="BS121" s="80">
        <v>31</v>
      </c>
      <c r="BT121" s="80">
        <v>87</v>
      </c>
      <c r="BU121" s="80">
        <v>-303</v>
      </c>
      <c r="BV121" s="80">
        <v>1506</v>
      </c>
      <c r="BW121" s="80">
        <v>1809</v>
      </c>
      <c r="BX121" s="81"/>
      <c r="BY121" s="80">
        <v>23936</v>
      </c>
      <c r="BZ121" s="80">
        <v>449</v>
      </c>
      <c r="CA121" s="80">
        <v>0</v>
      </c>
      <c r="CB121" s="80">
        <v>449</v>
      </c>
      <c r="CC121" s="80">
        <v>0</v>
      </c>
      <c r="CD121" s="80">
        <v>17620</v>
      </c>
      <c r="CE121" s="80">
        <v>2353</v>
      </c>
      <c r="CF121" s="80">
        <v>9240</v>
      </c>
      <c r="CG121" s="80">
        <v>5849</v>
      </c>
      <c r="CH121" s="80">
        <v>98</v>
      </c>
      <c r="CI121" s="80">
        <v>78</v>
      </c>
      <c r="CJ121" s="80">
        <v>78</v>
      </c>
      <c r="CK121" s="80">
        <v>2</v>
      </c>
      <c r="CL121" s="80">
        <v>5867</v>
      </c>
      <c r="CM121" s="80">
        <v>3998</v>
      </c>
      <c r="CN121" s="80">
        <v>2598</v>
      </c>
      <c r="CO121" s="80">
        <v>1400</v>
      </c>
      <c r="CP121" s="80">
        <v>0</v>
      </c>
      <c r="CQ121" s="80">
        <v>1847</v>
      </c>
      <c r="CR121" s="80">
        <v>0</v>
      </c>
      <c r="CS121" s="80">
        <v>0</v>
      </c>
      <c r="CT121" s="80">
        <v>1847</v>
      </c>
      <c r="CU121" s="80">
        <v>22</v>
      </c>
      <c r="CV121" s="80">
        <v>187</v>
      </c>
      <c r="CW121" s="80">
        <v>1</v>
      </c>
      <c r="CX121" s="80">
        <v>186</v>
      </c>
      <c r="CY121" s="80">
        <v>0</v>
      </c>
      <c r="CZ121" s="80">
        <v>2720</v>
      </c>
      <c r="DA121" s="80">
        <v>0</v>
      </c>
      <c r="DB121" s="80">
        <v>0</v>
      </c>
      <c r="DC121" s="80">
        <v>0</v>
      </c>
      <c r="DD121" s="80">
        <v>0</v>
      </c>
      <c r="DE121" s="80">
        <v>0</v>
      </c>
      <c r="DF121" s="80">
        <v>0</v>
      </c>
      <c r="DG121" s="80">
        <v>1214</v>
      </c>
      <c r="DH121" s="80">
        <v>0</v>
      </c>
      <c r="DI121" s="80">
        <v>0</v>
      </c>
      <c r="DJ121" s="80">
        <v>0</v>
      </c>
      <c r="DK121" s="80">
        <v>0</v>
      </c>
      <c r="DL121" s="80">
        <v>0</v>
      </c>
      <c r="DM121" s="80">
        <v>1214</v>
      </c>
      <c r="DN121" s="80">
        <v>742</v>
      </c>
      <c r="DO121" s="80">
        <v>0</v>
      </c>
      <c r="DP121" s="80">
        <v>138</v>
      </c>
      <c r="DQ121" s="80">
        <v>334</v>
      </c>
      <c r="DR121" s="80">
        <v>1146</v>
      </c>
      <c r="DS121" s="80">
        <v>0</v>
      </c>
      <c r="DT121" s="80">
        <v>0</v>
      </c>
      <c r="DU121" s="80">
        <v>0</v>
      </c>
      <c r="DV121" s="80">
        <v>1146</v>
      </c>
      <c r="DW121" s="80">
        <v>360</v>
      </c>
      <c r="DX121" s="80">
        <v>26843</v>
      </c>
      <c r="DY121" s="80">
        <v>15459</v>
      </c>
      <c r="DZ121" s="80">
        <v>14048</v>
      </c>
      <c r="EA121" s="80">
        <v>0</v>
      </c>
      <c r="EB121" s="80">
        <v>691</v>
      </c>
      <c r="EC121" s="80">
        <v>1035</v>
      </c>
      <c r="ED121" s="80">
        <v>-315</v>
      </c>
      <c r="EE121" s="80">
        <v>0</v>
      </c>
      <c r="EF121" s="80">
        <v>0</v>
      </c>
      <c r="EG121" s="80">
        <v>0</v>
      </c>
      <c r="EH121" s="80">
        <v>0</v>
      </c>
      <c r="EI121" s="80">
        <v>0</v>
      </c>
      <c r="EJ121" s="80">
        <v>0</v>
      </c>
      <c r="EK121" s="80">
        <v>195</v>
      </c>
      <c r="EL121" s="80">
        <v>1</v>
      </c>
      <c r="EM121" s="80">
        <v>186</v>
      </c>
      <c r="EN121" s="80">
        <v>8</v>
      </c>
      <c r="EO121" s="80">
        <v>11189</v>
      </c>
      <c r="EP121" s="80">
        <v>1217</v>
      </c>
      <c r="EQ121" s="80">
        <v>0</v>
      </c>
      <c r="ER121" s="80">
        <v>680</v>
      </c>
      <c r="ES121" s="80">
        <v>0</v>
      </c>
      <c r="ET121" s="80">
        <v>680</v>
      </c>
      <c r="EU121" s="80">
        <v>0</v>
      </c>
      <c r="EV121" s="80">
        <v>0</v>
      </c>
      <c r="EW121" s="80">
        <v>0</v>
      </c>
      <c r="EX121" s="80">
        <v>0</v>
      </c>
      <c r="EY121" s="80">
        <v>0</v>
      </c>
      <c r="EZ121" s="80">
        <v>0</v>
      </c>
      <c r="FA121" s="80">
        <v>537</v>
      </c>
      <c r="FB121" s="80">
        <v>0</v>
      </c>
      <c r="FC121" s="80">
        <v>0</v>
      </c>
      <c r="FD121" s="80">
        <v>9972</v>
      </c>
      <c r="FE121" s="80">
        <v>0</v>
      </c>
      <c r="FF121" s="80">
        <v>6802</v>
      </c>
      <c r="FG121" s="80">
        <v>0</v>
      </c>
      <c r="FH121" s="80">
        <v>6802</v>
      </c>
      <c r="FI121" s="80">
        <v>0</v>
      </c>
      <c r="FJ121" s="80">
        <v>0</v>
      </c>
      <c r="FK121" s="80">
        <v>0</v>
      </c>
      <c r="FL121" s="80">
        <v>0</v>
      </c>
      <c r="FM121" s="80">
        <v>85</v>
      </c>
      <c r="FN121" s="80">
        <v>1316</v>
      </c>
      <c r="FO121" s="80">
        <v>285</v>
      </c>
      <c r="FP121" s="80">
        <v>1484</v>
      </c>
      <c r="FQ121" s="80">
        <v>26843</v>
      </c>
      <c r="FR121" s="80">
        <v>2260</v>
      </c>
      <c r="FS121" s="80">
        <v>2823</v>
      </c>
      <c r="FT121" s="100">
        <v>13352.142537749638</v>
      </c>
      <c r="FU121" s="100"/>
      <c r="FV121" s="100">
        <v>5150</v>
      </c>
      <c r="FW121" s="67">
        <v>1116</v>
      </c>
      <c r="FX121" s="100">
        <f t="shared" si="10"/>
        <v>-14782</v>
      </c>
      <c r="FY121" s="100">
        <f t="shared" si="11"/>
        <v>-21535</v>
      </c>
      <c r="FZ121" s="100">
        <v>14260.957225229138</v>
      </c>
      <c r="GA121" s="67">
        <v>6753</v>
      </c>
      <c r="GB121" s="58">
        <f t="shared" si="8"/>
        <v>1603</v>
      </c>
      <c r="GC121" s="67">
        <v>1142</v>
      </c>
      <c r="GD121" s="100">
        <v>1351</v>
      </c>
      <c r="GE121" s="100">
        <v>268</v>
      </c>
      <c r="GF121" s="58">
        <f t="shared" si="9"/>
        <v>1083</v>
      </c>
      <c r="GG121" s="100">
        <v>-5576.9679999999998</v>
      </c>
      <c r="GH121" s="100">
        <v>-200.00285000000011</v>
      </c>
      <c r="GI121" s="100">
        <v>-8528.5762191788945</v>
      </c>
      <c r="GJ121" s="67">
        <f t="shared" si="12"/>
        <v>26</v>
      </c>
      <c r="GK121" s="67"/>
      <c r="GM121" s="96"/>
    </row>
    <row r="122" spans="1:195" ht="13.5" customHeight="1" x14ac:dyDescent="0.2">
      <c r="A122" s="74">
        <v>301</v>
      </c>
      <c r="B122" s="75" t="s">
        <v>79</v>
      </c>
      <c r="C122" s="75" t="s">
        <v>79</v>
      </c>
      <c r="D122" s="76">
        <v>2</v>
      </c>
      <c r="E122" s="77" t="s">
        <v>215</v>
      </c>
      <c r="F122" s="78">
        <v>5</v>
      </c>
      <c r="G122" s="79">
        <v>21734</v>
      </c>
      <c r="H122" s="79">
        <v>22356</v>
      </c>
      <c r="I122" s="79">
        <v>14064</v>
      </c>
      <c r="J122" s="79">
        <v>2456</v>
      </c>
      <c r="K122" s="79">
        <v>1634</v>
      </c>
      <c r="L122" s="79">
        <v>4202</v>
      </c>
      <c r="M122" s="79">
        <v>0</v>
      </c>
      <c r="N122" s="79">
        <v>0</v>
      </c>
      <c r="O122" s="79">
        <v>152560</v>
      </c>
      <c r="P122" s="79">
        <v>48567</v>
      </c>
      <c r="Q122" s="79">
        <v>36028</v>
      </c>
      <c r="R122" s="79">
        <v>12539</v>
      </c>
      <c r="S122" s="79">
        <v>10258</v>
      </c>
      <c r="T122" s="79">
        <v>2281</v>
      </c>
      <c r="U122" s="79">
        <v>91429</v>
      </c>
      <c r="V122" s="79">
        <v>6437</v>
      </c>
      <c r="W122" s="79">
        <v>4246</v>
      </c>
      <c r="X122" s="79">
        <v>1881</v>
      </c>
      <c r="Y122" s="79">
        <v>-130204</v>
      </c>
      <c r="Z122" s="79">
        <v>65450</v>
      </c>
      <c r="AA122" s="79">
        <v>58136</v>
      </c>
      <c r="AB122" s="79">
        <v>3745</v>
      </c>
      <c r="AC122" s="79">
        <v>3569</v>
      </c>
      <c r="AD122" s="79">
        <v>58869</v>
      </c>
      <c r="AE122" s="79">
        <v>9111</v>
      </c>
      <c r="AF122" s="79">
        <v>657</v>
      </c>
      <c r="AG122" s="79">
        <v>9235</v>
      </c>
      <c r="AH122" s="79">
        <v>9153</v>
      </c>
      <c r="AI122" s="79">
        <v>766</v>
      </c>
      <c r="AJ122" s="79">
        <v>15</v>
      </c>
      <c r="AK122" s="79">
        <v>3226</v>
      </c>
      <c r="AL122" s="79">
        <v>6444</v>
      </c>
      <c r="AM122" s="79">
        <v>6369</v>
      </c>
      <c r="AN122" s="79">
        <v>75</v>
      </c>
      <c r="AO122" s="79">
        <v>0</v>
      </c>
      <c r="AP122" s="79">
        <v>0</v>
      </c>
      <c r="AQ122" s="79">
        <v>0</v>
      </c>
      <c r="AR122" s="79">
        <v>-3218</v>
      </c>
      <c r="AS122" s="79">
        <v>42</v>
      </c>
      <c r="AT122" s="79">
        <v>381</v>
      </c>
      <c r="AU122" s="79">
        <v>102</v>
      </c>
      <c r="AV122" s="79">
        <v>-2693</v>
      </c>
      <c r="AW122" s="79"/>
      <c r="AX122" s="79">
        <v>3057</v>
      </c>
      <c r="AY122" s="79">
        <v>3226</v>
      </c>
      <c r="AZ122" s="79">
        <v>0</v>
      </c>
      <c r="BA122" s="79">
        <v>-169</v>
      </c>
      <c r="BB122" s="79">
        <v>-5800</v>
      </c>
      <c r="BC122" s="79">
        <v>7200</v>
      </c>
      <c r="BD122" s="79">
        <v>218</v>
      </c>
      <c r="BE122" s="79">
        <v>1182</v>
      </c>
      <c r="BF122" s="79">
        <v>-2743</v>
      </c>
      <c r="BG122" s="79">
        <v>-3146</v>
      </c>
      <c r="BH122" s="79">
        <v>1187</v>
      </c>
      <c r="BI122" s="79">
        <v>552</v>
      </c>
      <c r="BJ122" s="79">
        <v>1739</v>
      </c>
      <c r="BK122" s="79">
        <v>-1248</v>
      </c>
      <c r="BL122" s="79">
        <v>13900</v>
      </c>
      <c r="BM122" s="79">
        <v>15359</v>
      </c>
      <c r="BN122" s="79">
        <v>211</v>
      </c>
      <c r="BO122" s="79">
        <v>0</v>
      </c>
      <c r="BP122" s="79">
        <v>-3085</v>
      </c>
      <c r="BQ122" s="79">
        <v>-101</v>
      </c>
      <c r="BR122" s="79">
        <v>0</v>
      </c>
      <c r="BS122" s="79">
        <v>5563</v>
      </c>
      <c r="BT122" s="79">
        <v>-8547</v>
      </c>
      <c r="BU122" s="79">
        <v>-5889</v>
      </c>
      <c r="BV122" s="79">
        <v>31246</v>
      </c>
      <c r="BW122" s="79">
        <v>37135</v>
      </c>
      <c r="BX122" s="79"/>
      <c r="BY122" s="79">
        <v>177066</v>
      </c>
      <c r="BZ122" s="79">
        <v>579</v>
      </c>
      <c r="CA122" s="79">
        <v>6</v>
      </c>
      <c r="CB122" s="79">
        <v>573</v>
      </c>
      <c r="CC122" s="79">
        <v>0</v>
      </c>
      <c r="CD122" s="79">
        <v>99332</v>
      </c>
      <c r="CE122" s="79">
        <v>16579</v>
      </c>
      <c r="CF122" s="79">
        <v>57655</v>
      </c>
      <c r="CG122" s="79">
        <v>20816</v>
      </c>
      <c r="CH122" s="79">
        <v>2290</v>
      </c>
      <c r="CI122" s="79">
        <v>0</v>
      </c>
      <c r="CJ122" s="79">
        <v>0</v>
      </c>
      <c r="CK122" s="79">
        <v>1992</v>
      </c>
      <c r="CL122" s="79">
        <v>77155</v>
      </c>
      <c r="CM122" s="79">
        <v>48914</v>
      </c>
      <c r="CN122" s="79">
        <v>10308</v>
      </c>
      <c r="CO122" s="79">
        <v>38606</v>
      </c>
      <c r="CP122" s="79">
        <v>0</v>
      </c>
      <c r="CQ122" s="79">
        <v>27934</v>
      </c>
      <c r="CR122" s="79">
        <v>0</v>
      </c>
      <c r="CS122" s="79">
        <v>375</v>
      </c>
      <c r="CT122" s="79">
        <v>27559</v>
      </c>
      <c r="CU122" s="79">
        <v>307</v>
      </c>
      <c r="CV122" s="79">
        <v>139</v>
      </c>
      <c r="CW122" s="79">
        <v>2</v>
      </c>
      <c r="CX122" s="79">
        <v>137</v>
      </c>
      <c r="CY122" s="79">
        <v>0</v>
      </c>
      <c r="CZ122" s="79">
        <v>35419</v>
      </c>
      <c r="DA122" s="79">
        <v>39</v>
      </c>
      <c r="DB122" s="79">
        <v>39</v>
      </c>
      <c r="DC122" s="79">
        <v>0</v>
      </c>
      <c r="DD122" s="79">
        <v>0</v>
      </c>
      <c r="DE122" s="79">
        <v>0</v>
      </c>
      <c r="DF122" s="79">
        <v>0</v>
      </c>
      <c r="DG122" s="79">
        <v>4133</v>
      </c>
      <c r="DH122" s="79">
        <v>32</v>
      </c>
      <c r="DI122" s="79">
        <v>0</v>
      </c>
      <c r="DJ122" s="79">
        <v>0</v>
      </c>
      <c r="DK122" s="79">
        <v>32</v>
      </c>
      <c r="DL122" s="79">
        <v>0</v>
      </c>
      <c r="DM122" s="79">
        <v>4101</v>
      </c>
      <c r="DN122" s="79">
        <v>2035</v>
      </c>
      <c r="DO122" s="79">
        <v>0</v>
      </c>
      <c r="DP122" s="79">
        <v>371</v>
      </c>
      <c r="DQ122" s="79">
        <v>1695</v>
      </c>
      <c r="DR122" s="79">
        <v>27156</v>
      </c>
      <c r="DS122" s="79">
        <v>24284</v>
      </c>
      <c r="DT122" s="79">
        <v>0</v>
      </c>
      <c r="DU122" s="79">
        <v>0</v>
      </c>
      <c r="DV122" s="79">
        <v>2872</v>
      </c>
      <c r="DW122" s="79">
        <v>4091</v>
      </c>
      <c r="DX122" s="79">
        <v>212624</v>
      </c>
      <c r="DY122" s="79">
        <v>113733</v>
      </c>
      <c r="DZ122" s="79">
        <v>89970</v>
      </c>
      <c r="EA122" s="79">
        <v>0</v>
      </c>
      <c r="EB122" s="79">
        <v>3889</v>
      </c>
      <c r="EC122" s="79">
        <v>22567</v>
      </c>
      <c r="ED122" s="79">
        <v>-2693</v>
      </c>
      <c r="EE122" s="79">
        <v>2744</v>
      </c>
      <c r="EF122" s="79">
        <v>2744</v>
      </c>
      <c r="EG122" s="79">
        <v>0</v>
      </c>
      <c r="EH122" s="79">
        <v>0</v>
      </c>
      <c r="EI122" s="79">
        <v>0</v>
      </c>
      <c r="EJ122" s="79">
        <v>0</v>
      </c>
      <c r="EK122" s="79">
        <v>258</v>
      </c>
      <c r="EL122" s="79">
        <v>2</v>
      </c>
      <c r="EM122" s="79">
        <v>210</v>
      </c>
      <c r="EN122" s="79">
        <v>46</v>
      </c>
      <c r="EO122" s="79">
        <v>95889</v>
      </c>
      <c r="EP122" s="79">
        <v>53390</v>
      </c>
      <c r="EQ122" s="79">
        <v>0</v>
      </c>
      <c r="ER122" s="79">
        <v>53029</v>
      </c>
      <c r="ES122" s="79">
        <v>5122</v>
      </c>
      <c r="ET122" s="79">
        <v>47907</v>
      </c>
      <c r="EU122" s="79">
        <v>0</v>
      </c>
      <c r="EV122" s="79">
        <v>0</v>
      </c>
      <c r="EW122" s="79">
        <v>361</v>
      </c>
      <c r="EX122" s="79">
        <v>0</v>
      </c>
      <c r="EY122" s="79">
        <v>0</v>
      </c>
      <c r="EZ122" s="79">
        <v>0</v>
      </c>
      <c r="FA122" s="79">
        <v>0</v>
      </c>
      <c r="FB122" s="79">
        <v>0</v>
      </c>
      <c r="FC122" s="79">
        <v>0</v>
      </c>
      <c r="FD122" s="79">
        <v>42499</v>
      </c>
      <c r="FE122" s="79">
        <v>9500</v>
      </c>
      <c r="FF122" s="79">
        <v>8353</v>
      </c>
      <c r="FG122" s="79">
        <v>443</v>
      </c>
      <c r="FH122" s="79">
        <v>7510</v>
      </c>
      <c r="FI122" s="79">
        <v>400</v>
      </c>
      <c r="FJ122" s="79">
        <v>0</v>
      </c>
      <c r="FK122" s="79">
        <v>377</v>
      </c>
      <c r="FL122" s="79">
        <v>466</v>
      </c>
      <c r="FM122" s="79">
        <v>7</v>
      </c>
      <c r="FN122" s="79">
        <v>6155</v>
      </c>
      <c r="FO122" s="79">
        <v>10300</v>
      </c>
      <c r="FP122" s="79">
        <v>7341</v>
      </c>
      <c r="FQ122" s="79">
        <v>212624</v>
      </c>
      <c r="FR122" s="79">
        <v>31379</v>
      </c>
      <c r="FS122" s="79">
        <v>4122</v>
      </c>
      <c r="FT122" s="100">
        <v>80578.183542646148</v>
      </c>
      <c r="FU122" s="100"/>
      <c r="FV122" s="100">
        <v>31580</v>
      </c>
      <c r="FW122" s="67">
        <v>6436</v>
      </c>
      <c r="FX122" s="100">
        <f t="shared" si="10"/>
        <v>-91416</v>
      </c>
      <c r="FY122" s="100">
        <f t="shared" si="11"/>
        <v>-123760</v>
      </c>
      <c r="FZ122" s="100">
        <v>80003.977293877426</v>
      </c>
      <c r="GA122" s="67">
        <v>32344</v>
      </c>
      <c r="GB122" s="58">
        <f t="shared" si="8"/>
        <v>764</v>
      </c>
      <c r="GC122" s="67">
        <v>6444</v>
      </c>
      <c r="GD122" s="100">
        <v>2461</v>
      </c>
      <c r="GE122" s="100">
        <v>2461</v>
      </c>
      <c r="GF122" s="58">
        <f t="shared" si="9"/>
        <v>0</v>
      </c>
      <c r="GG122" s="100">
        <v>-34341.563999999998</v>
      </c>
      <c r="GH122" s="100">
        <v>-1111.3818500000002</v>
      </c>
      <c r="GI122" s="100">
        <v>-45655.223224946174</v>
      </c>
      <c r="GJ122" s="67">
        <f t="shared" si="12"/>
        <v>8</v>
      </c>
      <c r="GK122" s="67"/>
      <c r="GM122" s="96"/>
    </row>
    <row r="123" spans="1:195" ht="13.5" customHeight="1" x14ac:dyDescent="0.2">
      <c r="A123" s="74">
        <v>305</v>
      </c>
      <c r="B123" s="75" t="s">
        <v>80</v>
      </c>
      <c r="C123" s="75" t="s">
        <v>80</v>
      </c>
      <c r="D123" s="76"/>
      <c r="E123" s="77" t="s">
        <v>216</v>
      </c>
      <c r="F123" s="78">
        <v>4</v>
      </c>
      <c r="G123" s="79">
        <v>15688</v>
      </c>
      <c r="H123" s="80">
        <v>19009</v>
      </c>
      <c r="I123" s="80">
        <v>6222</v>
      </c>
      <c r="J123" s="80">
        <v>6440</v>
      </c>
      <c r="K123" s="80">
        <v>1875</v>
      </c>
      <c r="L123" s="80">
        <v>4472</v>
      </c>
      <c r="M123" s="80">
        <v>0</v>
      </c>
      <c r="N123" s="80">
        <v>497</v>
      </c>
      <c r="O123" s="80">
        <v>112862</v>
      </c>
      <c r="P123" s="80">
        <v>52637</v>
      </c>
      <c r="Q123" s="80">
        <v>39209</v>
      </c>
      <c r="R123" s="80">
        <v>13428</v>
      </c>
      <c r="S123" s="80">
        <v>11083</v>
      </c>
      <c r="T123" s="80">
        <v>2345</v>
      </c>
      <c r="U123" s="80">
        <v>46447</v>
      </c>
      <c r="V123" s="80">
        <v>6530</v>
      </c>
      <c r="W123" s="80">
        <v>5573</v>
      </c>
      <c r="X123" s="80">
        <v>1675</v>
      </c>
      <c r="Y123" s="80">
        <v>-93356</v>
      </c>
      <c r="Z123" s="80">
        <v>52714</v>
      </c>
      <c r="AA123" s="80">
        <v>42246</v>
      </c>
      <c r="AB123" s="80">
        <v>3595</v>
      </c>
      <c r="AC123" s="80">
        <v>6873</v>
      </c>
      <c r="AD123" s="80">
        <v>44846</v>
      </c>
      <c r="AE123" s="80">
        <v>1050</v>
      </c>
      <c r="AF123" s="80">
        <v>28</v>
      </c>
      <c r="AG123" s="80">
        <v>1664</v>
      </c>
      <c r="AH123" s="80">
        <v>62</v>
      </c>
      <c r="AI123" s="80">
        <v>520</v>
      </c>
      <c r="AJ123" s="80">
        <v>122</v>
      </c>
      <c r="AK123" s="80">
        <v>5254</v>
      </c>
      <c r="AL123" s="80">
        <v>5147</v>
      </c>
      <c r="AM123" s="80">
        <v>5147</v>
      </c>
      <c r="AN123" s="80">
        <v>0</v>
      </c>
      <c r="AO123" s="80">
        <v>0</v>
      </c>
      <c r="AP123" s="80">
        <v>0</v>
      </c>
      <c r="AQ123" s="80">
        <v>0</v>
      </c>
      <c r="AR123" s="80">
        <v>107</v>
      </c>
      <c r="AS123" s="80">
        <v>0</v>
      </c>
      <c r="AT123" s="80">
        <v>0</v>
      </c>
      <c r="AU123" s="80">
        <v>527</v>
      </c>
      <c r="AV123" s="80">
        <v>634</v>
      </c>
      <c r="AW123" s="81"/>
      <c r="AX123" s="80">
        <v>5061</v>
      </c>
      <c r="AY123" s="80">
        <v>5254</v>
      </c>
      <c r="AZ123" s="80">
        <v>0</v>
      </c>
      <c r="BA123" s="80">
        <v>-193</v>
      </c>
      <c r="BB123" s="80">
        <v>-4308</v>
      </c>
      <c r="BC123" s="80">
        <v>5446</v>
      </c>
      <c r="BD123" s="80">
        <v>1064</v>
      </c>
      <c r="BE123" s="80">
        <v>74</v>
      </c>
      <c r="BF123" s="80">
        <v>753</v>
      </c>
      <c r="BG123" s="80">
        <v>1296</v>
      </c>
      <c r="BH123" s="80">
        <v>-454</v>
      </c>
      <c r="BI123" s="80">
        <v>462</v>
      </c>
      <c r="BJ123" s="80">
        <v>8</v>
      </c>
      <c r="BK123" s="80">
        <v>1621</v>
      </c>
      <c r="BL123" s="80">
        <v>5000</v>
      </c>
      <c r="BM123" s="80">
        <v>3379</v>
      </c>
      <c r="BN123" s="80">
        <v>0</v>
      </c>
      <c r="BO123" s="80">
        <v>0</v>
      </c>
      <c r="BP123" s="80">
        <v>129</v>
      </c>
      <c r="BQ123" s="80">
        <v>2</v>
      </c>
      <c r="BR123" s="80">
        <v>-18</v>
      </c>
      <c r="BS123" s="80">
        <v>205</v>
      </c>
      <c r="BT123" s="80">
        <v>-60</v>
      </c>
      <c r="BU123" s="80">
        <v>2049</v>
      </c>
      <c r="BV123" s="80">
        <v>27303</v>
      </c>
      <c r="BW123" s="80">
        <v>25254</v>
      </c>
      <c r="BX123" s="81"/>
      <c r="BY123" s="80">
        <v>91061</v>
      </c>
      <c r="BZ123" s="80">
        <v>975</v>
      </c>
      <c r="CA123" s="80">
        <v>15</v>
      </c>
      <c r="CB123" s="80">
        <v>960</v>
      </c>
      <c r="CC123" s="80">
        <v>0</v>
      </c>
      <c r="CD123" s="80">
        <v>75947</v>
      </c>
      <c r="CE123" s="80">
        <v>16301</v>
      </c>
      <c r="CF123" s="80">
        <v>48193</v>
      </c>
      <c r="CG123" s="80">
        <v>7657</v>
      </c>
      <c r="CH123" s="80">
        <v>2109</v>
      </c>
      <c r="CI123" s="80">
        <v>52</v>
      </c>
      <c r="CJ123" s="80">
        <v>52</v>
      </c>
      <c r="CK123" s="80">
        <v>1635</v>
      </c>
      <c r="CL123" s="80">
        <v>14139</v>
      </c>
      <c r="CM123" s="80">
        <v>8572</v>
      </c>
      <c r="CN123" s="80">
        <v>4055</v>
      </c>
      <c r="CO123" s="80">
        <v>4517</v>
      </c>
      <c r="CP123" s="80">
        <v>0</v>
      </c>
      <c r="CQ123" s="80">
        <v>5329</v>
      </c>
      <c r="CR123" s="80">
        <v>0</v>
      </c>
      <c r="CS123" s="80">
        <v>0</v>
      </c>
      <c r="CT123" s="80">
        <v>5329</v>
      </c>
      <c r="CU123" s="80">
        <v>238</v>
      </c>
      <c r="CV123" s="80">
        <v>40</v>
      </c>
      <c r="CW123" s="80">
        <v>4</v>
      </c>
      <c r="CX123" s="80">
        <v>36</v>
      </c>
      <c r="CY123" s="80">
        <v>0</v>
      </c>
      <c r="CZ123" s="80">
        <v>33429</v>
      </c>
      <c r="DA123" s="80">
        <v>389</v>
      </c>
      <c r="DB123" s="80">
        <v>334</v>
      </c>
      <c r="DC123" s="80">
        <v>0</v>
      </c>
      <c r="DD123" s="80">
        <v>0</v>
      </c>
      <c r="DE123" s="80">
        <v>55</v>
      </c>
      <c r="DF123" s="80">
        <v>0</v>
      </c>
      <c r="DG123" s="80">
        <v>5737</v>
      </c>
      <c r="DH123" s="80">
        <v>1272</v>
      </c>
      <c r="DI123" s="80">
        <v>1009</v>
      </c>
      <c r="DJ123" s="80">
        <v>0</v>
      </c>
      <c r="DK123" s="80">
        <v>263</v>
      </c>
      <c r="DL123" s="80">
        <v>0</v>
      </c>
      <c r="DM123" s="80">
        <v>4465</v>
      </c>
      <c r="DN123" s="80">
        <v>2518</v>
      </c>
      <c r="DO123" s="80">
        <v>0</v>
      </c>
      <c r="DP123" s="80">
        <v>659</v>
      </c>
      <c r="DQ123" s="80">
        <v>1288</v>
      </c>
      <c r="DR123" s="80">
        <v>20941</v>
      </c>
      <c r="DS123" s="80">
        <v>0</v>
      </c>
      <c r="DT123" s="80">
        <v>0</v>
      </c>
      <c r="DU123" s="80">
        <v>0</v>
      </c>
      <c r="DV123" s="80">
        <v>20941</v>
      </c>
      <c r="DW123" s="80">
        <v>6362</v>
      </c>
      <c r="DX123" s="80">
        <v>124530</v>
      </c>
      <c r="DY123" s="80">
        <v>77757</v>
      </c>
      <c r="DZ123" s="80">
        <v>54182</v>
      </c>
      <c r="EA123" s="80">
        <v>2425</v>
      </c>
      <c r="EB123" s="80">
        <v>9470</v>
      </c>
      <c r="EC123" s="80">
        <v>11046</v>
      </c>
      <c r="ED123" s="80">
        <v>634</v>
      </c>
      <c r="EE123" s="80">
        <v>0</v>
      </c>
      <c r="EF123" s="80">
        <v>0</v>
      </c>
      <c r="EG123" s="80">
        <v>0</v>
      </c>
      <c r="EH123" s="80">
        <v>556</v>
      </c>
      <c r="EI123" s="80">
        <v>0</v>
      </c>
      <c r="EJ123" s="80">
        <v>556</v>
      </c>
      <c r="EK123" s="80">
        <v>120</v>
      </c>
      <c r="EL123" s="80">
        <v>5</v>
      </c>
      <c r="EM123" s="80">
        <v>110</v>
      </c>
      <c r="EN123" s="80">
        <v>5</v>
      </c>
      <c r="EO123" s="80">
        <v>46097</v>
      </c>
      <c r="EP123" s="80">
        <v>25760</v>
      </c>
      <c r="EQ123" s="80">
        <v>0</v>
      </c>
      <c r="ER123" s="80">
        <v>25702</v>
      </c>
      <c r="ES123" s="80">
        <v>6675</v>
      </c>
      <c r="ET123" s="80">
        <v>19027</v>
      </c>
      <c r="EU123" s="80">
        <v>0</v>
      </c>
      <c r="EV123" s="80">
        <v>0</v>
      </c>
      <c r="EW123" s="80">
        <v>58</v>
      </c>
      <c r="EX123" s="80">
        <v>0</v>
      </c>
      <c r="EY123" s="80">
        <v>0</v>
      </c>
      <c r="EZ123" s="80">
        <v>0</v>
      </c>
      <c r="FA123" s="80">
        <v>0</v>
      </c>
      <c r="FB123" s="80">
        <v>0</v>
      </c>
      <c r="FC123" s="80">
        <v>0</v>
      </c>
      <c r="FD123" s="80">
        <v>20337</v>
      </c>
      <c r="FE123" s="80">
        <v>0</v>
      </c>
      <c r="FF123" s="80">
        <v>3604</v>
      </c>
      <c r="FG123" s="80">
        <v>970</v>
      </c>
      <c r="FH123" s="80">
        <v>2634</v>
      </c>
      <c r="FI123" s="80">
        <v>0</v>
      </c>
      <c r="FJ123" s="80">
        <v>0</v>
      </c>
      <c r="FK123" s="80">
        <v>5</v>
      </c>
      <c r="FL123" s="80">
        <v>0</v>
      </c>
      <c r="FM123" s="80">
        <v>1989</v>
      </c>
      <c r="FN123" s="80">
        <v>5433</v>
      </c>
      <c r="FO123" s="80">
        <v>842</v>
      </c>
      <c r="FP123" s="80">
        <v>8464</v>
      </c>
      <c r="FQ123" s="80">
        <v>124530</v>
      </c>
      <c r="FR123" s="80">
        <v>13499</v>
      </c>
      <c r="FS123" s="80">
        <v>3190</v>
      </c>
      <c r="FT123" s="100">
        <v>59402.960860834108</v>
      </c>
      <c r="FU123" s="100"/>
      <c r="FV123" s="100">
        <v>28161</v>
      </c>
      <c r="FW123" s="67">
        <v>4767</v>
      </c>
      <c r="FX123" s="100">
        <f t="shared" si="10"/>
        <v>-49638</v>
      </c>
      <c r="FY123" s="100">
        <f t="shared" si="11"/>
        <v>-88209</v>
      </c>
      <c r="FZ123" s="100">
        <v>61058.442866021433</v>
      </c>
      <c r="GA123" s="67">
        <v>38571</v>
      </c>
      <c r="GB123" s="58">
        <f t="shared" si="8"/>
        <v>10410</v>
      </c>
      <c r="GC123" s="67">
        <v>5147</v>
      </c>
      <c r="GD123" s="100">
        <v>6636</v>
      </c>
      <c r="GE123" s="100">
        <v>1884</v>
      </c>
      <c r="GF123" s="58">
        <f t="shared" si="9"/>
        <v>4752</v>
      </c>
      <c r="GG123" s="100">
        <v>-25388.555</v>
      </c>
      <c r="GH123" s="100">
        <v>-1069.4180500000002</v>
      </c>
      <c r="GI123" s="100">
        <v>-35413.130097719688</v>
      </c>
      <c r="GJ123" s="67">
        <f t="shared" si="12"/>
        <v>380</v>
      </c>
      <c r="GK123" s="67"/>
      <c r="GM123" s="96"/>
    </row>
    <row r="124" spans="1:195" ht="13.5" customHeight="1" x14ac:dyDescent="0.2">
      <c r="A124" s="74">
        <v>257</v>
      </c>
      <c r="B124" s="75" t="s">
        <v>262</v>
      </c>
      <c r="C124" s="82" t="s">
        <v>262</v>
      </c>
      <c r="D124" s="76"/>
      <c r="E124" s="77" t="s">
        <v>218</v>
      </c>
      <c r="F124" s="78">
        <v>5</v>
      </c>
      <c r="G124" s="79">
        <v>38649</v>
      </c>
      <c r="H124" s="80">
        <v>36643</v>
      </c>
      <c r="I124" s="80">
        <v>9455</v>
      </c>
      <c r="J124" s="80">
        <v>17893</v>
      </c>
      <c r="K124" s="80">
        <v>4413</v>
      </c>
      <c r="L124" s="80">
        <v>4882</v>
      </c>
      <c r="M124" s="80">
        <v>0</v>
      </c>
      <c r="N124" s="80">
        <v>0</v>
      </c>
      <c r="O124" s="80">
        <v>223292</v>
      </c>
      <c r="P124" s="80">
        <v>95846</v>
      </c>
      <c r="Q124" s="80">
        <v>74762</v>
      </c>
      <c r="R124" s="80">
        <v>21084</v>
      </c>
      <c r="S124" s="80">
        <v>17204</v>
      </c>
      <c r="T124" s="80">
        <v>3880</v>
      </c>
      <c r="U124" s="80">
        <v>92530</v>
      </c>
      <c r="V124" s="80">
        <v>12500</v>
      </c>
      <c r="W124" s="80">
        <v>17394</v>
      </c>
      <c r="X124" s="80">
        <v>5022</v>
      </c>
      <c r="Y124" s="80">
        <v>-186649</v>
      </c>
      <c r="Z124" s="80">
        <v>178491</v>
      </c>
      <c r="AA124" s="80">
        <v>160693</v>
      </c>
      <c r="AB124" s="80">
        <v>7947</v>
      </c>
      <c r="AC124" s="80">
        <v>9851</v>
      </c>
      <c r="AD124" s="80">
        <v>20685</v>
      </c>
      <c r="AE124" s="80">
        <v>-1329</v>
      </c>
      <c r="AF124" s="80">
        <v>89</v>
      </c>
      <c r="AG124" s="80">
        <v>419</v>
      </c>
      <c r="AH124" s="80">
        <v>67</v>
      </c>
      <c r="AI124" s="80">
        <v>1734</v>
      </c>
      <c r="AJ124" s="80">
        <v>103</v>
      </c>
      <c r="AK124" s="80">
        <v>11198</v>
      </c>
      <c r="AL124" s="80">
        <v>12954</v>
      </c>
      <c r="AM124" s="80">
        <v>12954</v>
      </c>
      <c r="AN124" s="80">
        <v>0</v>
      </c>
      <c r="AO124" s="80">
        <v>81</v>
      </c>
      <c r="AP124" s="80">
        <v>81</v>
      </c>
      <c r="AQ124" s="80">
        <v>0</v>
      </c>
      <c r="AR124" s="80">
        <v>-1675</v>
      </c>
      <c r="AS124" s="80">
        <v>23</v>
      </c>
      <c r="AT124" s="80">
        <v>0</v>
      </c>
      <c r="AU124" s="80">
        <v>271</v>
      </c>
      <c r="AV124" s="80">
        <v>-1381</v>
      </c>
      <c r="AW124" s="81"/>
      <c r="AX124" s="80">
        <v>10038</v>
      </c>
      <c r="AY124" s="80">
        <v>11198</v>
      </c>
      <c r="AZ124" s="80">
        <v>81</v>
      </c>
      <c r="BA124" s="80">
        <v>-1241</v>
      </c>
      <c r="BB124" s="80">
        <v>-20626</v>
      </c>
      <c r="BC124" s="80">
        <v>23138</v>
      </c>
      <c r="BD124" s="80">
        <v>205</v>
      </c>
      <c r="BE124" s="80">
        <v>2307</v>
      </c>
      <c r="BF124" s="80">
        <v>-10588</v>
      </c>
      <c r="BG124" s="80">
        <v>461</v>
      </c>
      <c r="BH124" s="80">
        <v>296</v>
      </c>
      <c r="BI124" s="80">
        <v>0</v>
      </c>
      <c r="BJ124" s="80">
        <v>296</v>
      </c>
      <c r="BK124" s="80">
        <v>2615</v>
      </c>
      <c r="BL124" s="80">
        <v>0</v>
      </c>
      <c r="BM124" s="80">
        <v>10883</v>
      </c>
      <c r="BN124" s="80">
        <v>13498</v>
      </c>
      <c r="BO124" s="80">
        <v>-296</v>
      </c>
      <c r="BP124" s="80">
        <v>-2154</v>
      </c>
      <c r="BQ124" s="80">
        <v>-77</v>
      </c>
      <c r="BR124" s="80">
        <v>16</v>
      </c>
      <c r="BS124" s="80">
        <v>-9984</v>
      </c>
      <c r="BT124" s="80">
        <v>7891</v>
      </c>
      <c r="BU124" s="80">
        <v>-10127</v>
      </c>
      <c r="BV124" s="80">
        <v>10629</v>
      </c>
      <c r="BW124" s="80">
        <v>20756</v>
      </c>
      <c r="BX124" s="81"/>
      <c r="BY124" s="80">
        <v>195528</v>
      </c>
      <c r="BZ124" s="80">
        <v>1750</v>
      </c>
      <c r="CA124" s="80">
        <v>351</v>
      </c>
      <c r="CB124" s="80">
        <v>1399</v>
      </c>
      <c r="CC124" s="80">
        <v>0</v>
      </c>
      <c r="CD124" s="80">
        <v>167118</v>
      </c>
      <c r="CE124" s="80">
        <v>26455</v>
      </c>
      <c r="CF124" s="80">
        <v>82645</v>
      </c>
      <c r="CG124" s="80">
        <v>49980</v>
      </c>
      <c r="CH124" s="80">
        <v>1634</v>
      </c>
      <c r="CI124" s="80">
        <v>6</v>
      </c>
      <c r="CJ124" s="80">
        <v>6</v>
      </c>
      <c r="CK124" s="80">
        <v>6398</v>
      </c>
      <c r="CL124" s="80">
        <v>26660</v>
      </c>
      <c r="CM124" s="80">
        <v>24972</v>
      </c>
      <c r="CN124" s="80">
        <v>13297</v>
      </c>
      <c r="CO124" s="80">
        <v>11675</v>
      </c>
      <c r="CP124" s="80">
        <v>0</v>
      </c>
      <c r="CQ124" s="80">
        <v>1154</v>
      </c>
      <c r="CR124" s="80">
        <v>0</v>
      </c>
      <c r="CS124" s="80">
        <v>0</v>
      </c>
      <c r="CT124" s="80">
        <v>1154</v>
      </c>
      <c r="CU124" s="80">
        <v>534</v>
      </c>
      <c r="CV124" s="80">
        <v>474</v>
      </c>
      <c r="CW124" s="80">
        <v>1</v>
      </c>
      <c r="CX124" s="80">
        <v>94</v>
      </c>
      <c r="CY124" s="80">
        <v>379</v>
      </c>
      <c r="CZ124" s="80">
        <v>30163</v>
      </c>
      <c r="DA124" s="80">
        <v>409</v>
      </c>
      <c r="DB124" s="80">
        <v>408</v>
      </c>
      <c r="DC124" s="80">
        <v>0</v>
      </c>
      <c r="DD124" s="80">
        <v>1</v>
      </c>
      <c r="DE124" s="80">
        <v>0</v>
      </c>
      <c r="DF124" s="80">
        <v>0</v>
      </c>
      <c r="DG124" s="80">
        <v>19125</v>
      </c>
      <c r="DH124" s="80">
        <v>286</v>
      </c>
      <c r="DI124" s="80">
        <v>0</v>
      </c>
      <c r="DJ124" s="80">
        <v>0</v>
      </c>
      <c r="DK124" s="80">
        <v>286</v>
      </c>
      <c r="DL124" s="80">
        <v>0</v>
      </c>
      <c r="DM124" s="80">
        <v>18839</v>
      </c>
      <c r="DN124" s="80">
        <v>8633</v>
      </c>
      <c r="DO124" s="80">
        <v>0</v>
      </c>
      <c r="DP124" s="80">
        <v>9661</v>
      </c>
      <c r="DQ124" s="80">
        <v>545</v>
      </c>
      <c r="DR124" s="80">
        <v>723</v>
      </c>
      <c r="DS124" s="80">
        <v>206</v>
      </c>
      <c r="DT124" s="80">
        <v>517</v>
      </c>
      <c r="DU124" s="80">
        <v>0</v>
      </c>
      <c r="DV124" s="80">
        <v>0</v>
      </c>
      <c r="DW124" s="80">
        <v>9906</v>
      </c>
      <c r="DX124" s="80">
        <v>226165</v>
      </c>
      <c r="DY124" s="80">
        <v>81162</v>
      </c>
      <c r="DZ124" s="80">
        <v>59990</v>
      </c>
      <c r="EA124" s="80">
        <v>566</v>
      </c>
      <c r="EB124" s="80">
        <v>0</v>
      </c>
      <c r="EC124" s="80">
        <v>21987</v>
      </c>
      <c r="ED124" s="80">
        <v>-1381</v>
      </c>
      <c r="EE124" s="80">
        <v>819</v>
      </c>
      <c r="EF124" s="80">
        <v>213</v>
      </c>
      <c r="EG124" s="80">
        <v>606</v>
      </c>
      <c r="EH124" s="80">
        <v>0</v>
      </c>
      <c r="EI124" s="80">
        <v>0</v>
      </c>
      <c r="EJ124" s="80">
        <v>0</v>
      </c>
      <c r="EK124" s="80">
        <v>3518</v>
      </c>
      <c r="EL124" s="80">
        <v>1</v>
      </c>
      <c r="EM124" s="80">
        <v>3130</v>
      </c>
      <c r="EN124" s="80">
        <v>387</v>
      </c>
      <c r="EO124" s="80">
        <v>140667</v>
      </c>
      <c r="EP124" s="80">
        <v>77150</v>
      </c>
      <c r="EQ124" s="80">
        <v>0</v>
      </c>
      <c r="ER124" s="80">
        <v>65046</v>
      </c>
      <c r="ES124" s="80">
        <v>0</v>
      </c>
      <c r="ET124" s="80">
        <v>65046</v>
      </c>
      <c r="EU124" s="80">
        <v>0</v>
      </c>
      <c r="EV124" s="80">
        <v>0</v>
      </c>
      <c r="EW124" s="80">
        <v>2033</v>
      </c>
      <c r="EX124" s="80">
        <v>0</v>
      </c>
      <c r="EY124" s="80">
        <v>0</v>
      </c>
      <c r="EZ124" s="80">
        <v>0</v>
      </c>
      <c r="FA124" s="80">
        <v>10071</v>
      </c>
      <c r="FB124" s="80">
        <v>0</v>
      </c>
      <c r="FC124" s="80">
        <v>0</v>
      </c>
      <c r="FD124" s="80">
        <v>63517</v>
      </c>
      <c r="FE124" s="80">
        <v>0</v>
      </c>
      <c r="FF124" s="80">
        <v>25301</v>
      </c>
      <c r="FG124" s="80">
        <v>14069</v>
      </c>
      <c r="FH124" s="80">
        <v>11232</v>
      </c>
      <c r="FI124" s="80">
        <v>0</v>
      </c>
      <c r="FJ124" s="80">
        <v>0</v>
      </c>
      <c r="FK124" s="80">
        <v>577</v>
      </c>
      <c r="FL124" s="80">
        <v>0</v>
      </c>
      <c r="FM124" s="80">
        <v>0</v>
      </c>
      <c r="FN124" s="80">
        <v>21719</v>
      </c>
      <c r="FO124" s="80">
        <v>1682</v>
      </c>
      <c r="FP124" s="80">
        <v>14238</v>
      </c>
      <c r="FQ124" s="80">
        <v>226166</v>
      </c>
      <c r="FR124" s="80">
        <v>98</v>
      </c>
      <c r="FS124" s="80">
        <v>9145</v>
      </c>
      <c r="FT124" s="100">
        <v>150031.02125863021</v>
      </c>
      <c r="FU124" s="100"/>
      <c r="FV124" s="100">
        <v>58187</v>
      </c>
      <c r="FW124" s="67">
        <v>12738</v>
      </c>
      <c r="FX124" s="100">
        <f t="shared" si="10"/>
        <v>-104376</v>
      </c>
      <c r="FY124" s="100">
        <f t="shared" si="11"/>
        <v>-173695</v>
      </c>
      <c r="FZ124" s="100">
        <v>99981.904785830207</v>
      </c>
      <c r="GA124" s="67">
        <v>69319</v>
      </c>
      <c r="GB124" s="58">
        <f t="shared" si="8"/>
        <v>11132</v>
      </c>
      <c r="GC124" s="67">
        <v>12953</v>
      </c>
      <c r="GD124" s="100">
        <v>17899</v>
      </c>
      <c r="GE124" s="100">
        <v>12788</v>
      </c>
      <c r="GF124" s="58">
        <f t="shared" si="9"/>
        <v>5111</v>
      </c>
      <c r="GG124" s="100">
        <v>-101370.54000000001</v>
      </c>
      <c r="GH124" s="100">
        <v>-2091.5791500000005</v>
      </c>
      <c r="GI124" s="100">
        <v>4622.1663747419034</v>
      </c>
      <c r="GJ124" s="67">
        <f t="shared" si="12"/>
        <v>215</v>
      </c>
      <c r="GK124" s="67"/>
      <c r="GM124" s="96"/>
    </row>
    <row r="125" spans="1:195" ht="13.5" customHeight="1" x14ac:dyDescent="0.2">
      <c r="A125" s="74">
        <v>312</v>
      </c>
      <c r="B125" s="75" t="s">
        <v>82</v>
      </c>
      <c r="C125" s="75" t="s">
        <v>82</v>
      </c>
      <c r="D125" s="76"/>
      <c r="E125" s="77" t="s">
        <v>231</v>
      </c>
      <c r="F125" s="78">
        <v>1</v>
      </c>
      <c r="G125" s="79">
        <v>1379</v>
      </c>
      <c r="H125" s="80">
        <v>1689</v>
      </c>
      <c r="I125" s="80">
        <v>645</v>
      </c>
      <c r="J125" s="80">
        <v>153</v>
      </c>
      <c r="K125" s="80">
        <v>95</v>
      </c>
      <c r="L125" s="80">
        <v>796</v>
      </c>
      <c r="M125" s="80">
        <v>0</v>
      </c>
      <c r="N125" s="80">
        <v>64</v>
      </c>
      <c r="O125" s="80">
        <v>10364</v>
      </c>
      <c r="P125" s="80">
        <v>2616</v>
      </c>
      <c r="Q125" s="80">
        <v>1989</v>
      </c>
      <c r="R125" s="80">
        <v>627</v>
      </c>
      <c r="S125" s="80">
        <v>549</v>
      </c>
      <c r="T125" s="80">
        <v>78</v>
      </c>
      <c r="U125" s="80">
        <v>6742</v>
      </c>
      <c r="V125" s="80">
        <v>607</v>
      </c>
      <c r="W125" s="80">
        <v>181</v>
      </c>
      <c r="X125" s="80">
        <v>218</v>
      </c>
      <c r="Y125" s="80">
        <v>-8611</v>
      </c>
      <c r="Z125" s="80">
        <v>4527</v>
      </c>
      <c r="AA125" s="80">
        <v>3519</v>
      </c>
      <c r="AB125" s="80">
        <v>723</v>
      </c>
      <c r="AC125" s="80">
        <v>285</v>
      </c>
      <c r="AD125" s="80">
        <v>4528</v>
      </c>
      <c r="AE125" s="80">
        <v>419</v>
      </c>
      <c r="AF125" s="80">
        <v>25</v>
      </c>
      <c r="AG125" s="80">
        <v>455</v>
      </c>
      <c r="AH125" s="80">
        <v>1</v>
      </c>
      <c r="AI125" s="80">
        <v>35</v>
      </c>
      <c r="AJ125" s="80">
        <v>26</v>
      </c>
      <c r="AK125" s="80">
        <v>863</v>
      </c>
      <c r="AL125" s="80">
        <v>523</v>
      </c>
      <c r="AM125" s="80">
        <v>523</v>
      </c>
      <c r="AN125" s="80">
        <v>0</v>
      </c>
      <c r="AO125" s="80">
        <v>0</v>
      </c>
      <c r="AP125" s="80">
        <v>0</v>
      </c>
      <c r="AQ125" s="80">
        <v>0</v>
      </c>
      <c r="AR125" s="80">
        <v>340</v>
      </c>
      <c r="AS125" s="80">
        <v>0</v>
      </c>
      <c r="AT125" s="80">
        <v>0</v>
      </c>
      <c r="AU125" s="80">
        <v>0</v>
      </c>
      <c r="AV125" s="80">
        <v>340</v>
      </c>
      <c r="AW125" s="81"/>
      <c r="AX125" s="80">
        <v>863</v>
      </c>
      <c r="AY125" s="80">
        <v>863</v>
      </c>
      <c r="AZ125" s="80">
        <v>0</v>
      </c>
      <c r="BA125" s="80">
        <v>0</v>
      </c>
      <c r="BB125" s="80">
        <v>-1335</v>
      </c>
      <c r="BC125" s="80">
        <v>1507</v>
      </c>
      <c r="BD125" s="80">
        <v>169</v>
      </c>
      <c r="BE125" s="80">
        <v>3</v>
      </c>
      <c r="BF125" s="80">
        <v>-472</v>
      </c>
      <c r="BG125" s="80">
        <v>1020</v>
      </c>
      <c r="BH125" s="80">
        <v>-17</v>
      </c>
      <c r="BI125" s="80">
        <v>60</v>
      </c>
      <c r="BJ125" s="80">
        <v>43</v>
      </c>
      <c r="BK125" s="80">
        <v>1210</v>
      </c>
      <c r="BL125" s="80">
        <v>1700</v>
      </c>
      <c r="BM125" s="80">
        <v>490</v>
      </c>
      <c r="BN125" s="80">
        <v>0</v>
      </c>
      <c r="BO125" s="80">
        <v>725</v>
      </c>
      <c r="BP125" s="80">
        <v>-898</v>
      </c>
      <c r="BQ125" s="80">
        <v>0</v>
      </c>
      <c r="BR125" s="80">
        <v>0</v>
      </c>
      <c r="BS125" s="80">
        <v>-1116</v>
      </c>
      <c r="BT125" s="80">
        <v>218</v>
      </c>
      <c r="BU125" s="80">
        <v>548</v>
      </c>
      <c r="BV125" s="80">
        <v>5305</v>
      </c>
      <c r="BW125" s="80">
        <v>4757</v>
      </c>
      <c r="BX125" s="81"/>
      <c r="BY125" s="80">
        <v>11889</v>
      </c>
      <c r="BZ125" s="80">
        <v>468</v>
      </c>
      <c r="CA125" s="80">
        <v>0</v>
      </c>
      <c r="CB125" s="80">
        <v>468</v>
      </c>
      <c r="CC125" s="80">
        <v>0</v>
      </c>
      <c r="CD125" s="80">
        <v>6446</v>
      </c>
      <c r="CE125" s="80">
        <v>1182</v>
      </c>
      <c r="CF125" s="80">
        <v>3834</v>
      </c>
      <c r="CG125" s="80">
        <v>1170</v>
      </c>
      <c r="CH125" s="80">
        <v>218</v>
      </c>
      <c r="CI125" s="80">
        <v>0</v>
      </c>
      <c r="CJ125" s="80">
        <v>0</v>
      </c>
      <c r="CK125" s="80">
        <v>42</v>
      </c>
      <c r="CL125" s="80">
        <v>4975</v>
      </c>
      <c r="CM125" s="80">
        <v>4174</v>
      </c>
      <c r="CN125" s="80">
        <v>422</v>
      </c>
      <c r="CO125" s="80">
        <v>3752</v>
      </c>
      <c r="CP125" s="80">
        <v>0</v>
      </c>
      <c r="CQ125" s="80">
        <v>801</v>
      </c>
      <c r="CR125" s="80">
        <v>0</v>
      </c>
      <c r="CS125" s="80">
        <v>0</v>
      </c>
      <c r="CT125" s="80">
        <v>801</v>
      </c>
      <c r="CU125" s="80">
        <v>0</v>
      </c>
      <c r="CV125" s="80">
        <v>9</v>
      </c>
      <c r="CW125" s="80">
        <v>6</v>
      </c>
      <c r="CX125" s="80">
        <v>0</v>
      </c>
      <c r="CY125" s="80">
        <v>3</v>
      </c>
      <c r="CZ125" s="80">
        <v>6700</v>
      </c>
      <c r="DA125" s="80">
        <v>0</v>
      </c>
      <c r="DB125" s="80">
        <v>0</v>
      </c>
      <c r="DC125" s="80">
        <v>0</v>
      </c>
      <c r="DD125" s="80">
        <v>0</v>
      </c>
      <c r="DE125" s="80">
        <v>0</v>
      </c>
      <c r="DF125" s="80">
        <v>0</v>
      </c>
      <c r="DG125" s="80">
        <v>1395</v>
      </c>
      <c r="DH125" s="80">
        <v>0</v>
      </c>
      <c r="DI125" s="80">
        <v>0</v>
      </c>
      <c r="DJ125" s="80">
        <v>0</v>
      </c>
      <c r="DK125" s="80">
        <v>0</v>
      </c>
      <c r="DL125" s="80">
        <v>0</v>
      </c>
      <c r="DM125" s="80">
        <v>1395</v>
      </c>
      <c r="DN125" s="80">
        <v>206</v>
      </c>
      <c r="DO125" s="80">
        <v>0</v>
      </c>
      <c r="DP125" s="80">
        <v>1186</v>
      </c>
      <c r="DQ125" s="80">
        <v>3</v>
      </c>
      <c r="DR125" s="80">
        <v>5143</v>
      </c>
      <c r="DS125" s="80">
        <v>4846</v>
      </c>
      <c r="DT125" s="80">
        <v>0</v>
      </c>
      <c r="DU125" s="80">
        <v>297</v>
      </c>
      <c r="DV125" s="80">
        <v>0</v>
      </c>
      <c r="DW125" s="80">
        <v>162</v>
      </c>
      <c r="DX125" s="80">
        <v>18598</v>
      </c>
      <c r="DY125" s="80">
        <v>7495</v>
      </c>
      <c r="DZ125" s="80">
        <v>5471</v>
      </c>
      <c r="EA125" s="80">
        <v>0</v>
      </c>
      <c r="EB125" s="80">
        <v>16</v>
      </c>
      <c r="EC125" s="80">
        <v>1668</v>
      </c>
      <c r="ED125" s="80">
        <v>340</v>
      </c>
      <c r="EE125" s="80">
        <v>0</v>
      </c>
      <c r="EF125" s="80">
        <v>0</v>
      </c>
      <c r="EG125" s="80">
        <v>0</v>
      </c>
      <c r="EH125" s="80">
        <v>0</v>
      </c>
      <c r="EI125" s="80">
        <v>0</v>
      </c>
      <c r="EJ125" s="80">
        <v>0</v>
      </c>
      <c r="EK125" s="80">
        <v>11</v>
      </c>
      <c r="EL125" s="80">
        <v>8</v>
      </c>
      <c r="EM125" s="80">
        <v>3</v>
      </c>
      <c r="EN125" s="80">
        <v>0</v>
      </c>
      <c r="EO125" s="80">
        <v>11092</v>
      </c>
      <c r="EP125" s="80">
        <v>9822</v>
      </c>
      <c r="EQ125" s="80">
        <v>0</v>
      </c>
      <c r="ER125" s="80">
        <v>9770</v>
      </c>
      <c r="ES125" s="80">
        <v>0</v>
      </c>
      <c r="ET125" s="80">
        <v>9770</v>
      </c>
      <c r="EU125" s="80">
        <v>0</v>
      </c>
      <c r="EV125" s="80">
        <v>0</v>
      </c>
      <c r="EW125" s="80">
        <v>52</v>
      </c>
      <c r="EX125" s="80">
        <v>0</v>
      </c>
      <c r="EY125" s="80">
        <v>0</v>
      </c>
      <c r="EZ125" s="80">
        <v>0</v>
      </c>
      <c r="FA125" s="80">
        <v>0</v>
      </c>
      <c r="FB125" s="80">
        <v>0</v>
      </c>
      <c r="FC125" s="80">
        <v>0</v>
      </c>
      <c r="FD125" s="80">
        <v>1270</v>
      </c>
      <c r="FE125" s="80">
        <v>0</v>
      </c>
      <c r="FF125" s="80">
        <v>330</v>
      </c>
      <c r="FG125" s="80">
        <v>0</v>
      </c>
      <c r="FH125" s="80">
        <v>330</v>
      </c>
      <c r="FI125" s="80">
        <v>0</v>
      </c>
      <c r="FJ125" s="80">
        <v>0</v>
      </c>
      <c r="FK125" s="80">
        <v>0</v>
      </c>
      <c r="FL125" s="80">
        <v>0</v>
      </c>
      <c r="FM125" s="80">
        <v>0</v>
      </c>
      <c r="FN125" s="80">
        <v>569</v>
      </c>
      <c r="FO125" s="80">
        <v>52</v>
      </c>
      <c r="FP125" s="80">
        <v>319</v>
      </c>
      <c r="FQ125" s="80">
        <v>18598</v>
      </c>
      <c r="FR125" s="80">
        <v>3019</v>
      </c>
      <c r="FS125" s="80">
        <v>2414</v>
      </c>
      <c r="FT125" s="100">
        <v>5151.4999690300083</v>
      </c>
      <c r="FU125" s="100"/>
      <c r="FV125" s="100">
        <v>2550</v>
      </c>
      <c r="FW125" s="67">
        <v>523</v>
      </c>
      <c r="FX125" s="100">
        <f t="shared" si="10"/>
        <v>-5519</v>
      </c>
      <c r="FY125" s="100">
        <f t="shared" si="11"/>
        <v>-8088</v>
      </c>
      <c r="FZ125" s="100">
        <v>5638.9082837829865</v>
      </c>
      <c r="GA125" s="67">
        <v>2569</v>
      </c>
      <c r="GB125" s="58">
        <f t="shared" si="8"/>
        <v>19</v>
      </c>
      <c r="GC125" s="67">
        <v>523</v>
      </c>
      <c r="GD125" s="100">
        <v>153</v>
      </c>
      <c r="GE125" s="100">
        <v>150</v>
      </c>
      <c r="GF125" s="58">
        <f t="shared" si="9"/>
        <v>3</v>
      </c>
      <c r="GG125" s="100">
        <v>-2014.0160000000003</v>
      </c>
      <c r="GH125" s="100">
        <v>-170.07715000000002</v>
      </c>
      <c r="GI125" s="100">
        <v>-3526.2557780543211</v>
      </c>
      <c r="GJ125" s="67">
        <f t="shared" si="12"/>
        <v>0</v>
      </c>
      <c r="GK125" s="67"/>
      <c r="GM125" s="96"/>
    </row>
    <row r="126" spans="1:195" ht="13.5" customHeight="1" x14ac:dyDescent="0.2">
      <c r="A126" s="74">
        <v>316</v>
      </c>
      <c r="B126" s="75" t="s">
        <v>83</v>
      </c>
      <c r="C126" s="75" t="s">
        <v>83</v>
      </c>
      <c r="D126" s="76"/>
      <c r="E126" s="77" t="s">
        <v>217</v>
      </c>
      <c r="F126" s="78">
        <v>2</v>
      </c>
      <c r="G126" s="79">
        <v>4604</v>
      </c>
      <c r="H126" s="80">
        <v>4441</v>
      </c>
      <c r="I126" s="80">
        <v>1816</v>
      </c>
      <c r="J126" s="80">
        <v>59</v>
      </c>
      <c r="K126" s="80">
        <v>255</v>
      </c>
      <c r="L126" s="80">
        <v>2311</v>
      </c>
      <c r="M126" s="80">
        <v>0</v>
      </c>
      <c r="N126" s="80">
        <v>0</v>
      </c>
      <c r="O126" s="80">
        <v>28280</v>
      </c>
      <c r="P126" s="80">
        <v>2242</v>
      </c>
      <c r="Q126" s="80">
        <v>1485</v>
      </c>
      <c r="R126" s="80">
        <v>757</v>
      </c>
      <c r="S126" s="80">
        <v>712</v>
      </c>
      <c r="T126" s="80">
        <v>45</v>
      </c>
      <c r="U126" s="80">
        <v>24532</v>
      </c>
      <c r="V126" s="80">
        <v>995</v>
      </c>
      <c r="W126" s="80">
        <v>291</v>
      </c>
      <c r="X126" s="80">
        <v>220</v>
      </c>
      <c r="Y126" s="80">
        <v>-23839</v>
      </c>
      <c r="Z126" s="80">
        <v>16170</v>
      </c>
      <c r="AA126" s="80">
        <v>14315</v>
      </c>
      <c r="AB126" s="80">
        <v>627</v>
      </c>
      <c r="AC126" s="80">
        <v>1228</v>
      </c>
      <c r="AD126" s="80">
        <v>7954</v>
      </c>
      <c r="AE126" s="80">
        <v>-138</v>
      </c>
      <c r="AF126" s="80">
        <v>16</v>
      </c>
      <c r="AG126" s="80">
        <v>17</v>
      </c>
      <c r="AH126" s="80">
        <v>12</v>
      </c>
      <c r="AI126" s="80">
        <v>96</v>
      </c>
      <c r="AJ126" s="80">
        <v>75</v>
      </c>
      <c r="AK126" s="80">
        <v>147</v>
      </c>
      <c r="AL126" s="80">
        <v>1304</v>
      </c>
      <c r="AM126" s="80">
        <v>1304</v>
      </c>
      <c r="AN126" s="80">
        <v>0</v>
      </c>
      <c r="AO126" s="80">
        <v>0</v>
      </c>
      <c r="AP126" s="80">
        <v>0</v>
      </c>
      <c r="AQ126" s="80">
        <v>0</v>
      </c>
      <c r="AR126" s="80">
        <v>-1157</v>
      </c>
      <c r="AS126" s="80">
        <v>0</v>
      </c>
      <c r="AT126" s="80">
        <v>0</v>
      </c>
      <c r="AU126" s="80">
        <v>0</v>
      </c>
      <c r="AV126" s="80">
        <v>-1157</v>
      </c>
      <c r="AW126" s="81"/>
      <c r="AX126" s="80">
        <v>156</v>
      </c>
      <c r="AY126" s="80">
        <v>147</v>
      </c>
      <c r="AZ126" s="80">
        <v>0</v>
      </c>
      <c r="BA126" s="80">
        <v>9</v>
      </c>
      <c r="BB126" s="80">
        <v>-1572</v>
      </c>
      <c r="BC126" s="80">
        <v>1955</v>
      </c>
      <c r="BD126" s="80">
        <v>378</v>
      </c>
      <c r="BE126" s="80">
        <v>5</v>
      </c>
      <c r="BF126" s="80">
        <v>-1416</v>
      </c>
      <c r="BG126" s="80">
        <v>1777</v>
      </c>
      <c r="BH126" s="80">
        <v>199</v>
      </c>
      <c r="BI126" s="80">
        <v>3552</v>
      </c>
      <c r="BJ126" s="80">
        <v>3751</v>
      </c>
      <c r="BK126" s="80">
        <v>1902</v>
      </c>
      <c r="BL126" s="80">
        <v>0</v>
      </c>
      <c r="BM126" s="80">
        <v>598</v>
      </c>
      <c r="BN126" s="80">
        <v>2500</v>
      </c>
      <c r="BO126" s="80">
        <v>0</v>
      </c>
      <c r="BP126" s="80">
        <v>-324</v>
      </c>
      <c r="BQ126" s="80">
        <v>-18</v>
      </c>
      <c r="BR126" s="80">
        <v>0</v>
      </c>
      <c r="BS126" s="80">
        <v>238</v>
      </c>
      <c r="BT126" s="80">
        <v>-544</v>
      </c>
      <c r="BU126" s="80">
        <v>359</v>
      </c>
      <c r="BV126" s="80">
        <v>1111</v>
      </c>
      <c r="BW126" s="80">
        <v>752</v>
      </c>
      <c r="BX126" s="81"/>
      <c r="BY126" s="80">
        <v>25364</v>
      </c>
      <c r="BZ126" s="80">
        <v>773</v>
      </c>
      <c r="CA126" s="80">
        <v>0</v>
      </c>
      <c r="CB126" s="80">
        <v>773</v>
      </c>
      <c r="CC126" s="80">
        <v>0</v>
      </c>
      <c r="CD126" s="80">
        <v>17023</v>
      </c>
      <c r="CE126" s="80">
        <v>864</v>
      </c>
      <c r="CF126" s="80">
        <v>8532</v>
      </c>
      <c r="CG126" s="80">
        <v>7542</v>
      </c>
      <c r="CH126" s="80">
        <v>65</v>
      </c>
      <c r="CI126" s="80">
        <v>1</v>
      </c>
      <c r="CJ126" s="80">
        <v>1</v>
      </c>
      <c r="CK126" s="80">
        <v>19</v>
      </c>
      <c r="CL126" s="80">
        <v>7568</v>
      </c>
      <c r="CM126" s="80">
        <v>3263</v>
      </c>
      <c r="CN126" s="80">
        <v>2398</v>
      </c>
      <c r="CO126" s="80">
        <v>865</v>
      </c>
      <c r="CP126" s="80">
        <v>0</v>
      </c>
      <c r="CQ126" s="80">
        <v>4305</v>
      </c>
      <c r="CR126" s="80">
        <v>0</v>
      </c>
      <c r="CS126" s="80">
        <v>0</v>
      </c>
      <c r="CT126" s="80">
        <v>4305</v>
      </c>
      <c r="CU126" s="80">
        <v>0</v>
      </c>
      <c r="CV126" s="80">
        <v>58</v>
      </c>
      <c r="CW126" s="80">
        <v>0</v>
      </c>
      <c r="CX126" s="80">
        <v>58</v>
      </c>
      <c r="CY126" s="80">
        <v>0</v>
      </c>
      <c r="CZ126" s="80">
        <v>2150</v>
      </c>
      <c r="DA126" s="80">
        <v>0</v>
      </c>
      <c r="DB126" s="80">
        <v>0</v>
      </c>
      <c r="DC126" s="80">
        <v>0</v>
      </c>
      <c r="DD126" s="80">
        <v>0</v>
      </c>
      <c r="DE126" s="80">
        <v>0</v>
      </c>
      <c r="DF126" s="80">
        <v>0</v>
      </c>
      <c r="DG126" s="80">
        <v>1039</v>
      </c>
      <c r="DH126" s="80">
        <v>0</v>
      </c>
      <c r="DI126" s="80">
        <v>0</v>
      </c>
      <c r="DJ126" s="80">
        <v>0</v>
      </c>
      <c r="DK126" s="80">
        <v>0</v>
      </c>
      <c r="DL126" s="80">
        <v>0</v>
      </c>
      <c r="DM126" s="80">
        <v>1039</v>
      </c>
      <c r="DN126" s="80">
        <v>249</v>
      </c>
      <c r="DO126" s="80">
        <v>0</v>
      </c>
      <c r="DP126" s="80">
        <v>3</v>
      </c>
      <c r="DQ126" s="80">
        <v>787</v>
      </c>
      <c r="DR126" s="80">
        <v>0</v>
      </c>
      <c r="DS126" s="80">
        <v>0</v>
      </c>
      <c r="DT126" s="80">
        <v>0</v>
      </c>
      <c r="DU126" s="80">
        <v>0</v>
      </c>
      <c r="DV126" s="80">
        <v>0</v>
      </c>
      <c r="DW126" s="80">
        <v>1111</v>
      </c>
      <c r="DX126" s="80">
        <v>27572</v>
      </c>
      <c r="DY126" s="80">
        <v>9013</v>
      </c>
      <c r="DZ126" s="80">
        <v>10469</v>
      </c>
      <c r="EA126" s="80">
        <v>0</v>
      </c>
      <c r="EB126" s="80">
        <v>0</v>
      </c>
      <c r="EC126" s="80">
        <v>-299</v>
      </c>
      <c r="ED126" s="80">
        <v>-1157</v>
      </c>
      <c r="EE126" s="80">
        <v>0</v>
      </c>
      <c r="EF126" s="80">
        <v>0</v>
      </c>
      <c r="EG126" s="80">
        <v>0</v>
      </c>
      <c r="EH126" s="80">
        <v>0</v>
      </c>
      <c r="EI126" s="80">
        <v>0</v>
      </c>
      <c r="EJ126" s="80">
        <v>0</v>
      </c>
      <c r="EK126" s="80">
        <v>598</v>
      </c>
      <c r="EL126" s="80">
        <v>0</v>
      </c>
      <c r="EM126" s="80">
        <v>598</v>
      </c>
      <c r="EN126" s="80">
        <v>0</v>
      </c>
      <c r="EO126" s="80">
        <v>17961</v>
      </c>
      <c r="EP126" s="80">
        <v>10424</v>
      </c>
      <c r="EQ126" s="80">
        <v>0</v>
      </c>
      <c r="ER126" s="80">
        <v>9489</v>
      </c>
      <c r="ES126" s="80">
        <v>1543</v>
      </c>
      <c r="ET126" s="80">
        <v>7946</v>
      </c>
      <c r="EU126" s="80">
        <v>0</v>
      </c>
      <c r="EV126" s="80">
        <v>0</v>
      </c>
      <c r="EW126" s="80">
        <v>0</v>
      </c>
      <c r="EX126" s="80">
        <v>0</v>
      </c>
      <c r="EY126" s="80">
        <v>6</v>
      </c>
      <c r="EZ126" s="80">
        <v>0</v>
      </c>
      <c r="FA126" s="80">
        <v>730</v>
      </c>
      <c r="FB126" s="80">
        <v>0</v>
      </c>
      <c r="FC126" s="80">
        <v>199</v>
      </c>
      <c r="FD126" s="80">
        <v>7537</v>
      </c>
      <c r="FE126" s="80">
        <v>0</v>
      </c>
      <c r="FF126" s="80">
        <v>6598</v>
      </c>
      <c r="FG126" s="80">
        <v>598</v>
      </c>
      <c r="FH126" s="80">
        <v>6000</v>
      </c>
      <c r="FI126" s="80">
        <v>0</v>
      </c>
      <c r="FJ126" s="80">
        <v>0</v>
      </c>
      <c r="FK126" s="80">
        <v>0</v>
      </c>
      <c r="FL126" s="80">
        <v>0</v>
      </c>
      <c r="FM126" s="80">
        <v>9</v>
      </c>
      <c r="FN126" s="80">
        <v>336</v>
      </c>
      <c r="FO126" s="80">
        <v>106</v>
      </c>
      <c r="FP126" s="80">
        <v>488</v>
      </c>
      <c r="FQ126" s="80">
        <v>27572</v>
      </c>
      <c r="FR126" s="80">
        <v>0</v>
      </c>
      <c r="FS126" s="80">
        <v>2187</v>
      </c>
      <c r="FT126" s="100">
        <v>13266.703665611458</v>
      </c>
      <c r="FU126" s="100"/>
      <c r="FV126" s="100">
        <v>5414</v>
      </c>
      <c r="FW126" s="67">
        <v>1304</v>
      </c>
      <c r="FX126" s="100">
        <f t="shared" si="10"/>
        <v>-16908</v>
      </c>
      <c r="FY126" s="100">
        <f t="shared" si="11"/>
        <v>-22535</v>
      </c>
      <c r="FZ126" s="100">
        <v>15713.869204116179</v>
      </c>
      <c r="GA126" s="67">
        <v>5627</v>
      </c>
      <c r="GB126" s="58">
        <f t="shared" si="8"/>
        <v>213</v>
      </c>
      <c r="GC126" s="67">
        <v>1304</v>
      </c>
      <c r="GD126" s="100">
        <v>60</v>
      </c>
      <c r="GE126" s="100">
        <v>60</v>
      </c>
      <c r="GF126" s="58">
        <f t="shared" si="9"/>
        <v>0</v>
      </c>
      <c r="GG126" s="100">
        <v>-8015.8289999999997</v>
      </c>
      <c r="GH126" s="100">
        <v>-204.78250000000011</v>
      </c>
      <c r="GI126" s="100">
        <v>-7605.6662866102533</v>
      </c>
      <c r="GJ126" s="67">
        <f t="shared" si="12"/>
        <v>0</v>
      </c>
      <c r="GK126" s="67"/>
      <c r="GM126" s="96"/>
    </row>
    <row r="127" spans="1:195" ht="13.5" customHeight="1" x14ac:dyDescent="0.2">
      <c r="A127" s="74">
        <v>317</v>
      </c>
      <c r="B127" s="75" t="s">
        <v>84</v>
      </c>
      <c r="C127" s="75" t="s">
        <v>84</v>
      </c>
      <c r="D127" s="76"/>
      <c r="E127" s="77" t="s">
        <v>216</v>
      </c>
      <c r="F127" s="78">
        <v>2</v>
      </c>
      <c r="G127" s="79">
        <v>2658</v>
      </c>
      <c r="H127" s="80">
        <v>2571</v>
      </c>
      <c r="I127" s="80">
        <v>656</v>
      </c>
      <c r="J127" s="80">
        <v>1519</v>
      </c>
      <c r="K127" s="80">
        <v>160</v>
      </c>
      <c r="L127" s="80">
        <v>236</v>
      </c>
      <c r="M127" s="80">
        <v>0</v>
      </c>
      <c r="N127" s="80">
        <v>0</v>
      </c>
      <c r="O127" s="80">
        <v>19759</v>
      </c>
      <c r="P127" s="80">
        <v>6284</v>
      </c>
      <c r="Q127" s="80">
        <v>4698</v>
      </c>
      <c r="R127" s="80">
        <v>1586</v>
      </c>
      <c r="S127" s="80">
        <v>1380</v>
      </c>
      <c r="T127" s="80">
        <v>206</v>
      </c>
      <c r="U127" s="80">
        <v>11569</v>
      </c>
      <c r="V127" s="80">
        <v>748</v>
      </c>
      <c r="W127" s="80">
        <v>723</v>
      </c>
      <c r="X127" s="80">
        <v>435</v>
      </c>
      <c r="Y127" s="80">
        <v>-17188</v>
      </c>
      <c r="Z127" s="80">
        <v>7215</v>
      </c>
      <c r="AA127" s="80">
        <v>6235</v>
      </c>
      <c r="AB127" s="80">
        <v>476</v>
      </c>
      <c r="AC127" s="80">
        <v>504</v>
      </c>
      <c r="AD127" s="80">
        <v>10794</v>
      </c>
      <c r="AE127" s="80">
        <v>220</v>
      </c>
      <c r="AF127" s="80">
        <v>1</v>
      </c>
      <c r="AG127" s="80">
        <v>383</v>
      </c>
      <c r="AH127" s="80">
        <v>1</v>
      </c>
      <c r="AI127" s="80">
        <v>101</v>
      </c>
      <c r="AJ127" s="80">
        <v>63</v>
      </c>
      <c r="AK127" s="80">
        <v>1041</v>
      </c>
      <c r="AL127" s="80">
        <v>513</v>
      </c>
      <c r="AM127" s="80">
        <v>513</v>
      </c>
      <c r="AN127" s="80">
        <v>0</v>
      </c>
      <c r="AO127" s="80">
        <v>0</v>
      </c>
      <c r="AP127" s="80">
        <v>0</v>
      </c>
      <c r="AQ127" s="80">
        <v>0</v>
      </c>
      <c r="AR127" s="80">
        <v>528</v>
      </c>
      <c r="AS127" s="80">
        <v>0</v>
      </c>
      <c r="AT127" s="80">
        <v>55</v>
      </c>
      <c r="AU127" s="80">
        <v>0</v>
      </c>
      <c r="AV127" s="80">
        <v>583</v>
      </c>
      <c r="AW127" s="81"/>
      <c r="AX127" s="80">
        <v>1041</v>
      </c>
      <c r="AY127" s="80">
        <v>1041</v>
      </c>
      <c r="AZ127" s="80">
        <v>0</v>
      </c>
      <c r="BA127" s="80">
        <v>0</v>
      </c>
      <c r="BB127" s="80">
        <v>-741</v>
      </c>
      <c r="BC127" s="80">
        <v>1076</v>
      </c>
      <c r="BD127" s="80">
        <v>335</v>
      </c>
      <c r="BE127" s="80">
        <v>0</v>
      </c>
      <c r="BF127" s="80">
        <v>300</v>
      </c>
      <c r="BG127" s="80">
        <v>963</v>
      </c>
      <c r="BH127" s="80">
        <v>-120</v>
      </c>
      <c r="BI127" s="80">
        <v>120</v>
      </c>
      <c r="BJ127" s="80">
        <v>0</v>
      </c>
      <c r="BK127" s="80">
        <v>83</v>
      </c>
      <c r="BL127" s="80">
        <v>2400</v>
      </c>
      <c r="BM127" s="80">
        <v>1117</v>
      </c>
      <c r="BN127" s="80">
        <v>-1200</v>
      </c>
      <c r="BO127" s="80">
        <v>0</v>
      </c>
      <c r="BP127" s="80">
        <v>1000</v>
      </c>
      <c r="BQ127" s="80">
        <v>-1</v>
      </c>
      <c r="BR127" s="80">
        <v>0</v>
      </c>
      <c r="BS127" s="80">
        <v>-75</v>
      </c>
      <c r="BT127" s="80">
        <v>1076</v>
      </c>
      <c r="BU127" s="80">
        <v>1263</v>
      </c>
      <c r="BV127" s="80">
        <v>8746</v>
      </c>
      <c r="BW127" s="80">
        <v>7483</v>
      </c>
      <c r="BX127" s="81"/>
      <c r="BY127" s="80">
        <v>16871</v>
      </c>
      <c r="BZ127" s="80">
        <v>766</v>
      </c>
      <c r="CA127" s="80">
        <v>22</v>
      </c>
      <c r="CB127" s="80">
        <v>744</v>
      </c>
      <c r="CC127" s="80">
        <v>0</v>
      </c>
      <c r="CD127" s="80">
        <v>11814</v>
      </c>
      <c r="CE127" s="80">
        <v>1681</v>
      </c>
      <c r="CF127" s="80">
        <v>9254</v>
      </c>
      <c r="CG127" s="80">
        <v>825</v>
      </c>
      <c r="CH127" s="80">
        <v>40</v>
      </c>
      <c r="CI127" s="80">
        <v>0</v>
      </c>
      <c r="CJ127" s="80">
        <v>0</v>
      </c>
      <c r="CK127" s="80">
        <v>14</v>
      </c>
      <c r="CL127" s="80">
        <v>4291</v>
      </c>
      <c r="CM127" s="80">
        <v>3621</v>
      </c>
      <c r="CN127" s="80">
        <v>1722</v>
      </c>
      <c r="CO127" s="80">
        <v>1899</v>
      </c>
      <c r="CP127" s="80">
        <v>0</v>
      </c>
      <c r="CQ127" s="80">
        <v>540</v>
      </c>
      <c r="CR127" s="80">
        <v>0</v>
      </c>
      <c r="CS127" s="80">
        <v>0</v>
      </c>
      <c r="CT127" s="80">
        <v>540</v>
      </c>
      <c r="CU127" s="80">
        <v>130</v>
      </c>
      <c r="CV127" s="80">
        <v>27</v>
      </c>
      <c r="CW127" s="80">
        <v>26</v>
      </c>
      <c r="CX127" s="80">
        <v>1</v>
      </c>
      <c r="CY127" s="80">
        <v>0</v>
      </c>
      <c r="CZ127" s="80">
        <v>9985</v>
      </c>
      <c r="DA127" s="80">
        <v>0</v>
      </c>
      <c r="DB127" s="80">
        <v>0</v>
      </c>
      <c r="DC127" s="80">
        <v>0</v>
      </c>
      <c r="DD127" s="80">
        <v>0</v>
      </c>
      <c r="DE127" s="80">
        <v>0</v>
      </c>
      <c r="DF127" s="80">
        <v>0</v>
      </c>
      <c r="DG127" s="80">
        <v>1239</v>
      </c>
      <c r="DH127" s="80">
        <v>21</v>
      </c>
      <c r="DI127" s="80">
        <v>21</v>
      </c>
      <c r="DJ127" s="80">
        <v>0</v>
      </c>
      <c r="DK127" s="80">
        <v>0</v>
      </c>
      <c r="DL127" s="80">
        <v>0</v>
      </c>
      <c r="DM127" s="80">
        <v>1218</v>
      </c>
      <c r="DN127" s="80">
        <v>820</v>
      </c>
      <c r="DO127" s="80">
        <v>0</v>
      </c>
      <c r="DP127" s="80">
        <v>127</v>
      </c>
      <c r="DQ127" s="80">
        <v>271</v>
      </c>
      <c r="DR127" s="80">
        <v>8607</v>
      </c>
      <c r="DS127" s="80">
        <v>0</v>
      </c>
      <c r="DT127" s="80">
        <v>0</v>
      </c>
      <c r="DU127" s="80">
        <v>0</v>
      </c>
      <c r="DV127" s="80">
        <v>8607</v>
      </c>
      <c r="DW127" s="80">
        <v>139</v>
      </c>
      <c r="DX127" s="80">
        <v>26883</v>
      </c>
      <c r="DY127" s="80">
        <v>9266</v>
      </c>
      <c r="DZ127" s="80">
        <v>5734</v>
      </c>
      <c r="EA127" s="80">
        <v>313</v>
      </c>
      <c r="EB127" s="80">
        <v>0</v>
      </c>
      <c r="EC127" s="80">
        <v>2636</v>
      </c>
      <c r="ED127" s="80">
        <v>583</v>
      </c>
      <c r="EE127" s="80">
        <v>1684</v>
      </c>
      <c r="EF127" s="80">
        <v>1684</v>
      </c>
      <c r="EG127" s="80">
        <v>0</v>
      </c>
      <c r="EH127" s="80">
        <v>0</v>
      </c>
      <c r="EI127" s="80">
        <v>0</v>
      </c>
      <c r="EJ127" s="80">
        <v>0</v>
      </c>
      <c r="EK127" s="80">
        <v>96</v>
      </c>
      <c r="EL127" s="80">
        <v>0</v>
      </c>
      <c r="EM127" s="80">
        <v>96</v>
      </c>
      <c r="EN127" s="80">
        <v>0</v>
      </c>
      <c r="EO127" s="80">
        <v>15838</v>
      </c>
      <c r="EP127" s="80">
        <v>10616</v>
      </c>
      <c r="EQ127" s="80">
        <v>0</v>
      </c>
      <c r="ER127" s="80">
        <v>10166</v>
      </c>
      <c r="ES127" s="80">
        <v>1000</v>
      </c>
      <c r="ET127" s="80">
        <v>9166</v>
      </c>
      <c r="EU127" s="80">
        <v>0</v>
      </c>
      <c r="EV127" s="80">
        <v>0</v>
      </c>
      <c r="EW127" s="80">
        <v>50</v>
      </c>
      <c r="EX127" s="80">
        <v>400</v>
      </c>
      <c r="EY127" s="80">
        <v>0</v>
      </c>
      <c r="EZ127" s="80">
        <v>0</v>
      </c>
      <c r="FA127" s="80">
        <v>0</v>
      </c>
      <c r="FB127" s="80">
        <v>0</v>
      </c>
      <c r="FC127" s="80">
        <v>0</v>
      </c>
      <c r="FD127" s="80">
        <v>5222</v>
      </c>
      <c r="FE127" s="80">
        <v>0</v>
      </c>
      <c r="FF127" s="80">
        <v>2114</v>
      </c>
      <c r="FG127" s="80">
        <v>250</v>
      </c>
      <c r="FH127" s="80">
        <v>1864</v>
      </c>
      <c r="FI127" s="80">
        <v>0</v>
      </c>
      <c r="FJ127" s="80">
        <v>0</v>
      </c>
      <c r="FK127" s="80">
        <v>180</v>
      </c>
      <c r="FL127" s="80">
        <v>0</v>
      </c>
      <c r="FM127" s="80">
        <v>0</v>
      </c>
      <c r="FN127" s="80">
        <v>1800</v>
      </c>
      <c r="FO127" s="80">
        <v>196</v>
      </c>
      <c r="FP127" s="80">
        <v>932</v>
      </c>
      <c r="FQ127" s="80">
        <v>26884</v>
      </c>
      <c r="FR127" s="80">
        <v>4085</v>
      </c>
      <c r="FS127" s="80">
        <v>2943</v>
      </c>
      <c r="FT127" s="100">
        <v>9628.6754062652981</v>
      </c>
      <c r="FU127" s="100"/>
      <c r="FV127" s="100">
        <v>2224</v>
      </c>
      <c r="FW127" s="67">
        <v>495</v>
      </c>
      <c r="FX127" s="100">
        <f t="shared" si="10"/>
        <v>-12808</v>
      </c>
      <c r="FY127" s="100">
        <f t="shared" si="11"/>
        <v>-16675</v>
      </c>
      <c r="FZ127" s="100">
        <v>9871.2506535338161</v>
      </c>
      <c r="GA127" s="67">
        <v>3867</v>
      </c>
      <c r="GB127" s="58">
        <f t="shared" si="8"/>
        <v>1643</v>
      </c>
      <c r="GC127" s="67">
        <v>506</v>
      </c>
      <c r="GD127" s="100">
        <v>1517</v>
      </c>
      <c r="GE127" s="100">
        <v>199</v>
      </c>
      <c r="GF127" s="58">
        <f t="shared" si="9"/>
        <v>1318</v>
      </c>
      <c r="GG127" s="100">
        <v>-3377.2460000000001</v>
      </c>
      <c r="GH127" s="100">
        <v>-166.68125000000006</v>
      </c>
      <c r="GI127" s="100">
        <v>-6465.1265151605339</v>
      </c>
      <c r="GJ127" s="67">
        <f t="shared" si="12"/>
        <v>11</v>
      </c>
      <c r="GK127" s="67"/>
      <c r="GM127" s="96"/>
    </row>
    <row r="128" spans="1:195" ht="13.5" customHeight="1" x14ac:dyDescent="0.2">
      <c r="A128" s="74">
        <v>398</v>
      </c>
      <c r="B128" s="75" t="s">
        <v>268</v>
      </c>
      <c r="C128" s="82" t="s">
        <v>268</v>
      </c>
      <c r="D128" s="76">
        <v>3</v>
      </c>
      <c r="E128" s="77" t="s">
        <v>217</v>
      </c>
      <c r="F128" s="78">
        <v>7</v>
      </c>
      <c r="G128" s="79">
        <v>118743</v>
      </c>
      <c r="H128" s="79">
        <v>132977</v>
      </c>
      <c r="I128" s="79">
        <v>36607</v>
      </c>
      <c r="J128" s="79">
        <v>40390</v>
      </c>
      <c r="K128" s="79">
        <v>19263</v>
      </c>
      <c r="L128" s="79">
        <v>36717</v>
      </c>
      <c r="M128" s="79">
        <v>0</v>
      </c>
      <c r="N128" s="79">
        <v>530</v>
      </c>
      <c r="O128" s="79">
        <v>731130</v>
      </c>
      <c r="P128" s="79">
        <v>290548</v>
      </c>
      <c r="Q128" s="79">
        <v>216945</v>
      </c>
      <c r="R128" s="79">
        <v>73603</v>
      </c>
      <c r="S128" s="79">
        <v>60441</v>
      </c>
      <c r="T128" s="79">
        <v>13162</v>
      </c>
      <c r="U128" s="79">
        <v>325347</v>
      </c>
      <c r="V128" s="79">
        <v>27271</v>
      </c>
      <c r="W128" s="79">
        <v>60022</v>
      </c>
      <c r="X128" s="79">
        <v>27942</v>
      </c>
      <c r="Y128" s="79">
        <v>-597623</v>
      </c>
      <c r="Z128" s="79">
        <v>447282</v>
      </c>
      <c r="AA128" s="79">
        <v>385158</v>
      </c>
      <c r="AB128" s="79">
        <v>25660</v>
      </c>
      <c r="AC128" s="79">
        <v>36464</v>
      </c>
      <c r="AD128" s="79">
        <v>177694</v>
      </c>
      <c r="AE128" s="79">
        <v>6945</v>
      </c>
      <c r="AF128" s="79">
        <v>9289</v>
      </c>
      <c r="AG128" s="79">
        <v>13021</v>
      </c>
      <c r="AH128" s="79">
        <v>12529</v>
      </c>
      <c r="AI128" s="79">
        <v>14295</v>
      </c>
      <c r="AJ128" s="79">
        <v>1070</v>
      </c>
      <c r="AK128" s="79">
        <v>34298</v>
      </c>
      <c r="AL128" s="79">
        <v>43564</v>
      </c>
      <c r="AM128" s="79">
        <v>43247</v>
      </c>
      <c r="AN128" s="79">
        <v>317</v>
      </c>
      <c r="AO128" s="79">
        <v>8185</v>
      </c>
      <c r="AP128" s="79">
        <v>8185</v>
      </c>
      <c r="AQ128" s="79">
        <v>0</v>
      </c>
      <c r="AR128" s="79">
        <v>-1081</v>
      </c>
      <c r="AS128" s="79">
        <v>451</v>
      </c>
      <c r="AT128" s="79">
        <v>0</v>
      </c>
      <c r="AU128" s="79">
        <v>1184</v>
      </c>
      <c r="AV128" s="79">
        <v>554</v>
      </c>
      <c r="AW128" s="79"/>
      <c r="AX128" s="79">
        <v>41978</v>
      </c>
      <c r="AY128" s="79">
        <v>34298</v>
      </c>
      <c r="AZ128" s="79">
        <v>8185</v>
      </c>
      <c r="BA128" s="79">
        <v>-505</v>
      </c>
      <c r="BB128" s="79">
        <v>-82237</v>
      </c>
      <c r="BC128" s="79">
        <v>96407</v>
      </c>
      <c r="BD128" s="79">
        <v>4672</v>
      </c>
      <c r="BE128" s="79">
        <v>9498</v>
      </c>
      <c r="BF128" s="79">
        <v>-40259</v>
      </c>
      <c r="BG128" s="79">
        <v>55850</v>
      </c>
      <c r="BH128" s="79">
        <v>-37225</v>
      </c>
      <c r="BI128" s="79">
        <v>72745</v>
      </c>
      <c r="BJ128" s="79">
        <v>35520</v>
      </c>
      <c r="BK128" s="79">
        <v>81988</v>
      </c>
      <c r="BL128" s="79">
        <v>138619</v>
      </c>
      <c r="BM128" s="79">
        <v>55977</v>
      </c>
      <c r="BN128" s="79">
        <v>-654</v>
      </c>
      <c r="BO128" s="79">
        <v>0</v>
      </c>
      <c r="BP128" s="79">
        <v>11087</v>
      </c>
      <c r="BQ128" s="79">
        <v>1632</v>
      </c>
      <c r="BR128" s="79">
        <v>34</v>
      </c>
      <c r="BS128" s="79">
        <v>7602</v>
      </c>
      <c r="BT128" s="79">
        <v>1819</v>
      </c>
      <c r="BU128" s="79">
        <v>15592</v>
      </c>
      <c r="BV128" s="79">
        <v>94400</v>
      </c>
      <c r="BW128" s="79">
        <v>78808</v>
      </c>
      <c r="BX128" s="79"/>
      <c r="BY128" s="79">
        <v>1227409</v>
      </c>
      <c r="BZ128" s="79">
        <v>6826</v>
      </c>
      <c r="CA128" s="79">
        <v>714</v>
      </c>
      <c r="CB128" s="79">
        <v>6000</v>
      </c>
      <c r="CC128" s="79">
        <v>112</v>
      </c>
      <c r="CD128" s="79">
        <v>600772</v>
      </c>
      <c r="CE128" s="79">
        <v>120695</v>
      </c>
      <c r="CF128" s="79">
        <v>275724</v>
      </c>
      <c r="CG128" s="79">
        <v>185327</v>
      </c>
      <c r="CH128" s="79">
        <v>10112</v>
      </c>
      <c r="CI128" s="79">
        <v>83</v>
      </c>
      <c r="CJ128" s="79">
        <v>83</v>
      </c>
      <c r="CK128" s="79">
        <v>8831</v>
      </c>
      <c r="CL128" s="79">
        <v>619811</v>
      </c>
      <c r="CM128" s="79">
        <v>214116</v>
      </c>
      <c r="CN128" s="79">
        <v>67837</v>
      </c>
      <c r="CO128" s="79">
        <v>146279</v>
      </c>
      <c r="CP128" s="79">
        <v>0</v>
      </c>
      <c r="CQ128" s="79">
        <v>405695</v>
      </c>
      <c r="CR128" s="79">
        <v>0</v>
      </c>
      <c r="CS128" s="79">
        <v>0</v>
      </c>
      <c r="CT128" s="79">
        <v>405695</v>
      </c>
      <c r="CU128" s="79">
        <v>0</v>
      </c>
      <c r="CV128" s="79">
        <v>289</v>
      </c>
      <c r="CW128" s="79">
        <v>0</v>
      </c>
      <c r="CX128" s="79">
        <v>253</v>
      </c>
      <c r="CY128" s="79">
        <v>36</v>
      </c>
      <c r="CZ128" s="79">
        <v>217112</v>
      </c>
      <c r="DA128" s="79">
        <v>237</v>
      </c>
      <c r="DB128" s="79">
        <v>237</v>
      </c>
      <c r="DC128" s="79">
        <v>0</v>
      </c>
      <c r="DD128" s="79">
        <v>0</v>
      </c>
      <c r="DE128" s="79">
        <v>0</v>
      </c>
      <c r="DF128" s="79">
        <v>0</v>
      </c>
      <c r="DG128" s="79">
        <v>122474</v>
      </c>
      <c r="DH128" s="79">
        <v>30486</v>
      </c>
      <c r="DI128" s="79">
        <v>0</v>
      </c>
      <c r="DJ128" s="79">
        <v>29736</v>
      </c>
      <c r="DK128" s="79">
        <v>750</v>
      </c>
      <c r="DL128" s="79">
        <v>0</v>
      </c>
      <c r="DM128" s="79">
        <v>91988</v>
      </c>
      <c r="DN128" s="79">
        <v>13484</v>
      </c>
      <c r="DO128" s="79">
        <v>63377</v>
      </c>
      <c r="DP128" s="79">
        <v>6069</v>
      </c>
      <c r="DQ128" s="79">
        <v>9058</v>
      </c>
      <c r="DR128" s="79">
        <v>10309</v>
      </c>
      <c r="DS128" s="79">
        <v>10309</v>
      </c>
      <c r="DT128" s="79">
        <v>0</v>
      </c>
      <c r="DU128" s="79">
        <v>0</v>
      </c>
      <c r="DV128" s="79">
        <v>0</v>
      </c>
      <c r="DW128" s="79">
        <v>84092</v>
      </c>
      <c r="DX128" s="79">
        <v>1444810</v>
      </c>
      <c r="DY128" s="79">
        <v>596084</v>
      </c>
      <c r="DZ128" s="79">
        <v>437196</v>
      </c>
      <c r="EA128" s="79">
        <v>86</v>
      </c>
      <c r="EB128" s="79">
        <v>31219</v>
      </c>
      <c r="EC128" s="79">
        <v>127029</v>
      </c>
      <c r="ED128" s="79">
        <v>554</v>
      </c>
      <c r="EE128" s="79">
        <v>2529</v>
      </c>
      <c r="EF128" s="79">
        <v>2529</v>
      </c>
      <c r="EG128" s="79">
        <v>0</v>
      </c>
      <c r="EH128" s="79">
        <v>12751</v>
      </c>
      <c r="EI128" s="79">
        <v>8152</v>
      </c>
      <c r="EJ128" s="79">
        <v>4599</v>
      </c>
      <c r="EK128" s="79">
        <v>3314</v>
      </c>
      <c r="EL128" s="79">
        <v>15</v>
      </c>
      <c r="EM128" s="79">
        <v>479</v>
      </c>
      <c r="EN128" s="79">
        <v>2820</v>
      </c>
      <c r="EO128" s="79">
        <v>830132</v>
      </c>
      <c r="EP128" s="79">
        <v>655984</v>
      </c>
      <c r="EQ128" s="79">
        <v>40000</v>
      </c>
      <c r="ER128" s="79">
        <v>610160</v>
      </c>
      <c r="ES128" s="79">
        <v>141625</v>
      </c>
      <c r="ET128" s="79">
        <v>188035</v>
      </c>
      <c r="EU128" s="79">
        <v>0</v>
      </c>
      <c r="EV128" s="79">
        <v>280500</v>
      </c>
      <c r="EW128" s="79">
        <v>0</v>
      </c>
      <c r="EX128" s="79">
        <v>54</v>
      </c>
      <c r="EY128" s="79">
        <v>0</v>
      </c>
      <c r="EZ128" s="79">
        <v>0</v>
      </c>
      <c r="FA128" s="79">
        <v>1396</v>
      </c>
      <c r="FB128" s="79">
        <v>0</v>
      </c>
      <c r="FC128" s="79">
        <v>4374</v>
      </c>
      <c r="FD128" s="79">
        <v>174148</v>
      </c>
      <c r="FE128" s="79">
        <v>0</v>
      </c>
      <c r="FF128" s="79">
        <v>55760</v>
      </c>
      <c r="FG128" s="79">
        <v>23590</v>
      </c>
      <c r="FH128" s="79">
        <v>32170</v>
      </c>
      <c r="FI128" s="79">
        <v>0</v>
      </c>
      <c r="FJ128" s="79">
        <v>0</v>
      </c>
      <c r="FK128" s="79">
        <v>0</v>
      </c>
      <c r="FL128" s="79">
        <v>28131</v>
      </c>
      <c r="FM128" s="79">
        <v>220</v>
      </c>
      <c r="FN128" s="79">
        <v>32170</v>
      </c>
      <c r="FO128" s="79">
        <v>5474</v>
      </c>
      <c r="FP128" s="79">
        <v>52393</v>
      </c>
      <c r="FQ128" s="79">
        <v>1444810</v>
      </c>
      <c r="FR128" s="79">
        <v>159455</v>
      </c>
      <c r="FS128" s="79">
        <v>25</v>
      </c>
      <c r="FT128" s="100">
        <v>413783.84444516269</v>
      </c>
      <c r="FU128" s="100"/>
      <c r="FV128" s="100">
        <v>168522</v>
      </c>
      <c r="FW128" s="67">
        <v>42793</v>
      </c>
      <c r="FX128" s="100">
        <f t="shared" si="10"/>
        <v>-331337</v>
      </c>
      <c r="FY128" s="100">
        <f t="shared" si="11"/>
        <v>-554059</v>
      </c>
      <c r="FZ128" s="100">
        <v>360464.6877194707</v>
      </c>
      <c r="GA128" s="67">
        <v>222722</v>
      </c>
      <c r="GB128" s="58">
        <f t="shared" si="8"/>
        <v>54200</v>
      </c>
      <c r="GC128" s="67">
        <v>43782</v>
      </c>
      <c r="GD128" s="100">
        <v>40427</v>
      </c>
      <c r="GE128" s="100">
        <v>20137</v>
      </c>
      <c r="GF128" s="58">
        <f t="shared" si="9"/>
        <v>20290</v>
      </c>
      <c r="GG128" s="100">
        <v>-230030.73200000002</v>
      </c>
      <c r="GH128" s="100">
        <v>-7174.0222000000031</v>
      </c>
      <c r="GI128" s="100">
        <v>-123089.29607161508</v>
      </c>
      <c r="GJ128" s="67">
        <f t="shared" si="12"/>
        <v>989</v>
      </c>
      <c r="GK128" s="67"/>
      <c r="GM128" s="96"/>
    </row>
    <row r="129" spans="1:195" ht="13.5" customHeight="1" x14ac:dyDescent="0.2">
      <c r="A129" s="74">
        <v>399</v>
      </c>
      <c r="B129" s="75" t="s">
        <v>269</v>
      </c>
      <c r="C129" s="82" t="s">
        <v>269</v>
      </c>
      <c r="D129" s="76"/>
      <c r="E129" s="77" t="s">
        <v>248</v>
      </c>
      <c r="F129" s="78">
        <v>3</v>
      </c>
      <c r="G129" s="79">
        <v>8090</v>
      </c>
      <c r="H129" s="80">
        <v>7019</v>
      </c>
      <c r="I129" s="80">
        <v>2127</v>
      </c>
      <c r="J129" s="80">
        <v>2615</v>
      </c>
      <c r="K129" s="80">
        <v>661</v>
      </c>
      <c r="L129" s="80">
        <v>1616</v>
      </c>
      <c r="M129" s="80">
        <v>0</v>
      </c>
      <c r="N129" s="80">
        <v>0</v>
      </c>
      <c r="O129" s="80">
        <v>49366</v>
      </c>
      <c r="P129" s="80">
        <v>19581</v>
      </c>
      <c r="Q129" s="80">
        <v>15103</v>
      </c>
      <c r="R129" s="80">
        <v>4478</v>
      </c>
      <c r="S129" s="80">
        <v>3699</v>
      </c>
      <c r="T129" s="80">
        <v>779</v>
      </c>
      <c r="U129" s="80">
        <v>23558</v>
      </c>
      <c r="V129" s="80">
        <v>2559</v>
      </c>
      <c r="W129" s="80">
        <v>2890</v>
      </c>
      <c r="X129" s="80">
        <v>778</v>
      </c>
      <c r="Y129" s="80">
        <v>-42347</v>
      </c>
      <c r="Z129" s="80">
        <v>29825</v>
      </c>
      <c r="AA129" s="80">
        <v>27383</v>
      </c>
      <c r="AB129" s="80">
        <v>1090</v>
      </c>
      <c r="AC129" s="80">
        <v>1352</v>
      </c>
      <c r="AD129" s="80">
        <v>13595</v>
      </c>
      <c r="AE129" s="80">
        <v>-102</v>
      </c>
      <c r="AF129" s="80">
        <v>13</v>
      </c>
      <c r="AG129" s="80">
        <v>53</v>
      </c>
      <c r="AH129" s="80">
        <v>9</v>
      </c>
      <c r="AI129" s="80">
        <v>155</v>
      </c>
      <c r="AJ129" s="80">
        <v>13</v>
      </c>
      <c r="AK129" s="80">
        <v>971</v>
      </c>
      <c r="AL129" s="80">
        <v>1976</v>
      </c>
      <c r="AM129" s="80">
        <v>1976</v>
      </c>
      <c r="AN129" s="80">
        <v>0</v>
      </c>
      <c r="AO129" s="80">
        <v>0</v>
      </c>
      <c r="AP129" s="80">
        <v>0</v>
      </c>
      <c r="AQ129" s="80">
        <v>0</v>
      </c>
      <c r="AR129" s="80">
        <v>-1005</v>
      </c>
      <c r="AS129" s="80">
        <v>102</v>
      </c>
      <c r="AT129" s="80">
        <v>0</v>
      </c>
      <c r="AU129" s="80">
        <v>0</v>
      </c>
      <c r="AV129" s="80">
        <v>-903</v>
      </c>
      <c r="AW129" s="81"/>
      <c r="AX129" s="80">
        <v>876</v>
      </c>
      <c r="AY129" s="80">
        <v>971</v>
      </c>
      <c r="AZ129" s="80">
        <v>0</v>
      </c>
      <c r="BA129" s="80">
        <v>-95</v>
      </c>
      <c r="BB129" s="80">
        <v>-2256</v>
      </c>
      <c r="BC129" s="80">
        <v>2716</v>
      </c>
      <c r="BD129" s="80">
        <v>126</v>
      </c>
      <c r="BE129" s="80">
        <v>334</v>
      </c>
      <c r="BF129" s="80">
        <v>-1380</v>
      </c>
      <c r="BG129" s="80">
        <v>942</v>
      </c>
      <c r="BH129" s="80">
        <v>179</v>
      </c>
      <c r="BI129" s="80">
        <v>0</v>
      </c>
      <c r="BJ129" s="80">
        <v>179</v>
      </c>
      <c r="BK129" s="80">
        <v>677</v>
      </c>
      <c r="BL129" s="80">
        <v>0</v>
      </c>
      <c r="BM129" s="80">
        <v>1993</v>
      </c>
      <c r="BN129" s="80">
        <v>2670</v>
      </c>
      <c r="BO129" s="80">
        <v>0</v>
      </c>
      <c r="BP129" s="80">
        <v>86</v>
      </c>
      <c r="BQ129" s="80">
        <v>-9</v>
      </c>
      <c r="BR129" s="80">
        <v>0</v>
      </c>
      <c r="BS129" s="80">
        <v>-192</v>
      </c>
      <c r="BT129" s="80">
        <v>287</v>
      </c>
      <c r="BU129" s="80">
        <v>-438</v>
      </c>
      <c r="BV129" s="80">
        <v>1168</v>
      </c>
      <c r="BW129" s="80">
        <v>1606</v>
      </c>
      <c r="BX129" s="81"/>
      <c r="BY129" s="80">
        <v>40409</v>
      </c>
      <c r="BZ129" s="80">
        <v>331</v>
      </c>
      <c r="CA129" s="80">
        <v>57</v>
      </c>
      <c r="CB129" s="80">
        <v>274</v>
      </c>
      <c r="CC129" s="80">
        <v>0</v>
      </c>
      <c r="CD129" s="80">
        <v>31902</v>
      </c>
      <c r="CE129" s="80">
        <v>4099</v>
      </c>
      <c r="CF129" s="80">
        <v>18268</v>
      </c>
      <c r="CG129" s="80">
        <v>8883</v>
      </c>
      <c r="CH129" s="80">
        <v>347</v>
      </c>
      <c r="CI129" s="80">
        <v>5</v>
      </c>
      <c r="CJ129" s="80">
        <v>5</v>
      </c>
      <c r="CK129" s="80">
        <v>300</v>
      </c>
      <c r="CL129" s="80">
        <v>8176</v>
      </c>
      <c r="CM129" s="80">
        <v>6986</v>
      </c>
      <c r="CN129" s="80">
        <v>2645</v>
      </c>
      <c r="CO129" s="80">
        <v>4341</v>
      </c>
      <c r="CP129" s="80">
        <v>0</v>
      </c>
      <c r="CQ129" s="80">
        <v>944</v>
      </c>
      <c r="CR129" s="80">
        <v>0</v>
      </c>
      <c r="CS129" s="80">
        <v>0</v>
      </c>
      <c r="CT129" s="80">
        <v>944</v>
      </c>
      <c r="CU129" s="80">
        <v>246</v>
      </c>
      <c r="CV129" s="80">
        <v>585</v>
      </c>
      <c r="CW129" s="80">
        <v>0</v>
      </c>
      <c r="CX129" s="80">
        <v>585</v>
      </c>
      <c r="CY129" s="80">
        <v>0</v>
      </c>
      <c r="CZ129" s="80">
        <v>3496</v>
      </c>
      <c r="DA129" s="80">
        <v>0</v>
      </c>
      <c r="DB129" s="80">
        <v>0</v>
      </c>
      <c r="DC129" s="80">
        <v>0</v>
      </c>
      <c r="DD129" s="80">
        <v>0</v>
      </c>
      <c r="DE129" s="80">
        <v>0</v>
      </c>
      <c r="DF129" s="80">
        <v>0</v>
      </c>
      <c r="DG129" s="80">
        <v>2327</v>
      </c>
      <c r="DH129" s="80">
        <v>0</v>
      </c>
      <c r="DI129" s="80">
        <v>0</v>
      </c>
      <c r="DJ129" s="80">
        <v>0</v>
      </c>
      <c r="DK129" s="80">
        <v>0</v>
      </c>
      <c r="DL129" s="80">
        <v>0</v>
      </c>
      <c r="DM129" s="80">
        <v>2327</v>
      </c>
      <c r="DN129" s="80">
        <v>1009</v>
      </c>
      <c r="DO129" s="80">
        <v>0</v>
      </c>
      <c r="DP129" s="80">
        <v>1318</v>
      </c>
      <c r="DQ129" s="80">
        <v>0</v>
      </c>
      <c r="DR129" s="80">
        <v>0</v>
      </c>
      <c r="DS129" s="80">
        <v>0</v>
      </c>
      <c r="DT129" s="80">
        <v>0</v>
      </c>
      <c r="DU129" s="80">
        <v>0</v>
      </c>
      <c r="DV129" s="80">
        <v>0</v>
      </c>
      <c r="DW129" s="80">
        <v>1169</v>
      </c>
      <c r="DX129" s="80">
        <v>44490</v>
      </c>
      <c r="DY129" s="80">
        <v>18794</v>
      </c>
      <c r="DZ129" s="80">
        <v>18019</v>
      </c>
      <c r="EA129" s="80">
        <v>0</v>
      </c>
      <c r="EB129" s="80">
        <v>11</v>
      </c>
      <c r="EC129" s="80">
        <v>1668</v>
      </c>
      <c r="ED129" s="80">
        <v>-904</v>
      </c>
      <c r="EE129" s="80">
        <v>346</v>
      </c>
      <c r="EF129" s="80">
        <v>346</v>
      </c>
      <c r="EG129" s="80">
        <v>0</v>
      </c>
      <c r="EH129" s="80">
        <v>0</v>
      </c>
      <c r="EI129" s="80">
        <v>0</v>
      </c>
      <c r="EJ129" s="80">
        <v>0</v>
      </c>
      <c r="EK129" s="80">
        <v>746</v>
      </c>
      <c r="EL129" s="80">
        <v>0</v>
      </c>
      <c r="EM129" s="80">
        <v>731</v>
      </c>
      <c r="EN129" s="80">
        <v>15</v>
      </c>
      <c r="EO129" s="80">
        <v>24604</v>
      </c>
      <c r="EP129" s="80">
        <v>7500</v>
      </c>
      <c r="EQ129" s="80">
        <v>0</v>
      </c>
      <c r="ER129" s="80">
        <v>7500</v>
      </c>
      <c r="ES129" s="80">
        <v>3413</v>
      </c>
      <c r="ET129" s="80">
        <v>4087</v>
      </c>
      <c r="EU129" s="80">
        <v>0</v>
      </c>
      <c r="EV129" s="80">
        <v>0</v>
      </c>
      <c r="EW129" s="80">
        <v>0</v>
      </c>
      <c r="EX129" s="80">
        <v>0</v>
      </c>
      <c r="EY129" s="80">
        <v>0</v>
      </c>
      <c r="EZ129" s="80">
        <v>0</v>
      </c>
      <c r="FA129" s="80">
        <v>0</v>
      </c>
      <c r="FB129" s="80">
        <v>0</v>
      </c>
      <c r="FC129" s="80">
        <v>0</v>
      </c>
      <c r="FD129" s="80">
        <v>17104</v>
      </c>
      <c r="FE129" s="80">
        <v>0</v>
      </c>
      <c r="FF129" s="80">
        <v>11812</v>
      </c>
      <c r="FG129" s="80">
        <v>8496</v>
      </c>
      <c r="FH129" s="80">
        <v>3316</v>
      </c>
      <c r="FI129" s="80">
        <v>0</v>
      </c>
      <c r="FJ129" s="80">
        <v>0</v>
      </c>
      <c r="FK129" s="80">
        <v>0</v>
      </c>
      <c r="FL129" s="80">
        <v>0</v>
      </c>
      <c r="FM129" s="80">
        <v>90</v>
      </c>
      <c r="FN129" s="80">
        <v>1918</v>
      </c>
      <c r="FO129" s="80">
        <v>799</v>
      </c>
      <c r="FP129" s="80">
        <v>2485</v>
      </c>
      <c r="FQ129" s="80">
        <v>44490</v>
      </c>
      <c r="FR129" s="80">
        <v>6066</v>
      </c>
      <c r="FS129" s="80">
        <v>0</v>
      </c>
      <c r="FT129" s="100">
        <v>22154.668330408116</v>
      </c>
      <c r="FU129" s="100"/>
      <c r="FV129" s="100">
        <v>6763</v>
      </c>
      <c r="FW129" s="67">
        <v>1908</v>
      </c>
      <c r="FX129" s="100">
        <f t="shared" si="10"/>
        <v>-30646</v>
      </c>
      <c r="FY129" s="100">
        <f t="shared" si="11"/>
        <v>-40371</v>
      </c>
      <c r="FZ129" s="100">
        <v>27937.778000683295</v>
      </c>
      <c r="GA129" s="67">
        <v>9725</v>
      </c>
      <c r="GB129" s="58">
        <f t="shared" si="8"/>
        <v>2962</v>
      </c>
      <c r="GC129" s="67">
        <v>1976</v>
      </c>
      <c r="GD129" s="100">
        <v>2531</v>
      </c>
      <c r="GE129" s="100">
        <v>1081</v>
      </c>
      <c r="GF129" s="58">
        <f t="shared" si="9"/>
        <v>1450</v>
      </c>
      <c r="GG129" s="100">
        <v>-15416.342000000001</v>
      </c>
      <c r="GH129" s="100">
        <v>-291.93125000000015</v>
      </c>
      <c r="GI129" s="100">
        <v>-12161.986868259544</v>
      </c>
      <c r="GJ129" s="67">
        <f t="shared" si="12"/>
        <v>68</v>
      </c>
      <c r="GK129" s="67"/>
      <c r="GM129" s="96"/>
    </row>
    <row r="130" spans="1:195" ht="13.5" customHeight="1" x14ac:dyDescent="0.2">
      <c r="A130" s="74">
        <v>400</v>
      </c>
      <c r="B130" s="75" t="s">
        <v>86</v>
      </c>
      <c r="C130" s="75" t="s">
        <v>86</v>
      </c>
      <c r="D130" s="76"/>
      <c r="E130" s="77" t="s">
        <v>219</v>
      </c>
      <c r="F130" s="78">
        <v>3</v>
      </c>
      <c r="G130" s="79">
        <v>8520</v>
      </c>
      <c r="H130" s="80">
        <v>10096</v>
      </c>
      <c r="I130" s="80">
        <v>4698</v>
      </c>
      <c r="J130" s="80">
        <v>3245</v>
      </c>
      <c r="K130" s="80">
        <v>892</v>
      </c>
      <c r="L130" s="80">
        <v>1261</v>
      </c>
      <c r="M130" s="80">
        <v>0</v>
      </c>
      <c r="N130" s="80">
        <v>0</v>
      </c>
      <c r="O130" s="80">
        <v>55974</v>
      </c>
      <c r="P130" s="80">
        <v>26548</v>
      </c>
      <c r="Q130" s="80">
        <v>20217</v>
      </c>
      <c r="R130" s="80">
        <v>6331</v>
      </c>
      <c r="S130" s="80">
        <v>5223</v>
      </c>
      <c r="T130" s="80">
        <v>1108</v>
      </c>
      <c r="U130" s="80">
        <v>23087</v>
      </c>
      <c r="V130" s="80">
        <v>3392</v>
      </c>
      <c r="W130" s="80">
        <v>1972</v>
      </c>
      <c r="X130" s="80">
        <v>975</v>
      </c>
      <c r="Y130" s="80">
        <v>-45878</v>
      </c>
      <c r="Z130" s="80">
        <v>29255</v>
      </c>
      <c r="AA130" s="80">
        <v>25205</v>
      </c>
      <c r="AB130" s="80">
        <v>2160</v>
      </c>
      <c r="AC130" s="80">
        <v>1890</v>
      </c>
      <c r="AD130" s="80">
        <v>19164</v>
      </c>
      <c r="AE130" s="80">
        <v>30</v>
      </c>
      <c r="AF130" s="80">
        <v>0</v>
      </c>
      <c r="AG130" s="80">
        <v>56</v>
      </c>
      <c r="AH130" s="80">
        <v>37</v>
      </c>
      <c r="AI130" s="80">
        <v>24</v>
      </c>
      <c r="AJ130" s="80">
        <v>2</v>
      </c>
      <c r="AK130" s="80">
        <v>2571</v>
      </c>
      <c r="AL130" s="80">
        <v>2250</v>
      </c>
      <c r="AM130" s="80">
        <v>2250</v>
      </c>
      <c r="AN130" s="80">
        <v>0</v>
      </c>
      <c r="AO130" s="80">
        <v>0</v>
      </c>
      <c r="AP130" s="80">
        <v>0</v>
      </c>
      <c r="AQ130" s="80">
        <v>0</v>
      </c>
      <c r="AR130" s="80">
        <v>321</v>
      </c>
      <c r="AS130" s="80">
        <v>149</v>
      </c>
      <c r="AT130" s="80">
        <v>0</v>
      </c>
      <c r="AU130" s="80">
        <v>0</v>
      </c>
      <c r="AV130" s="80">
        <v>470</v>
      </c>
      <c r="AW130" s="81"/>
      <c r="AX130" s="80">
        <v>2487</v>
      </c>
      <c r="AY130" s="80">
        <v>2571</v>
      </c>
      <c r="AZ130" s="80">
        <v>0</v>
      </c>
      <c r="BA130" s="80">
        <v>-84</v>
      </c>
      <c r="BB130" s="80">
        <v>-3554</v>
      </c>
      <c r="BC130" s="80">
        <v>4055</v>
      </c>
      <c r="BD130" s="80">
        <v>245</v>
      </c>
      <c r="BE130" s="80">
        <v>256</v>
      </c>
      <c r="BF130" s="80">
        <v>-1067</v>
      </c>
      <c r="BG130" s="80">
        <v>1172</v>
      </c>
      <c r="BH130" s="80">
        <v>-46</v>
      </c>
      <c r="BI130" s="80">
        <v>46</v>
      </c>
      <c r="BJ130" s="80">
        <v>0</v>
      </c>
      <c r="BK130" s="80">
        <v>520</v>
      </c>
      <c r="BL130" s="80">
        <v>0</v>
      </c>
      <c r="BM130" s="80">
        <v>330</v>
      </c>
      <c r="BN130" s="80">
        <v>850</v>
      </c>
      <c r="BO130" s="80">
        <v>0</v>
      </c>
      <c r="BP130" s="80">
        <v>698</v>
      </c>
      <c r="BQ130" s="80">
        <v>-1</v>
      </c>
      <c r="BR130" s="80">
        <v>-15</v>
      </c>
      <c r="BS130" s="80">
        <v>602</v>
      </c>
      <c r="BT130" s="80">
        <v>112</v>
      </c>
      <c r="BU130" s="80">
        <v>106</v>
      </c>
      <c r="BV130" s="80">
        <v>120</v>
      </c>
      <c r="BW130" s="80">
        <v>14</v>
      </c>
      <c r="BX130" s="81"/>
      <c r="BY130" s="80">
        <v>54686</v>
      </c>
      <c r="BZ130" s="80">
        <v>363</v>
      </c>
      <c r="CA130" s="80">
        <v>363</v>
      </c>
      <c r="CB130" s="80">
        <v>0</v>
      </c>
      <c r="CC130" s="80">
        <v>0</v>
      </c>
      <c r="CD130" s="80">
        <v>46918</v>
      </c>
      <c r="CE130" s="80">
        <v>6369</v>
      </c>
      <c r="CF130" s="80">
        <v>25175</v>
      </c>
      <c r="CG130" s="80">
        <v>12422</v>
      </c>
      <c r="CH130" s="80">
        <v>661</v>
      </c>
      <c r="CI130" s="80">
        <v>108</v>
      </c>
      <c r="CJ130" s="80">
        <v>34</v>
      </c>
      <c r="CK130" s="80">
        <v>2183</v>
      </c>
      <c r="CL130" s="80">
        <v>7405</v>
      </c>
      <c r="CM130" s="80">
        <v>6393</v>
      </c>
      <c r="CN130" s="80">
        <v>4326</v>
      </c>
      <c r="CO130" s="80">
        <v>2067</v>
      </c>
      <c r="CP130" s="80">
        <v>0</v>
      </c>
      <c r="CQ130" s="80">
        <v>774</v>
      </c>
      <c r="CR130" s="80">
        <v>0</v>
      </c>
      <c r="CS130" s="80">
        <v>0</v>
      </c>
      <c r="CT130" s="80">
        <v>774</v>
      </c>
      <c r="CU130" s="80">
        <v>238</v>
      </c>
      <c r="CV130" s="80">
        <v>582</v>
      </c>
      <c r="CW130" s="80">
        <v>0</v>
      </c>
      <c r="CX130" s="80">
        <v>570</v>
      </c>
      <c r="CY130" s="80">
        <v>12</v>
      </c>
      <c r="CZ130" s="80">
        <v>4871</v>
      </c>
      <c r="DA130" s="80">
        <v>204</v>
      </c>
      <c r="DB130" s="80">
        <v>84</v>
      </c>
      <c r="DC130" s="80">
        <v>0</v>
      </c>
      <c r="DD130" s="80">
        <v>120</v>
      </c>
      <c r="DE130" s="80">
        <v>0</v>
      </c>
      <c r="DF130" s="80">
        <v>0</v>
      </c>
      <c r="DG130" s="80">
        <v>4548</v>
      </c>
      <c r="DH130" s="80">
        <v>1938</v>
      </c>
      <c r="DI130" s="80">
        <v>1056</v>
      </c>
      <c r="DJ130" s="80">
        <v>882</v>
      </c>
      <c r="DK130" s="80">
        <v>0</v>
      </c>
      <c r="DL130" s="80">
        <v>0</v>
      </c>
      <c r="DM130" s="80">
        <v>2610</v>
      </c>
      <c r="DN130" s="80">
        <v>1571</v>
      </c>
      <c r="DO130" s="80">
        <v>0</v>
      </c>
      <c r="DP130" s="80">
        <v>838</v>
      </c>
      <c r="DQ130" s="80">
        <v>201</v>
      </c>
      <c r="DR130" s="80">
        <v>0</v>
      </c>
      <c r="DS130" s="80">
        <v>0</v>
      </c>
      <c r="DT130" s="80">
        <v>0</v>
      </c>
      <c r="DU130" s="80">
        <v>0</v>
      </c>
      <c r="DV130" s="80">
        <v>0</v>
      </c>
      <c r="DW130" s="80">
        <v>119</v>
      </c>
      <c r="DX130" s="80">
        <v>60139</v>
      </c>
      <c r="DY130" s="80">
        <v>35910</v>
      </c>
      <c r="DZ130" s="80">
        <v>30730</v>
      </c>
      <c r="EA130" s="80">
        <v>0</v>
      </c>
      <c r="EB130" s="80">
        <v>0</v>
      </c>
      <c r="EC130" s="80">
        <v>4710</v>
      </c>
      <c r="ED130" s="80">
        <v>470</v>
      </c>
      <c r="EE130" s="80">
        <v>1609</v>
      </c>
      <c r="EF130" s="80">
        <v>1609</v>
      </c>
      <c r="EG130" s="80">
        <v>0</v>
      </c>
      <c r="EH130" s="80">
        <v>28</v>
      </c>
      <c r="EI130" s="80">
        <v>0</v>
      </c>
      <c r="EJ130" s="80">
        <v>28</v>
      </c>
      <c r="EK130" s="80">
        <v>612</v>
      </c>
      <c r="EL130" s="80">
        <v>0</v>
      </c>
      <c r="EM130" s="80">
        <v>570</v>
      </c>
      <c r="EN130" s="80">
        <v>42</v>
      </c>
      <c r="EO130" s="80">
        <v>21980</v>
      </c>
      <c r="EP130" s="80">
        <v>2915</v>
      </c>
      <c r="EQ130" s="80">
        <v>0</v>
      </c>
      <c r="ER130" s="80">
        <v>845</v>
      </c>
      <c r="ES130" s="80">
        <v>0</v>
      </c>
      <c r="ET130" s="80">
        <v>845</v>
      </c>
      <c r="EU130" s="80">
        <v>0</v>
      </c>
      <c r="EV130" s="80">
        <v>0</v>
      </c>
      <c r="EW130" s="80">
        <v>0</v>
      </c>
      <c r="EX130" s="80">
        <v>0</v>
      </c>
      <c r="EY130" s="80">
        <v>0</v>
      </c>
      <c r="EZ130" s="80">
        <v>0</v>
      </c>
      <c r="FA130" s="80">
        <v>2070</v>
      </c>
      <c r="FB130" s="80">
        <v>0</v>
      </c>
      <c r="FC130" s="80">
        <v>0</v>
      </c>
      <c r="FD130" s="80">
        <v>19065</v>
      </c>
      <c r="FE130" s="80">
        <v>0</v>
      </c>
      <c r="FF130" s="80">
        <v>12580</v>
      </c>
      <c r="FG130" s="80">
        <v>8350</v>
      </c>
      <c r="FH130" s="80">
        <v>4230</v>
      </c>
      <c r="FI130" s="80">
        <v>0</v>
      </c>
      <c r="FJ130" s="80">
        <v>0</v>
      </c>
      <c r="FK130" s="80">
        <v>0</v>
      </c>
      <c r="FL130" s="80">
        <v>0</v>
      </c>
      <c r="FM130" s="80">
        <v>0</v>
      </c>
      <c r="FN130" s="80">
        <v>2702</v>
      </c>
      <c r="FO130" s="80">
        <v>448</v>
      </c>
      <c r="FP130" s="80">
        <v>3335</v>
      </c>
      <c r="FQ130" s="80">
        <v>60139</v>
      </c>
      <c r="FR130" s="80">
        <v>6701</v>
      </c>
      <c r="FS130" s="80">
        <v>668</v>
      </c>
      <c r="FT130" s="100">
        <v>28443.513941452751</v>
      </c>
      <c r="FU130" s="100"/>
      <c r="FV130" s="100">
        <v>10203</v>
      </c>
      <c r="FW130" s="67">
        <v>1987</v>
      </c>
      <c r="FX130" s="100">
        <f t="shared" si="10"/>
        <v>-28660</v>
      </c>
      <c r="FY130" s="100">
        <f t="shared" si="11"/>
        <v>-43628</v>
      </c>
      <c r="FZ130" s="100">
        <v>28442.070155563059</v>
      </c>
      <c r="GA130" s="67">
        <v>14968</v>
      </c>
      <c r="GB130" s="58">
        <f t="shared" si="8"/>
        <v>4765</v>
      </c>
      <c r="GC130" s="67">
        <v>2250</v>
      </c>
      <c r="GD130" s="100">
        <v>3244</v>
      </c>
      <c r="GE130" s="100">
        <v>1271</v>
      </c>
      <c r="GF130" s="58">
        <f t="shared" si="9"/>
        <v>1973</v>
      </c>
      <c r="GG130" s="100">
        <v>-14384.439</v>
      </c>
      <c r="GH130" s="100">
        <v>-566.23520000000019</v>
      </c>
      <c r="GI130" s="100">
        <v>-13765.659840142805</v>
      </c>
      <c r="GJ130" s="67">
        <f t="shared" si="12"/>
        <v>263</v>
      </c>
      <c r="GK130" s="67"/>
      <c r="GM130" s="96"/>
    </row>
    <row r="131" spans="1:195" ht="13.5" customHeight="1" x14ac:dyDescent="0.2">
      <c r="A131" s="74">
        <v>402</v>
      </c>
      <c r="B131" s="75" t="s">
        <v>87</v>
      </c>
      <c r="C131" s="75" t="s">
        <v>87</v>
      </c>
      <c r="D131" s="76"/>
      <c r="E131" s="77" t="s">
        <v>239</v>
      </c>
      <c r="F131" s="78">
        <v>3</v>
      </c>
      <c r="G131" s="79">
        <v>9982</v>
      </c>
      <c r="H131" s="80">
        <v>8144</v>
      </c>
      <c r="I131" s="80">
        <v>1393</v>
      </c>
      <c r="J131" s="80">
        <v>4148</v>
      </c>
      <c r="K131" s="80">
        <v>1164</v>
      </c>
      <c r="L131" s="80">
        <v>1439</v>
      </c>
      <c r="M131" s="80">
        <v>0</v>
      </c>
      <c r="N131" s="80">
        <v>0</v>
      </c>
      <c r="O131" s="80">
        <v>67208</v>
      </c>
      <c r="P131" s="80">
        <v>32895</v>
      </c>
      <c r="Q131" s="80">
        <v>25182</v>
      </c>
      <c r="R131" s="80">
        <v>7713</v>
      </c>
      <c r="S131" s="80">
        <v>6191</v>
      </c>
      <c r="T131" s="80">
        <v>1522</v>
      </c>
      <c r="U131" s="80">
        <v>25148</v>
      </c>
      <c r="V131" s="80">
        <v>3905</v>
      </c>
      <c r="W131" s="80">
        <v>4239</v>
      </c>
      <c r="X131" s="80">
        <v>1021</v>
      </c>
      <c r="Y131" s="80">
        <v>-59064</v>
      </c>
      <c r="Z131" s="80">
        <v>30058</v>
      </c>
      <c r="AA131" s="80">
        <v>25822</v>
      </c>
      <c r="AB131" s="80">
        <v>2008</v>
      </c>
      <c r="AC131" s="80">
        <v>2228</v>
      </c>
      <c r="AD131" s="80">
        <v>29995</v>
      </c>
      <c r="AE131" s="80">
        <v>996</v>
      </c>
      <c r="AF131" s="80">
        <v>500</v>
      </c>
      <c r="AG131" s="80">
        <v>730</v>
      </c>
      <c r="AH131" s="80">
        <v>640</v>
      </c>
      <c r="AI131" s="80">
        <v>227</v>
      </c>
      <c r="AJ131" s="80">
        <v>7</v>
      </c>
      <c r="AK131" s="80">
        <v>1985</v>
      </c>
      <c r="AL131" s="80">
        <v>2989</v>
      </c>
      <c r="AM131" s="80">
        <v>2502</v>
      </c>
      <c r="AN131" s="80">
        <v>487</v>
      </c>
      <c r="AO131" s="80">
        <v>0</v>
      </c>
      <c r="AP131" s="80">
        <v>0</v>
      </c>
      <c r="AQ131" s="80">
        <v>0</v>
      </c>
      <c r="AR131" s="80">
        <v>-1004</v>
      </c>
      <c r="AS131" s="80">
        <v>59</v>
      </c>
      <c r="AT131" s="80">
        <v>0</v>
      </c>
      <c r="AU131" s="80">
        <v>0</v>
      </c>
      <c r="AV131" s="80">
        <v>-945</v>
      </c>
      <c r="AW131" s="81"/>
      <c r="AX131" s="80">
        <v>1888</v>
      </c>
      <c r="AY131" s="80">
        <v>1985</v>
      </c>
      <c r="AZ131" s="80">
        <v>0</v>
      </c>
      <c r="BA131" s="80">
        <v>-97</v>
      </c>
      <c r="BB131" s="80">
        <v>-3207</v>
      </c>
      <c r="BC131" s="80">
        <v>3684</v>
      </c>
      <c r="BD131" s="80">
        <v>336</v>
      </c>
      <c r="BE131" s="80">
        <v>141</v>
      </c>
      <c r="BF131" s="80">
        <v>-1319</v>
      </c>
      <c r="BG131" s="80">
        <v>1644</v>
      </c>
      <c r="BH131" s="80">
        <v>43</v>
      </c>
      <c r="BI131" s="80">
        <v>0</v>
      </c>
      <c r="BJ131" s="80">
        <v>43</v>
      </c>
      <c r="BK131" s="80">
        <v>862</v>
      </c>
      <c r="BL131" s="80">
        <v>3000</v>
      </c>
      <c r="BM131" s="80">
        <v>2138</v>
      </c>
      <c r="BN131" s="80">
        <v>0</v>
      </c>
      <c r="BO131" s="80">
        <v>0</v>
      </c>
      <c r="BP131" s="80">
        <v>739</v>
      </c>
      <c r="BQ131" s="80">
        <v>29</v>
      </c>
      <c r="BR131" s="80">
        <v>10</v>
      </c>
      <c r="BS131" s="80">
        <v>250</v>
      </c>
      <c r="BT131" s="80">
        <v>450</v>
      </c>
      <c r="BU131" s="80">
        <v>326</v>
      </c>
      <c r="BV131" s="80">
        <v>1512</v>
      </c>
      <c r="BW131" s="80">
        <v>1186</v>
      </c>
      <c r="BX131" s="81"/>
      <c r="BY131" s="80">
        <v>69310</v>
      </c>
      <c r="BZ131" s="80">
        <v>666</v>
      </c>
      <c r="CA131" s="80">
        <v>117</v>
      </c>
      <c r="CB131" s="80">
        <v>549</v>
      </c>
      <c r="CC131" s="80">
        <v>0</v>
      </c>
      <c r="CD131" s="80">
        <v>44532</v>
      </c>
      <c r="CE131" s="80">
        <v>6088</v>
      </c>
      <c r="CF131" s="80">
        <v>32231</v>
      </c>
      <c r="CG131" s="80">
        <v>4232</v>
      </c>
      <c r="CH131" s="80">
        <v>366</v>
      </c>
      <c r="CI131" s="80">
        <v>67</v>
      </c>
      <c r="CJ131" s="80">
        <v>67</v>
      </c>
      <c r="CK131" s="80">
        <v>1548</v>
      </c>
      <c r="CL131" s="80">
        <v>24112</v>
      </c>
      <c r="CM131" s="80">
        <v>12788</v>
      </c>
      <c r="CN131" s="80">
        <v>4358</v>
      </c>
      <c r="CO131" s="80">
        <v>8430</v>
      </c>
      <c r="CP131" s="80">
        <v>0</v>
      </c>
      <c r="CQ131" s="80">
        <v>11299</v>
      </c>
      <c r="CR131" s="80">
        <v>0</v>
      </c>
      <c r="CS131" s="80">
        <v>907</v>
      </c>
      <c r="CT131" s="80">
        <v>10392</v>
      </c>
      <c r="CU131" s="80">
        <v>25</v>
      </c>
      <c r="CV131" s="80">
        <v>566</v>
      </c>
      <c r="CW131" s="80">
        <v>452</v>
      </c>
      <c r="CX131" s="80">
        <v>114</v>
      </c>
      <c r="CY131" s="80">
        <v>0</v>
      </c>
      <c r="CZ131" s="80">
        <v>4606</v>
      </c>
      <c r="DA131" s="80">
        <v>97</v>
      </c>
      <c r="DB131" s="80">
        <v>97</v>
      </c>
      <c r="DC131" s="80">
        <v>0</v>
      </c>
      <c r="DD131" s="80">
        <v>0</v>
      </c>
      <c r="DE131" s="80">
        <v>0</v>
      </c>
      <c r="DF131" s="80">
        <v>0</v>
      </c>
      <c r="DG131" s="80">
        <v>2997</v>
      </c>
      <c r="DH131" s="80">
        <v>74</v>
      </c>
      <c r="DI131" s="80">
        <v>0</v>
      </c>
      <c r="DJ131" s="80">
        <v>0</v>
      </c>
      <c r="DK131" s="80">
        <v>74</v>
      </c>
      <c r="DL131" s="80">
        <v>0</v>
      </c>
      <c r="DM131" s="80">
        <v>2923</v>
      </c>
      <c r="DN131" s="80">
        <v>1325</v>
      </c>
      <c r="DO131" s="80">
        <v>0</v>
      </c>
      <c r="DP131" s="80">
        <v>421</v>
      </c>
      <c r="DQ131" s="80">
        <v>1177</v>
      </c>
      <c r="DR131" s="80">
        <v>0</v>
      </c>
      <c r="DS131" s="80">
        <v>0</v>
      </c>
      <c r="DT131" s="80">
        <v>0</v>
      </c>
      <c r="DU131" s="80">
        <v>0</v>
      </c>
      <c r="DV131" s="80">
        <v>0</v>
      </c>
      <c r="DW131" s="80">
        <v>1512</v>
      </c>
      <c r="DX131" s="80">
        <v>74482</v>
      </c>
      <c r="DY131" s="80">
        <v>36708</v>
      </c>
      <c r="DZ131" s="80">
        <v>34193</v>
      </c>
      <c r="EA131" s="80">
        <v>0</v>
      </c>
      <c r="EB131" s="80">
        <v>1159</v>
      </c>
      <c r="EC131" s="80">
        <v>2301</v>
      </c>
      <c r="ED131" s="80">
        <v>-945</v>
      </c>
      <c r="EE131" s="80">
        <v>370</v>
      </c>
      <c r="EF131" s="80">
        <v>370</v>
      </c>
      <c r="EG131" s="80">
        <v>0</v>
      </c>
      <c r="EH131" s="80">
        <v>0</v>
      </c>
      <c r="EI131" s="80">
        <v>0</v>
      </c>
      <c r="EJ131" s="80">
        <v>0</v>
      </c>
      <c r="EK131" s="80">
        <v>1015</v>
      </c>
      <c r="EL131" s="80">
        <v>511</v>
      </c>
      <c r="EM131" s="80">
        <v>280</v>
      </c>
      <c r="EN131" s="80">
        <v>224</v>
      </c>
      <c r="EO131" s="80">
        <v>36390</v>
      </c>
      <c r="EP131" s="80">
        <v>26718</v>
      </c>
      <c r="EQ131" s="80">
        <v>0</v>
      </c>
      <c r="ER131" s="80">
        <v>24081</v>
      </c>
      <c r="ES131" s="80">
        <v>3657</v>
      </c>
      <c r="ET131" s="80">
        <v>20424</v>
      </c>
      <c r="EU131" s="80">
        <v>0</v>
      </c>
      <c r="EV131" s="80">
        <v>0</v>
      </c>
      <c r="EW131" s="80">
        <v>2628</v>
      </c>
      <c r="EX131" s="80">
        <v>0</v>
      </c>
      <c r="EY131" s="80">
        <v>9</v>
      </c>
      <c r="EZ131" s="80">
        <v>0</v>
      </c>
      <c r="FA131" s="80">
        <v>0</v>
      </c>
      <c r="FB131" s="80">
        <v>0</v>
      </c>
      <c r="FC131" s="80">
        <v>0</v>
      </c>
      <c r="FD131" s="80">
        <v>9672</v>
      </c>
      <c r="FE131" s="80">
        <v>0</v>
      </c>
      <c r="FF131" s="80">
        <v>2295</v>
      </c>
      <c r="FG131" s="80">
        <v>565</v>
      </c>
      <c r="FH131" s="80">
        <v>1730</v>
      </c>
      <c r="FI131" s="80">
        <v>0</v>
      </c>
      <c r="FJ131" s="80">
        <v>0</v>
      </c>
      <c r="FK131" s="80">
        <v>96</v>
      </c>
      <c r="FL131" s="80">
        <v>0</v>
      </c>
      <c r="FM131" s="80">
        <v>4</v>
      </c>
      <c r="FN131" s="80">
        <v>1716</v>
      </c>
      <c r="FO131" s="80">
        <v>582</v>
      </c>
      <c r="FP131" s="80">
        <v>4979</v>
      </c>
      <c r="FQ131" s="80">
        <v>74483</v>
      </c>
      <c r="FR131" s="80">
        <v>12785</v>
      </c>
      <c r="FS131" s="80">
        <v>4021</v>
      </c>
      <c r="FT131" s="100">
        <v>29888.491634760445</v>
      </c>
      <c r="FU131" s="100"/>
      <c r="FV131" s="100">
        <v>9209</v>
      </c>
      <c r="FW131" s="67">
        <v>2188</v>
      </c>
      <c r="FX131" s="100">
        <f t="shared" si="10"/>
        <v>-41705</v>
      </c>
      <c r="FY131" s="100">
        <f t="shared" si="11"/>
        <v>-56075</v>
      </c>
      <c r="FZ131" s="100">
        <v>37607.069654078259</v>
      </c>
      <c r="GA131" s="67">
        <v>14370</v>
      </c>
      <c r="GB131" s="58">
        <f t="shared" si="8"/>
        <v>5161</v>
      </c>
      <c r="GC131" s="67">
        <v>2989</v>
      </c>
      <c r="GD131" s="100">
        <v>4150</v>
      </c>
      <c r="GE131" s="100">
        <v>649</v>
      </c>
      <c r="GF131" s="58">
        <f t="shared" si="9"/>
        <v>3501</v>
      </c>
      <c r="GG131" s="100">
        <v>-15328.258</v>
      </c>
      <c r="GH131" s="100">
        <v>-550.64705000000026</v>
      </c>
      <c r="GI131" s="100">
        <v>-22916.146663724161</v>
      </c>
      <c r="GJ131" s="67">
        <f t="shared" si="12"/>
        <v>801</v>
      </c>
      <c r="GK131" s="67"/>
      <c r="GM131" s="96"/>
    </row>
    <row r="132" spans="1:195" ht="13.5" customHeight="1" x14ac:dyDescent="0.2">
      <c r="A132" s="74">
        <v>403</v>
      </c>
      <c r="B132" s="75" t="s">
        <v>88</v>
      </c>
      <c r="C132" s="75" t="s">
        <v>88</v>
      </c>
      <c r="D132" s="76"/>
      <c r="E132" s="77" t="s">
        <v>215</v>
      </c>
      <c r="F132" s="78">
        <v>2</v>
      </c>
      <c r="G132" s="79">
        <v>3215</v>
      </c>
      <c r="H132" s="80">
        <v>1862</v>
      </c>
      <c r="I132" s="80">
        <v>737</v>
      </c>
      <c r="J132" s="80">
        <v>119</v>
      </c>
      <c r="K132" s="80">
        <v>56</v>
      </c>
      <c r="L132" s="80">
        <v>950</v>
      </c>
      <c r="M132" s="80">
        <v>0</v>
      </c>
      <c r="N132" s="80">
        <v>0</v>
      </c>
      <c r="O132" s="80">
        <v>20591</v>
      </c>
      <c r="P132" s="80">
        <v>4629</v>
      </c>
      <c r="Q132" s="80">
        <v>3315</v>
      </c>
      <c r="R132" s="80">
        <v>1314</v>
      </c>
      <c r="S132" s="80">
        <v>1229</v>
      </c>
      <c r="T132" s="80">
        <v>85</v>
      </c>
      <c r="U132" s="80">
        <v>14610</v>
      </c>
      <c r="V132" s="80">
        <v>902</v>
      </c>
      <c r="W132" s="80">
        <v>283</v>
      </c>
      <c r="X132" s="80">
        <v>167</v>
      </c>
      <c r="Y132" s="80">
        <v>-18729</v>
      </c>
      <c r="Z132" s="80">
        <v>10293</v>
      </c>
      <c r="AA132" s="80">
        <v>8254</v>
      </c>
      <c r="AB132" s="80">
        <v>1116</v>
      </c>
      <c r="AC132" s="80">
        <v>923</v>
      </c>
      <c r="AD132" s="80">
        <v>10091</v>
      </c>
      <c r="AE132" s="80">
        <v>-89</v>
      </c>
      <c r="AF132" s="80">
        <v>0</v>
      </c>
      <c r="AG132" s="80">
        <v>17</v>
      </c>
      <c r="AH132" s="80">
        <v>1</v>
      </c>
      <c r="AI132" s="80">
        <v>105</v>
      </c>
      <c r="AJ132" s="80">
        <v>1</v>
      </c>
      <c r="AK132" s="80">
        <v>1566</v>
      </c>
      <c r="AL132" s="80">
        <v>1122</v>
      </c>
      <c r="AM132" s="80">
        <v>1122</v>
      </c>
      <c r="AN132" s="80">
        <v>0</v>
      </c>
      <c r="AO132" s="80">
        <v>0</v>
      </c>
      <c r="AP132" s="80">
        <v>0</v>
      </c>
      <c r="AQ132" s="80">
        <v>0</v>
      </c>
      <c r="AR132" s="80">
        <v>444</v>
      </c>
      <c r="AS132" s="80">
        <v>0</v>
      </c>
      <c r="AT132" s="80">
        <v>0</v>
      </c>
      <c r="AU132" s="80">
        <v>26</v>
      </c>
      <c r="AV132" s="80">
        <v>470</v>
      </c>
      <c r="AW132" s="81"/>
      <c r="AX132" s="80">
        <v>1520</v>
      </c>
      <c r="AY132" s="80">
        <v>1566</v>
      </c>
      <c r="AZ132" s="80">
        <v>0</v>
      </c>
      <c r="BA132" s="80">
        <v>-46</v>
      </c>
      <c r="BB132" s="80">
        <v>-2828</v>
      </c>
      <c r="BC132" s="80">
        <v>3728</v>
      </c>
      <c r="BD132" s="80">
        <v>704</v>
      </c>
      <c r="BE132" s="80">
        <v>196</v>
      </c>
      <c r="BF132" s="80">
        <v>-1308</v>
      </c>
      <c r="BG132" s="80">
        <v>733</v>
      </c>
      <c r="BH132" s="80">
        <v>0</v>
      </c>
      <c r="BI132" s="80">
        <v>0</v>
      </c>
      <c r="BJ132" s="80">
        <v>0</v>
      </c>
      <c r="BK132" s="80">
        <v>-134</v>
      </c>
      <c r="BL132" s="80">
        <v>1097</v>
      </c>
      <c r="BM132" s="80">
        <v>331</v>
      </c>
      <c r="BN132" s="80">
        <v>-900</v>
      </c>
      <c r="BO132" s="80">
        <v>0</v>
      </c>
      <c r="BP132" s="80">
        <v>867</v>
      </c>
      <c r="BQ132" s="80">
        <v>-13</v>
      </c>
      <c r="BR132" s="80">
        <v>0</v>
      </c>
      <c r="BS132" s="80">
        <v>121</v>
      </c>
      <c r="BT132" s="80">
        <v>759</v>
      </c>
      <c r="BU132" s="80">
        <v>-576</v>
      </c>
      <c r="BV132" s="80">
        <v>409</v>
      </c>
      <c r="BW132" s="80">
        <v>985</v>
      </c>
      <c r="BX132" s="81"/>
      <c r="BY132" s="80">
        <v>29128</v>
      </c>
      <c r="BZ132" s="80">
        <v>301</v>
      </c>
      <c r="CA132" s="80">
        <v>301</v>
      </c>
      <c r="CB132" s="80">
        <v>0</v>
      </c>
      <c r="CC132" s="80">
        <v>0</v>
      </c>
      <c r="CD132" s="80">
        <v>19791</v>
      </c>
      <c r="CE132" s="80">
        <v>2416</v>
      </c>
      <c r="CF132" s="80">
        <v>12796</v>
      </c>
      <c r="CG132" s="80">
        <v>3326</v>
      </c>
      <c r="CH132" s="80">
        <v>310</v>
      </c>
      <c r="CI132" s="80">
        <v>22</v>
      </c>
      <c r="CJ132" s="80">
        <v>0</v>
      </c>
      <c r="CK132" s="80">
        <v>921</v>
      </c>
      <c r="CL132" s="80">
        <v>9036</v>
      </c>
      <c r="CM132" s="80">
        <v>7226</v>
      </c>
      <c r="CN132" s="80">
        <v>3310</v>
      </c>
      <c r="CO132" s="80">
        <v>3916</v>
      </c>
      <c r="CP132" s="80">
        <v>0</v>
      </c>
      <c r="CQ132" s="80">
        <v>1810</v>
      </c>
      <c r="CR132" s="80">
        <v>0</v>
      </c>
      <c r="CS132" s="80">
        <v>0</v>
      </c>
      <c r="CT132" s="80">
        <v>1810</v>
      </c>
      <c r="CU132" s="80">
        <v>0</v>
      </c>
      <c r="CV132" s="80">
        <v>0</v>
      </c>
      <c r="CW132" s="80">
        <v>0</v>
      </c>
      <c r="CX132" s="80">
        <v>0</v>
      </c>
      <c r="CY132" s="80">
        <v>0</v>
      </c>
      <c r="CZ132" s="80">
        <v>1027</v>
      </c>
      <c r="DA132" s="80">
        <v>0</v>
      </c>
      <c r="DB132" s="80">
        <v>0</v>
      </c>
      <c r="DC132" s="80">
        <v>0</v>
      </c>
      <c r="DD132" s="80">
        <v>0</v>
      </c>
      <c r="DE132" s="80">
        <v>0</v>
      </c>
      <c r="DF132" s="80">
        <v>0</v>
      </c>
      <c r="DG132" s="80">
        <v>618</v>
      </c>
      <c r="DH132" s="80">
        <v>0</v>
      </c>
      <c r="DI132" s="80">
        <v>0</v>
      </c>
      <c r="DJ132" s="80">
        <v>0</v>
      </c>
      <c r="DK132" s="80">
        <v>0</v>
      </c>
      <c r="DL132" s="80">
        <v>0</v>
      </c>
      <c r="DM132" s="80">
        <v>618</v>
      </c>
      <c r="DN132" s="80">
        <v>406</v>
      </c>
      <c r="DO132" s="80">
        <v>117</v>
      </c>
      <c r="DP132" s="80">
        <v>31</v>
      </c>
      <c r="DQ132" s="80">
        <v>64</v>
      </c>
      <c r="DR132" s="80">
        <v>0</v>
      </c>
      <c r="DS132" s="80">
        <v>0</v>
      </c>
      <c r="DT132" s="80">
        <v>0</v>
      </c>
      <c r="DU132" s="80">
        <v>0</v>
      </c>
      <c r="DV132" s="80">
        <v>0</v>
      </c>
      <c r="DW132" s="80">
        <v>409</v>
      </c>
      <c r="DX132" s="80">
        <v>30155</v>
      </c>
      <c r="DY132" s="80">
        <v>15993</v>
      </c>
      <c r="DZ132" s="80">
        <v>15902</v>
      </c>
      <c r="EA132" s="80">
        <v>0</v>
      </c>
      <c r="EB132" s="80">
        <v>0</v>
      </c>
      <c r="EC132" s="80">
        <v>-379</v>
      </c>
      <c r="ED132" s="80">
        <v>470</v>
      </c>
      <c r="EE132" s="80">
        <v>452</v>
      </c>
      <c r="EF132" s="80">
        <v>452</v>
      </c>
      <c r="EG132" s="80">
        <v>0</v>
      </c>
      <c r="EH132" s="80">
        <v>0</v>
      </c>
      <c r="EI132" s="80">
        <v>0</v>
      </c>
      <c r="EJ132" s="80">
        <v>0</v>
      </c>
      <c r="EK132" s="80">
        <v>9</v>
      </c>
      <c r="EL132" s="80">
        <v>0</v>
      </c>
      <c r="EM132" s="80">
        <v>5</v>
      </c>
      <c r="EN132" s="80">
        <v>4</v>
      </c>
      <c r="EO132" s="80">
        <v>13701</v>
      </c>
      <c r="EP132" s="80">
        <v>7286</v>
      </c>
      <c r="EQ132" s="80">
        <v>0</v>
      </c>
      <c r="ER132" s="80">
        <v>5999</v>
      </c>
      <c r="ES132" s="80">
        <v>0</v>
      </c>
      <c r="ET132" s="80">
        <v>5999</v>
      </c>
      <c r="EU132" s="80">
        <v>0</v>
      </c>
      <c r="EV132" s="80">
        <v>0</v>
      </c>
      <c r="EW132" s="80">
        <v>0</v>
      </c>
      <c r="EX132" s="80">
        <v>0</v>
      </c>
      <c r="EY132" s="80">
        <v>242</v>
      </c>
      <c r="EZ132" s="80">
        <v>0</v>
      </c>
      <c r="FA132" s="80">
        <v>1045</v>
      </c>
      <c r="FB132" s="80">
        <v>0</v>
      </c>
      <c r="FC132" s="80">
        <v>0</v>
      </c>
      <c r="FD132" s="80">
        <v>6415</v>
      </c>
      <c r="FE132" s="80">
        <v>0</v>
      </c>
      <c r="FF132" s="80">
        <v>4713</v>
      </c>
      <c r="FG132" s="80">
        <v>313</v>
      </c>
      <c r="FH132" s="80">
        <v>1800</v>
      </c>
      <c r="FI132" s="80">
        <v>2600</v>
      </c>
      <c r="FJ132" s="80">
        <v>0</v>
      </c>
      <c r="FK132" s="80">
        <v>0</v>
      </c>
      <c r="FL132" s="80">
        <v>0</v>
      </c>
      <c r="FM132" s="80">
        <v>0</v>
      </c>
      <c r="FN132" s="80">
        <v>943</v>
      </c>
      <c r="FO132" s="80">
        <v>87</v>
      </c>
      <c r="FP132" s="80">
        <v>672</v>
      </c>
      <c r="FQ132" s="80">
        <v>30155</v>
      </c>
      <c r="FR132" s="80">
        <v>1296</v>
      </c>
      <c r="FS132" s="80">
        <v>711</v>
      </c>
      <c r="FT132" s="100">
        <v>8642.5760839794475</v>
      </c>
      <c r="FU132" s="100"/>
      <c r="FV132" s="100">
        <v>2749</v>
      </c>
      <c r="FW132" s="67">
        <v>1120</v>
      </c>
      <c r="FX132" s="100">
        <f t="shared" si="10"/>
        <v>-14855</v>
      </c>
      <c r="FY132" s="100">
        <f t="shared" si="11"/>
        <v>-17607</v>
      </c>
      <c r="FZ132" s="100">
        <v>12443.57792743356</v>
      </c>
      <c r="GA132" s="67">
        <v>2752</v>
      </c>
      <c r="GB132" s="58">
        <f t="shared" si="8"/>
        <v>3</v>
      </c>
      <c r="GC132" s="67">
        <v>1120</v>
      </c>
      <c r="GD132" s="100">
        <v>131</v>
      </c>
      <c r="GE132" s="100">
        <v>131</v>
      </c>
      <c r="GF132" s="58">
        <f t="shared" si="9"/>
        <v>0</v>
      </c>
      <c r="GG132" s="100">
        <v>-4756.2430000000004</v>
      </c>
      <c r="GH132" s="100">
        <v>-328.48255000000006</v>
      </c>
      <c r="GI132" s="100">
        <v>-7505.0806110410431</v>
      </c>
      <c r="GJ132" s="67">
        <f t="shared" si="12"/>
        <v>0</v>
      </c>
      <c r="GK132" s="67"/>
      <c r="GM132" s="96"/>
    </row>
    <row r="133" spans="1:195" ht="13.5" customHeight="1" x14ac:dyDescent="0.2">
      <c r="A133" s="74">
        <v>408</v>
      </c>
      <c r="B133" s="75" t="s">
        <v>272</v>
      </c>
      <c r="C133" s="82" t="s">
        <v>272</v>
      </c>
      <c r="D133" s="76"/>
      <c r="E133" s="77" t="s">
        <v>215</v>
      </c>
      <c r="F133" s="78">
        <v>4</v>
      </c>
      <c r="G133" s="79">
        <v>14609</v>
      </c>
      <c r="H133" s="80">
        <v>13007</v>
      </c>
      <c r="I133" s="80">
        <v>4982</v>
      </c>
      <c r="J133" s="80">
        <v>4537</v>
      </c>
      <c r="K133" s="80">
        <v>1362</v>
      </c>
      <c r="L133" s="80">
        <v>2126</v>
      </c>
      <c r="M133" s="80">
        <v>0</v>
      </c>
      <c r="N133" s="80">
        <v>420</v>
      </c>
      <c r="O133" s="80">
        <v>90304</v>
      </c>
      <c r="P133" s="80">
        <v>41186</v>
      </c>
      <c r="Q133" s="80">
        <v>31559</v>
      </c>
      <c r="R133" s="80">
        <v>9627</v>
      </c>
      <c r="S133" s="80">
        <v>7777</v>
      </c>
      <c r="T133" s="80">
        <v>1850</v>
      </c>
      <c r="U133" s="80">
        <v>36558</v>
      </c>
      <c r="V133" s="80">
        <v>5301</v>
      </c>
      <c r="W133" s="80">
        <v>6352</v>
      </c>
      <c r="X133" s="80">
        <v>907</v>
      </c>
      <c r="Y133" s="80">
        <v>-76877</v>
      </c>
      <c r="Z133" s="80">
        <v>48433</v>
      </c>
      <c r="AA133" s="80">
        <v>43150</v>
      </c>
      <c r="AB133" s="80">
        <v>2520</v>
      </c>
      <c r="AC133" s="80">
        <v>2763</v>
      </c>
      <c r="AD133" s="80">
        <v>33586</v>
      </c>
      <c r="AE133" s="80">
        <v>-168</v>
      </c>
      <c r="AF133" s="80">
        <v>55</v>
      </c>
      <c r="AG133" s="80">
        <v>312</v>
      </c>
      <c r="AH133" s="80">
        <v>44</v>
      </c>
      <c r="AI133" s="80">
        <v>513</v>
      </c>
      <c r="AJ133" s="80">
        <v>22</v>
      </c>
      <c r="AK133" s="80">
        <v>4974</v>
      </c>
      <c r="AL133" s="80">
        <v>4587</v>
      </c>
      <c r="AM133" s="80">
        <v>4587</v>
      </c>
      <c r="AN133" s="80">
        <v>0</v>
      </c>
      <c r="AO133" s="80">
        <v>0</v>
      </c>
      <c r="AP133" s="80">
        <v>0</v>
      </c>
      <c r="AQ133" s="80">
        <v>0</v>
      </c>
      <c r="AR133" s="80">
        <v>387</v>
      </c>
      <c r="AS133" s="80">
        <v>0</v>
      </c>
      <c r="AT133" s="80">
        <v>0</v>
      </c>
      <c r="AU133" s="80">
        <v>0</v>
      </c>
      <c r="AV133" s="80">
        <v>387</v>
      </c>
      <c r="AW133" s="81"/>
      <c r="AX133" s="80">
        <v>4802</v>
      </c>
      <c r="AY133" s="80">
        <v>4974</v>
      </c>
      <c r="AZ133" s="80">
        <v>0</v>
      </c>
      <c r="BA133" s="80">
        <v>-172</v>
      </c>
      <c r="BB133" s="80">
        <v>-6652</v>
      </c>
      <c r="BC133" s="80">
        <v>7687</v>
      </c>
      <c r="BD133" s="80">
        <v>530</v>
      </c>
      <c r="BE133" s="80">
        <v>505</v>
      </c>
      <c r="BF133" s="80">
        <v>-1850</v>
      </c>
      <c r="BG133" s="80">
        <v>979</v>
      </c>
      <c r="BH133" s="80">
        <v>85</v>
      </c>
      <c r="BI133" s="80">
        <v>0</v>
      </c>
      <c r="BJ133" s="80">
        <v>85</v>
      </c>
      <c r="BK133" s="80">
        <v>1368</v>
      </c>
      <c r="BL133" s="80">
        <v>0</v>
      </c>
      <c r="BM133" s="80">
        <v>5632</v>
      </c>
      <c r="BN133" s="80">
        <v>7000</v>
      </c>
      <c r="BO133" s="80">
        <v>0</v>
      </c>
      <c r="BP133" s="80">
        <v>-474</v>
      </c>
      <c r="BQ133" s="80">
        <v>15</v>
      </c>
      <c r="BR133" s="80">
        <v>9</v>
      </c>
      <c r="BS133" s="80">
        <v>456</v>
      </c>
      <c r="BT133" s="80">
        <v>-954</v>
      </c>
      <c r="BU133" s="80">
        <v>-871</v>
      </c>
      <c r="BV133" s="80">
        <v>4908</v>
      </c>
      <c r="BW133" s="80">
        <v>5779</v>
      </c>
      <c r="BX133" s="81"/>
      <c r="BY133" s="80">
        <v>97997</v>
      </c>
      <c r="BZ133" s="80">
        <v>544</v>
      </c>
      <c r="CA133" s="80">
        <v>93</v>
      </c>
      <c r="CB133" s="80">
        <v>451</v>
      </c>
      <c r="CC133" s="80">
        <v>0</v>
      </c>
      <c r="CD133" s="80">
        <v>83183</v>
      </c>
      <c r="CE133" s="80">
        <v>16012</v>
      </c>
      <c r="CF133" s="80">
        <v>40979</v>
      </c>
      <c r="CG133" s="80">
        <v>24713</v>
      </c>
      <c r="CH133" s="80">
        <v>1242</v>
      </c>
      <c r="CI133" s="80">
        <v>0</v>
      </c>
      <c r="CJ133" s="80">
        <v>0</v>
      </c>
      <c r="CK133" s="80">
        <v>237</v>
      </c>
      <c r="CL133" s="80">
        <v>14270</v>
      </c>
      <c r="CM133" s="80">
        <v>12067</v>
      </c>
      <c r="CN133" s="80">
        <v>7465</v>
      </c>
      <c r="CO133" s="80">
        <v>4602</v>
      </c>
      <c r="CP133" s="80">
        <v>0</v>
      </c>
      <c r="CQ133" s="80">
        <v>2020</v>
      </c>
      <c r="CR133" s="80">
        <v>0</v>
      </c>
      <c r="CS133" s="80">
        <v>0</v>
      </c>
      <c r="CT133" s="80">
        <v>2020</v>
      </c>
      <c r="CU133" s="80">
        <v>183</v>
      </c>
      <c r="CV133" s="80">
        <v>135</v>
      </c>
      <c r="CW133" s="80">
        <v>20</v>
      </c>
      <c r="CX133" s="80">
        <v>115</v>
      </c>
      <c r="CY133" s="80">
        <v>0</v>
      </c>
      <c r="CZ133" s="80">
        <v>8028</v>
      </c>
      <c r="DA133" s="80">
        <v>112</v>
      </c>
      <c r="DB133" s="80">
        <v>112</v>
      </c>
      <c r="DC133" s="80">
        <v>0</v>
      </c>
      <c r="DD133" s="80">
        <v>0</v>
      </c>
      <c r="DE133" s="80">
        <v>0</v>
      </c>
      <c r="DF133" s="80">
        <v>0</v>
      </c>
      <c r="DG133" s="80">
        <v>3008</v>
      </c>
      <c r="DH133" s="80">
        <v>0</v>
      </c>
      <c r="DI133" s="80">
        <v>0</v>
      </c>
      <c r="DJ133" s="80">
        <v>0</v>
      </c>
      <c r="DK133" s="80">
        <v>0</v>
      </c>
      <c r="DL133" s="80">
        <v>0</v>
      </c>
      <c r="DM133" s="80">
        <v>3008</v>
      </c>
      <c r="DN133" s="80">
        <v>2172</v>
      </c>
      <c r="DO133" s="80">
        <v>0</v>
      </c>
      <c r="DP133" s="80">
        <v>636</v>
      </c>
      <c r="DQ133" s="80">
        <v>200</v>
      </c>
      <c r="DR133" s="80">
        <v>0</v>
      </c>
      <c r="DS133" s="80">
        <v>0</v>
      </c>
      <c r="DT133" s="80">
        <v>0</v>
      </c>
      <c r="DU133" s="80">
        <v>0</v>
      </c>
      <c r="DV133" s="80">
        <v>0</v>
      </c>
      <c r="DW133" s="80">
        <v>4908</v>
      </c>
      <c r="DX133" s="80">
        <v>106160</v>
      </c>
      <c r="DY133" s="80">
        <v>42029</v>
      </c>
      <c r="DZ133" s="80">
        <v>30111</v>
      </c>
      <c r="EA133" s="80">
        <v>0</v>
      </c>
      <c r="EB133" s="80">
        <v>0</v>
      </c>
      <c r="EC133" s="80">
        <v>11531</v>
      </c>
      <c r="ED133" s="80">
        <v>387</v>
      </c>
      <c r="EE133" s="80">
        <v>0</v>
      </c>
      <c r="EF133" s="80">
        <v>0</v>
      </c>
      <c r="EG133" s="80">
        <v>0</v>
      </c>
      <c r="EH133" s="80">
        <v>50</v>
      </c>
      <c r="EI133" s="80">
        <v>0</v>
      </c>
      <c r="EJ133" s="80">
        <v>50</v>
      </c>
      <c r="EK133" s="80">
        <v>353</v>
      </c>
      <c r="EL133" s="80">
        <v>11</v>
      </c>
      <c r="EM133" s="80">
        <v>115</v>
      </c>
      <c r="EN133" s="80">
        <v>227</v>
      </c>
      <c r="EO133" s="80">
        <v>63728</v>
      </c>
      <c r="EP133" s="80">
        <v>32849</v>
      </c>
      <c r="EQ133" s="80">
        <v>0</v>
      </c>
      <c r="ER133" s="80">
        <v>27742</v>
      </c>
      <c r="ES133" s="80">
        <v>0</v>
      </c>
      <c r="ET133" s="80">
        <v>27742</v>
      </c>
      <c r="EU133" s="80">
        <v>0</v>
      </c>
      <c r="EV133" s="80">
        <v>0</v>
      </c>
      <c r="EW133" s="80">
        <v>164</v>
      </c>
      <c r="EX133" s="80">
        <v>0</v>
      </c>
      <c r="EY133" s="80">
        <v>0</v>
      </c>
      <c r="EZ133" s="80">
        <v>0</v>
      </c>
      <c r="FA133" s="80">
        <v>4943</v>
      </c>
      <c r="FB133" s="80">
        <v>0</v>
      </c>
      <c r="FC133" s="80">
        <v>0</v>
      </c>
      <c r="FD133" s="80">
        <v>30879</v>
      </c>
      <c r="FE133" s="80">
        <v>0</v>
      </c>
      <c r="FF133" s="80">
        <v>18196</v>
      </c>
      <c r="FG133" s="80">
        <v>0</v>
      </c>
      <c r="FH133" s="80">
        <v>18196</v>
      </c>
      <c r="FI133" s="80">
        <v>0</v>
      </c>
      <c r="FJ133" s="80">
        <v>0</v>
      </c>
      <c r="FK133" s="80">
        <v>37</v>
      </c>
      <c r="FL133" s="80">
        <v>0</v>
      </c>
      <c r="FM133" s="80">
        <v>742</v>
      </c>
      <c r="FN133" s="80">
        <v>4777</v>
      </c>
      <c r="FO133" s="80">
        <v>707</v>
      </c>
      <c r="FP133" s="80">
        <v>6420</v>
      </c>
      <c r="FQ133" s="80">
        <v>106160</v>
      </c>
      <c r="FR133" s="80">
        <v>25015</v>
      </c>
      <c r="FS133" s="80">
        <v>2647</v>
      </c>
      <c r="FT133" s="100">
        <v>47069.08744990344</v>
      </c>
      <c r="FU133" s="100"/>
      <c r="FV133" s="100">
        <v>16152</v>
      </c>
      <c r="FW133" s="67">
        <v>4401</v>
      </c>
      <c r="FX133" s="100">
        <f t="shared" si="10"/>
        <v>-51138</v>
      </c>
      <c r="FY133" s="100">
        <f t="shared" si="11"/>
        <v>-72290</v>
      </c>
      <c r="FZ133" s="100">
        <v>47022.258626046998</v>
      </c>
      <c r="GA133" s="67">
        <v>21152</v>
      </c>
      <c r="GB133" s="58">
        <f t="shared" si="8"/>
        <v>5000</v>
      </c>
      <c r="GC133" s="67">
        <v>4590</v>
      </c>
      <c r="GD133" s="100">
        <v>4536</v>
      </c>
      <c r="GE133" s="100">
        <v>1894</v>
      </c>
      <c r="GF133" s="58">
        <f t="shared" si="9"/>
        <v>2642</v>
      </c>
      <c r="GG133" s="100">
        <v>-24764.972000000002</v>
      </c>
      <c r="GH133" s="100">
        <v>-711.84650000000022</v>
      </c>
      <c r="GI133" s="100">
        <v>-22030.848827056161</v>
      </c>
      <c r="GJ133" s="67">
        <f t="shared" si="12"/>
        <v>189</v>
      </c>
      <c r="GK133" s="67"/>
      <c r="GM133" s="96"/>
    </row>
    <row r="134" spans="1:195" ht="13.5" customHeight="1" x14ac:dyDescent="0.2">
      <c r="A134" s="74">
        <v>407</v>
      </c>
      <c r="B134" s="75" t="s">
        <v>270</v>
      </c>
      <c r="C134" s="82" t="s">
        <v>270</v>
      </c>
      <c r="D134" s="76"/>
      <c r="E134" s="77" t="s">
        <v>218</v>
      </c>
      <c r="F134" s="78">
        <v>2</v>
      </c>
      <c r="G134" s="79">
        <v>2774</v>
      </c>
      <c r="H134" s="80">
        <v>3301</v>
      </c>
      <c r="I134" s="80">
        <v>1491</v>
      </c>
      <c r="J134" s="80">
        <v>539</v>
      </c>
      <c r="K134" s="80">
        <v>209</v>
      </c>
      <c r="L134" s="80">
        <v>1062</v>
      </c>
      <c r="M134" s="80">
        <v>0</v>
      </c>
      <c r="N134" s="80">
        <v>8</v>
      </c>
      <c r="O134" s="80">
        <v>18232</v>
      </c>
      <c r="P134" s="80">
        <v>5652</v>
      </c>
      <c r="Q134" s="80">
        <v>4169</v>
      </c>
      <c r="R134" s="80">
        <v>1483</v>
      </c>
      <c r="S134" s="80">
        <v>1269</v>
      </c>
      <c r="T134" s="80">
        <v>214</v>
      </c>
      <c r="U134" s="80">
        <v>10299</v>
      </c>
      <c r="V134" s="80">
        <v>1334</v>
      </c>
      <c r="W134" s="80">
        <v>629</v>
      </c>
      <c r="X134" s="80">
        <v>318</v>
      </c>
      <c r="Y134" s="80">
        <v>-14923</v>
      </c>
      <c r="Z134" s="80">
        <v>8824</v>
      </c>
      <c r="AA134" s="80">
        <v>7854</v>
      </c>
      <c r="AB134" s="80">
        <v>417</v>
      </c>
      <c r="AC134" s="80">
        <v>553</v>
      </c>
      <c r="AD134" s="80">
        <v>6525</v>
      </c>
      <c r="AE134" s="80">
        <v>691</v>
      </c>
      <c r="AF134" s="80">
        <v>2</v>
      </c>
      <c r="AG134" s="80">
        <v>793</v>
      </c>
      <c r="AH134" s="80">
        <v>763</v>
      </c>
      <c r="AI134" s="80">
        <v>103</v>
      </c>
      <c r="AJ134" s="80">
        <v>1</v>
      </c>
      <c r="AK134" s="80">
        <v>1117</v>
      </c>
      <c r="AL134" s="80">
        <v>733</v>
      </c>
      <c r="AM134" s="80">
        <v>716</v>
      </c>
      <c r="AN134" s="80">
        <v>17</v>
      </c>
      <c r="AO134" s="80">
        <v>18</v>
      </c>
      <c r="AP134" s="80">
        <v>18</v>
      </c>
      <c r="AQ134" s="80">
        <v>0</v>
      </c>
      <c r="AR134" s="80">
        <v>402</v>
      </c>
      <c r="AS134" s="80">
        <v>0</v>
      </c>
      <c r="AT134" s="80">
        <v>0</v>
      </c>
      <c r="AU134" s="80">
        <v>0</v>
      </c>
      <c r="AV134" s="80">
        <v>402</v>
      </c>
      <c r="AW134" s="81"/>
      <c r="AX134" s="80">
        <v>968</v>
      </c>
      <c r="AY134" s="80">
        <v>1117</v>
      </c>
      <c r="AZ134" s="80">
        <v>18</v>
      </c>
      <c r="BA134" s="80">
        <v>-167</v>
      </c>
      <c r="BB134" s="80">
        <v>-139</v>
      </c>
      <c r="BC134" s="80">
        <v>486</v>
      </c>
      <c r="BD134" s="80">
        <v>33</v>
      </c>
      <c r="BE134" s="80">
        <v>314</v>
      </c>
      <c r="BF134" s="80">
        <v>829</v>
      </c>
      <c r="BG134" s="80">
        <v>-976</v>
      </c>
      <c r="BH134" s="80">
        <v>0</v>
      </c>
      <c r="BI134" s="80">
        <v>0</v>
      </c>
      <c r="BJ134" s="80">
        <v>0</v>
      </c>
      <c r="BK134" s="80">
        <v>-1011</v>
      </c>
      <c r="BL134" s="80">
        <v>0</v>
      </c>
      <c r="BM134" s="80">
        <v>311</v>
      </c>
      <c r="BN134" s="80">
        <v>-700</v>
      </c>
      <c r="BO134" s="80">
        <v>0</v>
      </c>
      <c r="BP134" s="80">
        <v>35</v>
      </c>
      <c r="BQ134" s="80">
        <v>-10</v>
      </c>
      <c r="BR134" s="80">
        <v>0</v>
      </c>
      <c r="BS134" s="80">
        <v>-67</v>
      </c>
      <c r="BT134" s="80">
        <v>112</v>
      </c>
      <c r="BU134" s="80">
        <v>-148</v>
      </c>
      <c r="BV134" s="80">
        <v>568</v>
      </c>
      <c r="BW134" s="80">
        <v>716</v>
      </c>
      <c r="BX134" s="81"/>
      <c r="BY134" s="80">
        <v>15991</v>
      </c>
      <c r="BZ134" s="80">
        <v>227</v>
      </c>
      <c r="CA134" s="80">
        <v>0</v>
      </c>
      <c r="CB134" s="80">
        <v>227</v>
      </c>
      <c r="CC134" s="80">
        <v>0</v>
      </c>
      <c r="CD134" s="80">
        <v>11151</v>
      </c>
      <c r="CE134" s="80">
        <v>1275</v>
      </c>
      <c r="CF134" s="80">
        <v>6420</v>
      </c>
      <c r="CG134" s="80">
        <v>3097</v>
      </c>
      <c r="CH134" s="80">
        <v>71</v>
      </c>
      <c r="CI134" s="80">
        <v>0</v>
      </c>
      <c r="CJ134" s="80">
        <v>0</v>
      </c>
      <c r="CK134" s="80">
        <v>288</v>
      </c>
      <c r="CL134" s="80">
        <v>4613</v>
      </c>
      <c r="CM134" s="80">
        <v>4190</v>
      </c>
      <c r="CN134" s="80">
        <v>1515</v>
      </c>
      <c r="CO134" s="80">
        <v>2675</v>
      </c>
      <c r="CP134" s="80">
        <v>0</v>
      </c>
      <c r="CQ134" s="80">
        <v>251</v>
      </c>
      <c r="CR134" s="80">
        <v>0</v>
      </c>
      <c r="CS134" s="80">
        <v>0</v>
      </c>
      <c r="CT134" s="80">
        <v>251</v>
      </c>
      <c r="CU134" s="80">
        <v>172</v>
      </c>
      <c r="CV134" s="80">
        <v>20</v>
      </c>
      <c r="CW134" s="80">
        <v>0</v>
      </c>
      <c r="CX134" s="80">
        <v>0</v>
      </c>
      <c r="CY134" s="80">
        <v>20</v>
      </c>
      <c r="CZ134" s="80">
        <v>1140</v>
      </c>
      <c r="DA134" s="80">
        <v>0</v>
      </c>
      <c r="DB134" s="80">
        <v>0</v>
      </c>
      <c r="DC134" s="80">
        <v>0</v>
      </c>
      <c r="DD134" s="80">
        <v>0</v>
      </c>
      <c r="DE134" s="80">
        <v>0</v>
      </c>
      <c r="DF134" s="80">
        <v>0</v>
      </c>
      <c r="DG134" s="80">
        <v>572</v>
      </c>
      <c r="DH134" s="80">
        <v>0</v>
      </c>
      <c r="DI134" s="80">
        <v>0</v>
      </c>
      <c r="DJ134" s="80">
        <v>0</v>
      </c>
      <c r="DK134" s="80">
        <v>0</v>
      </c>
      <c r="DL134" s="80">
        <v>0</v>
      </c>
      <c r="DM134" s="80">
        <v>572</v>
      </c>
      <c r="DN134" s="80">
        <v>372</v>
      </c>
      <c r="DO134" s="80">
        <v>0</v>
      </c>
      <c r="DP134" s="80">
        <v>73</v>
      </c>
      <c r="DQ134" s="80">
        <v>127</v>
      </c>
      <c r="DR134" s="80">
        <v>0</v>
      </c>
      <c r="DS134" s="80">
        <v>0</v>
      </c>
      <c r="DT134" s="80">
        <v>0</v>
      </c>
      <c r="DU134" s="80">
        <v>0</v>
      </c>
      <c r="DV134" s="80">
        <v>0</v>
      </c>
      <c r="DW134" s="80">
        <v>568</v>
      </c>
      <c r="DX134" s="80">
        <v>17151</v>
      </c>
      <c r="DY134" s="80">
        <v>10092</v>
      </c>
      <c r="DZ134" s="80">
        <v>7173</v>
      </c>
      <c r="EA134" s="80">
        <v>0</v>
      </c>
      <c r="EB134" s="80">
        <v>123</v>
      </c>
      <c r="EC134" s="80">
        <v>2395</v>
      </c>
      <c r="ED134" s="80">
        <v>401</v>
      </c>
      <c r="EE134" s="80">
        <v>0</v>
      </c>
      <c r="EF134" s="80">
        <v>0</v>
      </c>
      <c r="EG134" s="80">
        <v>0</v>
      </c>
      <c r="EH134" s="80">
        <v>0</v>
      </c>
      <c r="EI134" s="80">
        <v>0</v>
      </c>
      <c r="EJ134" s="80">
        <v>0</v>
      </c>
      <c r="EK134" s="80">
        <v>45</v>
      </c>
      <c r="EL134" s="80">
        <v>0</v>
      </c>
      <c r="EM134" s="80">
        <v>0</v>
      </c>
      <c r="EN134" s="80">
        <v>45</v>
      </c>
      <c r="EO134" s="80">
        <v>7013</v>
      </c>
      <c r="EP134" s="80">
        <v>4017</v>
      </c>
      <c r="EQ134" s="80">
        <v>0</v>
      </c>
      <c r="ER134" s="80">
        <v>4017</v>
      </c>
      <c r="ES134" s="80">
        <v>0</v>
      </c>
      <c r="ET134" s="80">
        <v>3534</v>
      </c>
      <c r="EU134" s="80">
        <v>483</v>
      </c>
      <c r="EV134" s="80">
        <v>0</v>
      </c>
      <c r="EW134" s="80">
        <v>0</v>
      </c>
      <c r="EX134" s="80">
        <v>0</v>
      </c>
      <c r="EY134" s="80">
        <v>0</v>
      </c>
      <c r="EZ134" s="80">
        <v>0</v>
      </c>
      <c r="FA134" s="80">
        <v>0</v>
      </c>
      <c r="FB134" s="80">
        <v>0</v>
      </c>
      <c r="FC134" s="80">
        <v>0</v>
      </c>
      <c r="FD134" s="80">
        <v>2996</v>
      </c>
      <c r="FE134" s="80">
        <v>0</v>
      </c>
      <c r="FF134" s="80">
        <v>1100</v>
      </c>
      <c r="FG134" s="80">
        <v>0</v>
      </c>
      <c r="FH134" s="80">
        <v>800</v>
      </c>
      <c r="FI134" s="80">
        <v>300</v>
      </c>
      <c r="FJ134" s="80">
        <v>0</v>
      </c>
      <c r="FK134" s="80">
        <v>0</v>
      </c>
      <c r="FL134" s="80">
        <v>0</v>
      </c>
      <c r="FM134" s="80">
        <v>73</v>
      </c>
      <c r="FN134" s="80">
        <v>812</v>
      </c>
      <c r="FO134" s="80">
        <v>135</v>
      </c>
      <c r="FP134" s="80">
        <v>876</v>
      </c>
      <c r="FQ134" s="80">
        <v>17150</v>
      </c>
      <c r="FR134" s="80">
        <v>5574</v>
      </c>
      <c r="FS134" s="80">
        <v>293</v>
      </c>
      <c r="FT134" s="100">
        <v>9974.8528065374139</v>
      </c>
      <c r="FU134" s="100"/>
      <c r="FV134" s="100">
        <v>4426</v>
      </c>
      <c r="FW134" s="67">
        <v>701</v>
      </c>
      <c r="FX134" s="100">
        <f t="shared" si="10"/>
        <v>-9218</v>
      </c>
      <c r="FY134" s="100">
        <f t="shared" si="11"/>
        <v>-14190</v>
      </c>
      <c r="FZ134" s="100">
        <v>9265.7367473503873</v>
      </c>
      <c r="GA134" s="67">
        <v>4972</v>
      </c>
      <c r="GB134" s="58">
        <f t="shared" si="8"/>
        <v>546</v>
      </c>
      <c r="GC134" s="67">
        <v>733</v>
      </c>
      <c r="GD134" s="100">
        <v>538</v>
      </c>
      <c r="GE134" s="100">
        <v>129</v>
      </c>
      <c r="GF134" s="58">
        <f t="shared" si="9"/>
        <v>409</v>
      </c>
      <c r="GG134" s="100">
        <v>-4579.5690000000004</v>
      </c>
      <c r="GH134" s="100">
        <v>-134.80480000000006</v>
      </c>
      <c r="GI134" s="100">
        <v>-4579.6042619008167</v>
      </c>
      <c r="GJ134" s="67">
        <f t="shared" si="12"/>
        <v>32</v>
      </c>
      <c r="GK134" s="67"/>
      <c r="GM134" s="96"/>
    </row>
    <row r="135" spans="1:195" ht="13.5" customHeight="1" x14ac:dyDescent="0.2">
      <c r="A135" s="74">
        <v>440</v>
      </c>
      <c r="B135" s="75" t="s">
        <v>277</v>
      </c>
      <c r="C135" s="82" t="s">
        <v>277</v>
      </c>
      <c r="D135" s="76"/>
      <c r="E135" s="77" t="s">
        <v>248</v>
      </c>
      <c r="F135" s="78">
        <v>3</v>
      </c>
      <c r="G135" s="79">
        <v>5147</v>
      </c>
      <c r="H135" s="80">
        <v>3063</v>
      </c>
      <c r="I135" s="80">
        <v>1540</v>
      </c>
      <c r="J135" s="80">
        <v>561</v>
      </c>
      <c r="K135" s="80">
        <v>281</v>
      </c>
      <c r="L135" s="80">
        <v>681</v>
      </c>
      <c r="M135" s="80">
        <v>0</v>
      </c>
      <c r="N135" s="80">
        <v>1</v>
      </c>
      <c r="O135" s="80">
        <v>27922</v>
      </c>
      <c r="P135" s="80">
        <v>9668</v>
      </c>
      <c r="Q135" s="80">
        <v>7434</v>
      </c>
      <c r="R135" s="80">
        <v>2234</v>
      </c>
      <c r="S135" s="80">
        <v>1854</v>
      </c>
      <c r="T135" s="80">
        <v>380</v>
      </c>
      <c r="U135" s="80">
        <v>15326</v>
      </c>
      <c r="V135" s="80">
        <v>1719</v>
      </c>
      <c r="W135" s="80">
        <v>1015</v>
      </c>
      <c r="X135" s="80">
        <v>194</v>
      </c>
      <c r="Y135" s="80">
        <v>-24858</v>
      </c>
      <c r="Z135" s="80">
        <v>14929</v>
      </c>
      <c r="AA135" s="80">
        <v>13624</v>
      </c>
      <c r="AB135" s="80">
        <v>316</v>
      </c>
      <c r="AC135" s="80">
        <v>989</v>
      </c>
      <c r="AD135" s="80">
        <v>13007</v>
      </c>
      <c r="AE135" s="80">
        <v>19</v>
      </c>
      <c r="AF135" s="80">
        <v>16</v>
      </c>
      <c r="AG135" s="80">
        <v>312</v>
      </c>
      <c r="AH135" s="80">
        <v>12</v>
      </c>
      <c r="AI135" s="80">
        <v>47</v>
      </c>
      <c r="AJ135" s="80">
        <v>262</v>
      </c>
      <c r="AK135" s="80">
        <v>3097</v>
      </c>
      <c r="AL135" s="80">
        <v>1124</v>
      </c>
      <c r="AM135" s="80">
        <v>1124</v>
      </c>
      <c r="AN135" s="80">
        <v>0</v>
      </c>
      <c r="AO135" s="80">
        <v>0</v>
      </c>
      <c r="AP135" s="80">
        <v>0</v>
      </c>
      <c r="AQ135" s="80">
        <v>0</v>
      </c>
      <c r="AR135" s="80">
        <v>1973</v>
      </c>
      <c r="AS135" s="80">
        <v>0</v>
      </c>
      <c r="AT135" s="80">
        <v>0</v>
      </c>
      <c r="AU135" s="80">
        <v>0</v>
      </c>
      <c r="AV135" s="80">
        <v>1973</v>
      </c>
      <c r="AW135" s="81"/>
      <c r="AX135" s="80">
        <v>2985</v>
      </c>
      <c r="AY135" s="80">
        <v>3097</v>
      </c>
      <c r="AZ135" s="80">
        <v>0</v>
      </c>
      <c r="BA135" s="80">
        <v>-112</v>
      </c>
      <c r="BB135" s="80">
        <v>-1237</v>
      </c>
      <c r="BC135" s="80">
        <v>1430</v>
      </c>
      <c r="BD135" s="80">
        <v>64</v>
      </c>
      <c r="BE135" s="80">
        <v>129</v>
      </c>
      <c r="BF135" s="80">
        <v>1748</v>
      </c>
      <c r="BG135" s="80">
        <v>-1319</v>
      </c>
      <c r="BH135" s="80">
        <v>0</v>
      </c>
      <c r="BI135" s="80">
        <v>0</v>
      </c>
      <c r="BJ135" s="80">
        <v>0</v>
      </c>
      <c r="BK135" s="80">
        <v>-487</v>
      </c>
      <c r="BL135" s="80">
        <v>0</v>
      </c>
      <c r="BM135" s="80">
        <v>1287</v>
      </c>
      <c r="BN135" s="80">
        <v>800</v>
      </c>
      <c r="BO135" s="80">
        <v>0</v>
      </c>
      <c r="BP135" s="80">
        <v>-832</v>
      </c>
      <c r="BQ135" s="80">
        <v>5</v>
      </c>
      <c r="BR135" s="80">
        <v>0</v>
      </c>
      <c r="BS135" s="80">
        <v>-1032</v>
      </c>
      <c r="BT135" s="80">
        <v>195</v>
      </c>
      <c r="BU135" s="80">
        <v>429</v>
      </c>
      <c r="BV135" s="80">
        <v>7816</v>
      </c>
      <c r="BW135" s="80">
        <v>7387</v>
      </c>
      <c r="BX135" s="81"/>
      <c r="BY135" s="80">
        <v>27309</v>
      </c>
      <c r="BZ135" s="80">
        <v>320</v>
      </c>
      <c r="CA135" s="80">
        <v>0</v>
      </c>
      <c r="CB135" s="80">
        <v>320</v>
      </c>
      <c r="CC135" s="80">
        <v>0</v>
      </c>
      <c r="CD135" s="80">
        <v>23157</v>
      </c>
      <c r="CE135" s="80">
        <v>4378</v>
      </c>
      <c r="CF135" s="80">
        <v>12908</v>
      </c>
      <c r="CG135" s="80">
        <v>5633</v>
      </c>
      <c r="CH135" s="80">
        <v>169</v>
      </c>
      <c r="CI135" s="80">
        <v>0</v>
      </c>
      <c r="CJ135" s="80">
        <v>0</v>
      </c>
      <c r="CK135" s="80">
        <v>69</v>
      </c>
      <c r="CL135" s="80">
        <v>3832</v>
      </c>
      <c r="CM135" s="80">
        <v>3262</v>
      </c>
      <c r="CN135" s="80">
        <v>2410</v>
      </c>
      <c r="CO135" s="80">
        <v>852</v>
      </c>
      <c r="CP135" s="80">
        <v>0</v>
      </c>
      <c r="CQ135" s="80">
        <v>570</v>
      </c>
      <c r="CR135" s="80">
        <v>0</v>
      </c>
      <c r="CS135" s="80">
        <v>0</v>
      </c>
      <c r="CT135" s="80">
        <v>570</v>
      </c>
      <c r="CU135" s="80">
        <v>0</v>
      </c>
      <c r="CV135" s="80">
        <v>75</v>
      </c>
      <c r="CW135" s="80">
        <v>0</v>
      </c>
      <c r="CX135" s="80">
        <v>75</v>
      </c>
      <c r="CY135" s="80">
        <v>0</v>
      </c>
      <c r="CZ135" s="80">
        <v>10449</v>
      </c>
      <c r="DA135" s="80">
        <v>0</v>
      </c>
      <c r="DB135" s="80">
        <v>0</v>
      </c>
      <c r="DC135" s="80">
        <v>0</v>
      </c>
      <c r="DD135" s="80">
        <v>0</v>
      </c>
      <c r="DE135" s="80">
        <v>0</v>
      </c>
      <c r="DF135" s="80">
        <v>0</v>
      </c>
      <c r="DG135" s="80">
        <v>2633</v>
      </c>
      <c r="DH135" s="80">
        <v>546</v>
      </c>
      <c r="DI135" s="80">
        <v>0</v>
      </c>
      <c r="DJ135" s="80">
        <v>358</v>
      </c>
      <c r="DK135" s="80">
        <v>188</v>
      </c>
      <c r="DL135" s="80">
        <v>0</v>
      </c>
      <c r="DM135" s="80">
        <v>2087</v>
      </c>
      <c r="DN135" s="80">
        <v>559</v>
      </c>
      <c r="DO135" s="80">
        <v>1300</v>
      </c>
      <c r="DP135" s="80">
        <v>181</v>
      </c>
      <c r="DQ135" s="80">
        <v>47</v>
      </c>
      <c r="DR135" s="80">
        <v>6200</v>
      </c>
      <c r="DS135" s="80">
        <v>5543</v>
      </c>
      <c r="DT135" s="80">
        <v>657</v>
      </c>
      <c r="DU135" s="80">
        <v>0</v>
      </c>
      <c r="DV135" s="80">
        <v>0</v>
      </c>
      <c r="DW135" s="80">
        <v>1616</v>
      </c>
      <c r="DX135" s="80">
        <v>37833</v>
      </c>
      <c r="DY135" s="80">
        <v>21457</v>
      </c>
      <c r="DZ135" s="80">
        <v>8216</v>
      </c>
      <c r="EA135" s="80">
        <v>0</v>
      </c>
      <c r="EB135" s="80">
        <v>51</v>
      </c>
      <c r="EC135" s="80">
        <v>11217</v>
      </c>
      <c r="ED135" s="80">
        <v>1973</v>
      </c>
      <c r="EE135" s="80">
        <v>0</v>
      </c>
      <c r="EF135" s="80">
        <v>0</v>
      </c>
      <c r="EG135" s="80">
        <v>0</v>
      </c>
      <c r="EH135" s="80">
        <v>0</v>
      </c>
      <c r="EI135" s="80">
        <v>0</v>
      </c>
      <c r="EJ135" s="80">
        <v>0</v>
      </c>
      <c r="EK135" s="80">
        <v>92</v>
      </c>
      <c r="EL135" s="80">
        <v>0</v>
      </c>
      <c r="EM135" s="80">
        <v>92</v>
      </c>
      <c r="EN135" s="80">
        <v>0</v>
      </c>
      <c r="EO135" s="80">
        <v>16284</v>
      </c>
      <c r="EP135" s="80">
        <v>5897</v>
      </c>
      <c r="EQ135" s="80">
        <v>0</v>
      </c>
      <c r="ER135" s="80">
        <v>3383</v>
      </c>
      <c r="ES135" s="80">
        <v>450</v>
      </c>
      <c r="ET135" s="80">
        <v>2933</v>
      </c>
      <c r="EU135" s="80">
        <v>0</v>
      </c>
      <c r="EV135" s="80">
        <v>0</v>
      </c>
      <c r="EW135" s="80">
        <v>0</v>
      </c>
      <c r="EX135" s="80">
        <v>0</v>
      </c>
      <c r="EY135" s="80">
        <v>0</v>
      </c>
      <c r="EZ135" s="80">
        <v>0</v>
      </c>
      <c r="FA135" s="80">
        <v>2514</v>
      </c>
      <c r="FB135" s="80">
        <v>0</v>
      </c>
      <c r="FC135" s="80">
        <v>0</v>
      </c>
      <c r="FD135" s="80">
        <v>10387</v>
      </c>
      <c r="FE135" s="80">
        <v>0</v>
      </c>
      <c r="FF135" s="80">
        <v>7425</v>
      </c>
      <c r="FG135" s="80">
        <v>6665</v>
      </c>
      <c r="FH135" s="80">
        <v>760</v>
      </c>
      <c r="FI135" s="80">
        <v>0</v>
      </c>
      <c r="FJ135" s="80">
        <v>0</v>
      </c>
      <c r="FK135" s="80">
        <v>125</v>
      </c>
      <c r="FL135" s="80">
        <v>0</v>
      </c>
      <c r="FM135" s="80">
        <v>0</v>
      </c>
      <c r="FN135" s="80">
        <v>1484</v>
      </c>
      <c r="FO135" s="80">
        <v>327</v>
      </c>
      <c r="FP135" s="80">
        <v>1026</v>
      </c>
      <c r="FQ135" s="80">
        <v>37833</v>
      </c>
      <c r="FR135" s="80">
        <v>5653</v>
      </c>
      <c r="FS135" s="80">
        <v>19</v>
      </c>
      <c r="FT135" s="100">
        <v>18909.501699700028</v>
      </c>
      <c r="FU135" s="100"/>
      <c r="FV135" s="100">
        <v>7031</v>
      </c>
      <c r="FW135" s="67">
        <v>1115</v>
      </c>
      <c r="FX135" s="100">
        <f t="shared" si="10"/>
        <v>-16597</v>
      </c>
      <c r="FY135" s="100">
        <f t="shared" si="11"/>
        <v>-23734</v>
      </c>
      <c r="FZ135" s="100">
        <v>13678.40602992885</v>
      </c>
      <c r="GA135" s="67">
        <v>7137</v>
      </c>
      <c r="GB135" s="58">
        <f t="shared" si="8"/>
        <v>106</v>
      </c>
      <c r="GC135" s="67">
        <v>1125</v>
      </c>
      <c r="GD135" s="100">
        <v>561</v>
      </c>
      <c r="GE135" s="100">
        <v>561</v>
      </c>
      <c r="GF135" s="58">
        <f t="shared" si="9"/>
        <v>0</v>
      </c>
      <c r="GG135" s="100">
        <v>-8063.8429999999989</v>
      </c>
      <c r="GH135" s="100">
        <v>-91.21765000000002</v>
      </c>
      <c r="GI135" s="100">
        <v>-5389.3958108638353</v>
      </c>
      <c r="GJ135" s="67">
        <f t="shared" si="12"/>
        <v>10</v>
      </c>
      <c r="GK135" s="67"/>
      <c r="GM135" s="96"/>
    </row>
    <row r="136" spans="1:195" ht="13.5" customHeight="1" x14ac:dyDescent="0.2">
      <c r="A136" s="74">
        <v>410</v>
      </c>
      <c r="B136" s="75" t="s">
        <v>89</v>
      </c>
      <c r="C136" s="75" t="s">
        <v>89</v>
      </c>
      <c r="D136" s="76"/>
      <c r="E136" s="77" t="s">
        <v>231</v>
      </c>
      <c r="F136" s="78">
        <v>4</v>
      </c>
      <c r="G136" s="79">
        <v>18865</v>
      </c>
      <c r="H136" s="80">
        <v>15166</v>
      </c>
      <c r="I136" s="80">
        <v>6268</v>
      </c>
      <c r="J136" s="80">
        <v>4284</v>
      </c>
      <c r="K136" s="80">
        <v>1992</v>
      </c>
      <c r="L136" s="80">
        <v>2622</v>
      </c>
      <c r="M136" s="80">
        <v>0</v>
      </c>
      <c r="N136" s="80">
        <v>0</v>
      </c>
      <c r="O136" s="80">
        <v>108734</v>
      </c>
      <c r="P136" s="80">
        <v>39455</v>
      </c>
      <c r="Q136" s="80">
        <v>30074</v>
      </c>
      <c r="R136" s="80">
        <v>9381</v>
      </c>
      <c r="S136" s="80">
        <v>7621</v>
      </c>
      <c r="T136" s="80">
        <v>1760</v>
      </c>
      <c r="U136" s="80">
        <v>54483</v>
      </c>
      <c r="V136" s="80">
        <v>4886</v>
      </c>
      <c r="W136" s="80">
        <v>9167</v>
      </c>
      <c r="X136" s="80">
        <v>743</v>
      </c>
      <c r="Y136" s="80">
        <v>-93568</v>
      </c>
      <c r="Z136" s="80">
        <v>65306</v>
      </c>
      <c r="AA136" s="80">
        <v>58328</v>
      </c>
      <c r="AB136" s="80">
        <v>2224</v>
      </c>
      <c r="AC136" s="80">
        <v>4754</v>
      </c>
      <c r="AD136" s="80">
        <v>33063</v>
      </c>
      <c r="AE136" s="80">
        <v>616</v>
      </c>
      <c r="AF136" s="80">
        <v>242</v>
      </c>
      <c r="AG136" s="80">
        <v>459</v>
      </c>
      <c r="AH136" s="80">
        <v>357</v>
      </c>
      <c r="AI136" s="80">
        <v>84</v>
      </c>
      <c r="AJ136" s="80">
        <v>1</v>
      </c>
      <c r="AK136" s="80">
        <v>5417</v>
      </c>
      <c r="AL136" s="80">
        <v>7411</v>
      </c>
      <c r="AM136" s="80">
        <v>7411</v>
      </c>
      <c r="AN136" s="80">
        <v>0</v>
      </c>
      <c r="AO136" s="80">
        <v>10349</v>
      </c>
      <c r="AP136" s="80">
        <v>10349</v>
      </c>
      <c r="AQ136" s="80">
        <v>0</v>
      </c>
      <c r="AR136" s="80">
        <v>8355</v>
      </c>
      <c r="AS136" s="80">
        <v>0</v>
      </c>
      <c r="AT136" s="80">
        <v>0</v>
      </c>
      <c r="AU136" s="80">
        <v>0</v>
      </c>
      <c r="AV136" s="80">
        <v>8355</v>
      </c>
      <c r="AW136" s="81"/>
      <c r="AX136" s="80">
        <v>15279</v>
      </c>
      <c r="AY136" s="80">
        <v>5417</v>
      </c>
      <c r="AZ136" s="80">
        <v>10349</v>
      </c>
      <c r="BA136" s="80">
        <v>-487</v>
      </c>
      <c r="BB136" s="80">
        <v>-8490</v>
      </c>
      <c r="BC136" s="80">
        <v>18583</v>
      </c>
      <c r="BD136" s="80">
        <v>1208</v>
      </c>
      <c r="BE136" s="80">
        <v>8885</v>
      </c>
      <c r="BF136" s="80">
        <v>6789</v>
      </c>
      <c r="BG136" s="80">
        <v>-9732</v>
      </c>
      <c r="BH136" s="80">
        <v>-14728</v>
      </c>
      <c r="BI136" s="80">
        <v>15328</v>
      </c>
      <c r="BJ136" s="80">
        <v>600</v>
      </c>
      <c r="BK136" s="80">
        <v>4950</v>
      </c>
      <c r="BL136" s="80">
        <v>11459</v>
      </c>
      <c r="BM136" s="80">
        <v>9</v>
      </c>
      <c r="BN136" s="80">
        <v>-6500</v>
      </c>
      <c r="BO136" s="80">
        <v>0</v>
      </c>
      <c r="BP136" s="80">
        <v>46</v>
      </c>
      <c r="BQ136" s="80">
        <v>1</v>
      </c>
      <c r="BR136" s="80">
        <v>0</v>
      </c>
      <c r="BS136" s="80">
        <v>444</v>
      </c>
      <c r="BT136" s="80">
        <v>-399</v>
      </c>
      <c r="BU136" s="80">
        <v>-2942</v>
      </c>
      <c r="BV136" s="80">
        <v>896</v>
      </c>
      <c r="BW136" s="80">
        <v>3838</v>
      </c>
      <c r="BX136" s="81"/>
      <c r="BY136" s="80">
        <v>126659</v>
      </c>
      <c r="BZ136" s="80">
        <v>76</v>
      </c>
      <c r="CA136" s="80">
        <v>22</v>
      </c>
      <c r="CB136" s="80">
        <v>54</v>
      </c>
      <c r="CC136" s="80">
        <v>0</v>
      </c>
      <c r="CD136" s="80">
        <v>89497</v>
      </c>
      <c r="CE136" s="80">
        <v>13365</v>
      </c>
      <c r="CF136" s="80">
        <v>63148</v>
      </c>
      <c r="CG136" s="80">
        <v>7813</v>
      </c>
      <c r="CH136" s="80">
        <v>1110</v>
      </c>
      <c r="CI136" s="80">
        <v>0</v>
      </c>
      <c r="CJ136" s="80">
        <v>0</v>
      </c>
      <c r="CK136" s="80">
        <v>4061</v>
      </c>
      <c r="CL136" s="80">
        <v>37086</v>
      </c>
      <c r="CM136" s="80">
        <v>12021</v>
      </c>
      <c r="CN136" s="80">
        <v>4239</v>
      </c>
      <c r="CO136" s="80">
        <v>7782</v>
      </c>
      <c r="CP136" s="80">
        <v>0</v>
      </c>
      <c r="CQ136" s="80">
        <v>24676</v>
      </c>
      <c r="CR136" s="80">
        <v>0</v>
      </c>
      <c r="CS136" s="80">
        <v>0</v>
      </c>
      <c r="CT136" s="80">
        <v>24676</v>
      </c>
      <c r="CU136" s="80">
        <v>389</v>
      </c>
      <c r="CV136" s="80">
        <v>217</v>
      </c>
      <c r="CW136" s="80">
        <v>188</v>
      </c>
      <c r="CX136" s="80">
        <v>29</v>
      </c>
      <c r="CY136" s="80">
        <v>0</v>
      </c>
      <c r="CZ136" s="80">
        <v>4379</v>
      </c>
      <c r="DA136" s="80">
        <v>77</v>
      </c>
      <c r="DB136" s="80">
        <v>77</v>
      </c>
      <c r="DC136" s="80">
        <v>0</v>
      </c>
      <c r="DD136" s="80">
        <v>0</v>
      </c>
      <c r="DE136" s="80">
        <v>0</v>
      </c>
      <c r="DF136" s="80">
        <v>0</v>
      </c>
      <c r="DG136" s="80">
        <v>3406</v>
      </c>
      <c r="DH136" s="80">
        <v>0</v>
      </c>
      <c r="DI136" s="80">
        <v>0</v>
      </c>
      <c r="DJ136" s="80">
        <v>0</v>
      </c>
      <c r="DK136" s="80">
        <v>0</v>
      </c>
      <c r="DL136" s="80">
        <v>0</v>
      </c>
      <c r="DM136" s="80">
        <v>3406</v>
      </c>
      <c r="DN136" s="80">
        <v>2008</v>
      </c>
      <c r="DO136" s="80">
        <v>0</v>
      </c>
      <c r="DP136" s="80">
        <v>803</v>
      </c>
      <c r="DQ136" s="80">
        <v>595</v>
      </c>
      <c r="DR136" s="80">
        <v>0</v>
      </c>
      <c r="DS136" s="80">
        <v>0</v>
      </c>
      <c r="DT136" s="80">
        <v>0</v>
      </c>
      <c r="DU136" s="80">
        <v>0</v>
      </c>
      <c r="DV136" s="80">
        <v>0</v>
      </c>
      <c r="DW136" s="80">
        <v>896</v>
      </c>
      <c r="DX136" s="80">
        <v>131255</v>
      </c>
      <c r="DY136" s="80">
        <v>39489</v>
      </c>
      <c r="DZ136" s="80">
        <v>32371</v>
      </c>
      <c r="EA136" s="80">
        <v>0</v>
      </c>
      <c r="EB136" s="80">
        <v>0</v>
      </c>
      <c r="EC136" s="80">
        <v>-1237</v>
      </c>
      <c r="ED136" s="80">
        <v>8355</v>
      </c>
      <c r="EE136" s="80">
        <v>0</v>
      </c>
      <c r="EF136" s="80">
        <v>0</v>
      </c>
      <c r="EG136" s="80">
        <v>0</v>
      </c>
      <c r="EH136" s="80">
        <v>0</v>
      </c>
      <c r="EI136" s="80">
        <v>0</v>
      </c>
      <c r="EJ136" s="80">
        <v>0</v>
      </c>
      <c r="EK136" s="80">
        <v>223</v>
      </c>
      <c r="EL136" s="80">
        <v>191</v>
      </c>
      <c r="EM136" s="80">
        <v>29</v>
      </c>
      <c r="EN136" s="80">
        <v>3</v>
      </c>
      <c r="EO136" s="80">
        <v>91543</v>
      </c>
      <c r="EP136" s="80">
        <v>14781</v>
      </c>
      <c r="EQ136" s="80">
        <v>0</v>
      </c>
      <c r="ER136" s="80">
        <v>11458</v>
      </c>
      <c r="ES136" s="80">
        <v>1458</v>
      </c>
      <c r="ET136" s="80">
        <v>10000</v>
      </c>
      <c r="EU136" s="80">
        <v>0</v>
      </c>
      <c r="EV136" s="80">
        <v>0</v>
      </c>
      <c r="EW136" s="80">
        <v>0</v>
      </c>
      <c r="EX136" s="80">
        <v>0</v>
      </c>
      <c r="EY136" s="80">
        <v>0</v>
      </c>
      <c r="EZ136" s="80">
        <v>0</v>
      </c>
      <c r="FA136" s="80">
        <v>3322</v>
      </c>
      <c r="FB136" s="80">
        <v>0</v>
      </c>
      <c r="FC136" s="80">
        <v>1</v>
      </c>
      <c r="FD136" s="80">
        <v>76762</v>
      </c>
      <c r="FE136" s="80">
        <v>0</v>
      </c>
      <c r="FF136" s="80">
        <v>62511</v>
      </c>
      <c r="FG136" s="80">
        <v>15000</v>
      </c>
      <c r="FH136" s="80">
        <v>22500</v>
      </c>
      <c r="FI136" s="80">
        <v>25011</v>
      </c>
      <c r="FJ136" s="80">
        <v>0</v>
      </c>
      <c r="FK136" s="80">
        <v>0</v>
      </c>
      <c r="FL136" s="80">
        <v>0</v>
      </c>
      <c r="FM136" s="80">
        <v>11</v>
      </c>
      <c r="FN136" s="80">
        <v>7758</v>
      </c>
      <c r="FO136" s="80">
        <v>800</v>
      </c>
      <c r="FP136" s="80">
        <v>5682</v>
      </c>
      <c r="FQ136" s="80">
        <v>131255</v>
      </c>
      <c r="FR136" s="80">
        <v>14759</v>
      </c>
      <c r="FS136" s="80">
        <v>2917</v>
      </c>
      <c r="FT136" s="100">
        <v>63452.459361968504</v>
      </c>
      <c r="FU136" s="100"/>
      <c r="FV136" s="100">
        <v>24011</v>
      </c>
      <c r="FW136" s="67">
        <v>7376</v>
      </c>
      <c r="FX136" s="100">
        <f t="shared" si="10"/>
        <v>-58101</v>
      </c>
      <c r="FY136" s="100">
        <f t="shared" si="11"/>
        <v>-86157</v>
      </c>
      <c r="FZ136" s="100">
        <v>56773.575092628307</v>
      </c>
      <c r="GA136" s="67">
        <v>28056</v>
      </c>
      <c r="GB136" s="58">
        <f t="shared" si="8"/>
        <v>4045</v>
      </c>
      <c r="GC136" s="67">
        <v>7411</v>
      </c>
      <c r="GD136" s="100">
        <v>4289</v>
      </c>
      <c r="GE136" s="100">
        <v>1830</v>
      </c>
      <c r="GF136" s="58">
        <f t="shared" si="9"/>
        <v>2459</v>
      </c>
      <c r="GG136" s="100">
        <v>-32674.927</v>
      </c>
      <c r="GH136" s="100">
        <v>-684.35795000000041</v>
      </c>
      <c r="GI136" s="100">
        <v>-22849.866078298881</v>
      </c>
      <c r="GJ136" s="67">
        <f t="shared" si="12"/>
        <v>35</v>
      </c>
      <c r="GK136" s="67"/>
      <c r="GM136" s="96"/>
    </row>
    <row r="137" spans="1:195" ht="13.5" customHeight="1" x14ac:dyDescent="0.2">
      <c r="A137" s="74">
        <v>416</v>
      </c>
      <c r="B137" s="75" t="s">
        <v>90</v>
      </c>
      <c r="C137" s="75" t="s">
        <v>90</v>
      </c>
      <c r="D137" s="76"/>
      <c r="E137" s="77" t="s">
        <v>243</v>
      </c>
      <c r="F137" s="78">
        <v>2</v>
      </c>
      <c r="G137" s="79">
        <v>3073</v>
      </c>
      <c r="H137" s="80">
        <v>1918</v>
      </c>
      <c r="I137" s="80">
        <v>1018</v>
      </c>
      <c r="J137" s="80">
        <v>343</v>
      </c>
      <c r="K137" s="80">
        <v>195</v>
      </c>
      <c r="L137" s="80">
        <v>362</v>
      </c>
      <c r="M137" s="80">
        <v>0</v>
      </c>
      <c r="N137" s="80">
        <v>0</v>
      </c>
      <c r="O137" s="80">
        <v>17475</v>
      </c>
      <c r="P137" s="80">
        <v>5046</v>
      </c>
      <c r="Q137" s="80">
        <v>3847</v>
      </c>
      <c r="R137" s="80">
        <v>1199</v>
      </c>
      <c r="S137" s="80">
        <v>1023</v>
      </c>
      <c r="T137" s="80">
        <v>176</v>
      </c>
      <c r="U137" s="80">
        <v>11201</v>
      </c>
      <c r="V137" s="80">
        <v>744</v>
      </c>
      <c r="W137" s="80">
        <v>288</v>
      </c>
      <c r="X137" s="80">
        <v>196</v>
      </c>
      <c r="Y137" s="80">
        <v>-15557</v>
      </c>
      <c r="Z137" s="80">
        <v>10385</v>
      </c>
      <c r="AA137" s="80">
        <v>9088</v>
      </c>
      <c r="AB137" s="80">
        <v>513</v>
      </c>
      <c r="AC137" s="80">
        <v>784</v>
      </c>
      <c r="AD137" s="80">
        <v>5883</v>
      </c>
      <c r="AE137" s="80">
        <v>-69</v>
      </c>
      <c r="AF137" s="80">
        <v>6</v>
      </c>
      <c r="AG137" s="80">
        <v>6</v>
      </c>
      <c r="AH137" s="80">
        <v>0</v>
      </c>
      <c r="AI137" s="80">
        <v>79</v>
      </c>
      <c r="AJ137" s="80">
        <v>2</v>
      </c>
      <c r="AK137" s="80">
        <v>642</v>
      </c>
      <c r="AL137" s="80">
        <v>630</v>
      </c>
      <c r="AM137" s="80">
        <v>630</v>
      </c>
      <c r="AN137" s="80">
        <v>0</v>
      </c>
      <c r="AO137" s="80">
        <v>0</v>
      </c>
      <c r="AP137" s="80">
        <v>0</v>
      </c>
      <c r="AQ137" s="80">
        <v>0</v>
      </c>
      <c r="AR137" s="80">
        <v>12</v>
      </c>
      <c r="AS137" s="80">
        <v>0</v>
      </c>
      <c r="AT137" s="80">
        <v>0</v>
      </c>
      <c r="AU137" s="80">
        <v>0</v>
      </c>
      <c r="AV137" s="80">
        <v>12</v>
      </c>
      <c r="AW137" s="81"/>
      <c r="AX137" s="80">
        <v>642</v>
      </c>
      <c r="AY137" s="80">
        <v>642</v>
      </c>
      <c r="AZ137" s="80">
        <v>0</v>
      </c>
      <c r="BA137" s="80">
        <v>0</v>
      </c>
      <c r="BB137" s="80">
        <v>-663</v>
      </c>
      <c r="BC137" s="80">
        <v>944</v>
      </c>
      <c r="BD137" s="80">
        <v>201</v>
      </c>
      <c r="BE137" s="80">
        <v>80</v>
      </c>
      <c r="BF137" s="80">
        <v>-21</v>
      </c>
      <c r="BG137" s="80">
        <v>433</v>
      </c>
      <c r="BH137" s="80">
        <v>-4</v>
      </c>
      <c r="BI137" s="80">
        <v>8</v>
      </c>
      <c r="BJ137" s="80">
        <v>4</v>
      </c>
      <c r="BK137" s="80">
        <v>190</v>
      </c>
      <c r="BL137" s="80">
        <v>700</v>
      </c>
      <c r="BM137" s="80">
        <v>510</v>
      </c>
      <c r="BN137" s="80">
        <v>0</v>
      </c>
      <c r="BO137" s="80">
        <v>0</v>
      </c>
      <c r="BP137" s="80">
        <v>247</v>
      </c>
      <c r="BQ137" s="80">
        <v>0</v>
      </c>
      <c r="BR137" s="80">
        <v>0</v>
      </c>
      <c r="BS137" s="80">
        <v>282</v>
      </c>
      <c r="BT137" s="80">
        <v>-35</v>
      </c>
      <c r="BU137" s="80">
        <v>412</v>
      </c>
      <c r="BV137" s="80">
        <v>802</v>
      </c>
      <c r="BW137" s="80">
        <v>390</v>
      </c>
      <c r="BX137" s="81"/>
      <c r="BY137" s="80">
        <v>11267</v>
      </c>
      <c r="BZ137" s="80">
        <v>29</v>
      </c>
      <c r="CA137" s="80">
        <v>29</v>
      </c>
      <c r="CB137" s="80">
        <v>0</v>
      </c>
      <c r="CC137" s="80">
        <v>0</v>
      </c>
      <c r="CD137" s="80">
        <v>9675</v>
      </c>
      <c r="CE137" s="80">
        <v>2429</v>
      </c>
      <c r="CF137" s="80">
        <v>5597</v>
      </c>
      <c r="CG137" s="80">
        <v>1618</v>
      </c>
      <c r="CH137" s="80">
        <v>31</v>
      </c>
      <c r="CI137" s="80">
        <v>0</v>
      </c>
      <c r="CJ137" s="80">
        <v>0</v>
      </c>
      <c r="CK137" s="80">
        <v>0</v>
      </c>
      <c r="CL137" s="80">
        <v>1563</v>
      </c>
      <c r="CM137" s="80">
        <v>1130</v>
      </c>
      <c r="CN137" s="80">
        <v>647</v>
      </c>
      <c r="CO137" s="80">
        <v>483</v>
      </c>
      <c r="CP137" s="80">
        <v>0</v>
      </c>
      <c r="CQ137" s="80">
        <v>384</v>
      </c>
      <c r="CR137" s="80">
        <v>0</v>
      </c>
      <c r="CS137" s="80">
        <v>0</v>
      </c>
      <c r="CT137" s="80">
        <v>384</v>
      </c>
      <c r="CU137" s="80">
        <v>49</v>
      </c>
      <c r="CV137" s="80">
        <v>0</v>
      </c>
      <c r="CW137" s="80">
        <v>0</v>
      </c>
      <c r="CX137" s="80">
        <v>0</v>
      </c>
      <c r="CY137" s="80">
        <v>0</v>
      </c>
      <c r="CZ137" s="80">
        <v>1568</v>
      </c>
      <c r="DA137" s="80">
        <v>188</v>
      </c>
      <c r="DB137" s="80">
        <v>0</v>
      </c>
      <c r="DC137" s="80">
        <v>0</v>
      </c>
      <c r="DD137" s="80">
        <v>0</v>
      </c>
      <c r="DE137" s="80">
        <v>188</v>
      </c>
      <c r="DF137" s="80">
        <v>0</v>
      </c>
      <c r="DG137" s="80">
        <v>578</v>
      </c>
      <c r="DH137" s="80">
        <v>0</v>
      </c>
      <c r="DI137" s="80">
        <v>0</v>
      </c>
      <c r="DJ137" s="80">
        <v>0</v>
      </c>
      <c r="DK137" s="80">
        <v>0</v>
      </c>
      <c r="DL137" s="80">
        <v>0</v>
      </c>
      <c r="DM137" s="80">
        <v>578</v>
      </c>
      <c r="DN137" s="80">
        <v>391</v>
      </c>
      <c r="DO137" s="80">
        <v>20</v>
      </c>
      <c r="DP137" s="80">
        <v>105</v>
      </c>
      <c r="DQ137" s="80">
        <v>62</v>
      </c>
      <c r="DR137" s="80">
        <v>0</v>
      </c>
      <c r="DS137" s="80">
        <v>0</v>
      </c>
      <c r="DT137" s="80">
        <v>0</v>
      </c>
      <c r="DU137" s="80">
        <v>0</v>
      </c>
      <c r="DV137" s="80">
        <v>0</v>
      </c>
      <c r="DW137" s="80">
        <v>802</v>
      </c>
      <c r="DX137" s="80">
        <v>12835</v>
      </c>
      <c r="DY137" s="80">
        <v>6910</v>
      </c>
      <c r="DZ137" s="80">
        <v>7037</v>
      </c>
      <c r="EA137" s="80">
        <v>0</v>
      </c>
      <c r="EB137" s="80">
        <v>0</v>
      </c>
      <c r="EC137" s="80">
        <v>-139</v>
      </c>
      <c r="ED137" s="80">
        <v>12</v>
      </c>
      <c r="EE137" s="80">
        <v>0</v>
      </c>
      <c r="EF137" s="80">
        <v>0</v>
      </c>
      <c r="EG137" s="80">
        <v>0</v>
      </c>
      <c r="EH137" s="80">
        <v>0</v>
      </c>
      <c r="EI137" s="80">
        <v>0</v>
      </c>
      <c r="EJ137" s="80">
        <v>0</v>
      </c>
      <c r="EK137" s="80">
        <v>135</v>
      </c>
      <c r="EL137" s="80">
        <v>1</v>
      </c>
      <c r="EM137" s="80">
        <v>1</v>
      </c>
      <c r="EN137" s="80">
        <v>133</v>
      </c>
      <c r="EO137" s="80">
        <v>5790</v>
      </c>
      <c r="EP137" s="80">
        <v>3942</v>
      </c>
      <c r="EQ137" s="80">
        <v>0</v>
      </c>
      <c r="ER137" s="80">
        <v>3667</v>
      </c>
      <c r="ES137" s="80">
        <v>0</v>
      </c>
      <c r="ET137" s="80">
        <v>3667</v>
      </c>
      <c r="EU137" s="80">
        <v>0</v>
      </c>
      <c r="EV137" s="80">
        <v>0</v>
      </c>
      <c r="EW137" s="80">
        <v>0</v>
      </c>
      <c r="EX137" s="80">
        <v>0</v>
      </c>
      <c r="EY137" s="80">
        <v>0</v>
      </c>
      <c r="EZ137" s="80">
        <v>0</v>
      </c>
      <c r="FA137" s="80">
        <v>0</v>
      </c>
      <c r="FB137" s="80">
        <v>0</v>
      </c>
      <c r="FC137" s="80">
        <v>275</v>
      </c>
      <c r="FD137" s="80">
        <v>1848</v>
      </c>
      <c r="FE137" s="80">
        <v>0</v>
      </c>
      <c r="FF137" s="80">
        <v>580</v>
      </c>
      <c r="FG137" s="80">
        <v>0</v>
      </c>
      <c r="FH137" s="80">
        <v>580</v>
      </c>
      <c r="FI137" s="80">
        <v>0</v>
      </c>
      <c r="FJ137" s="80">
        <v>0</v>
      </c>
      <c r="FK137" s="80">
        <v>0</v>
      </c>
      <c r="FL137" s="80">
        <v>0</v>
      </c>
      <c r="FM137" s="80">
        <v>61</v>
      </c>
      <c r="FN137" s="80">
        <v>434</v>
      </c>
      <c r="FO137" s="80">
        <v>154</v>
      </c>
      <c r="FP137" s="80">
        <v>619</v>
      </c>
      <c r="FQ137" s="80">
        <v>12835</v>
      </c>
      <c r="FR137" s="80">
        <v>2789</v>
      </c>
      <c r="FS137" s="80">
        <v>273</v>
      </c>
      <c r="FT137" s="100">
        <v>9345.6455566855184</v>
      </c>
      <c r="FU137" s="100"/>
      <c r="FV137" s="100">
        <v>2986</v>
      </c>
      <c r="FW137" s="67">
        <v>619</v>
      </c>
      <c r="FX137" s="100">
        <f t="shared" si="10"/>
        <v>-11772</v>
      </c>
      <c r="FY137" s="100">
        <f t="shared" si="11"/>
        <v>-14927</v>
      </c>
      <c r="FZ137" s="100">
        <v>9221.2950703436982</v>
      </c>
      <c r="GA137" s="67">
        <v>3155</v>
      </c>
      <c r="GB137" s="58">
        <f t="shared" si="8"/>
        <v>169</v>
      </c>
      <c r="GC137" s="67">
        <v>629</v>
      </c>
      <c r="GD137" s="100">
        <v>343</v>
      </c>
      <c r="GE137" s="100">
        <v>343</v>
      </c>
      <c r="GF137" s="58">
        <f t="shared" si="9"/>
        <v>0</v>
      </c>
      <c r="GG137" s="100">
        <v>-5241.0749999999998</v>
      </c>
      <c r="GH137" s="100">
        <v>-158.25455000000005</v>
      </c>
      <c r="GI137" s="100">
        <v>-3938.1689148883206</v>
      </c>
      <c r="GJ137" s="67">
        <f t="shared" si="12"/>
        <v>10</v>
      </c>
      <c r="GK137" s="67"/>
      <c r="GM137" s="96"/>
    </row>
    <row r="138" spans="1:195" ht="13.5" customHeight="1" x14ac:dyDescent="0.2">
      <c r="A138" s="74">
        <v>418</v>
      </c>
      <c r="B138" s="75" t="s">
        <v>91</v>
      </c>
      <c r="C138" s="75" t="s">
        <v>91</v>
      </c>
      <c r="D138" s="76"/>
      <c r="E138" s="77" t="s">
        <v>214</v>
      </c>
      <c r="F138" s="78">
        <v>5</v>
      </c>
      <c r="G138" s="79">
        <v>22536</v>
      </c>
      <c r="H138" s="80">
        <v>25001</v>
      </c>
      <c r="I138" s="80">
        <v>11575</v>
      </c>
      <c r="J138" s="80">
        <v>6587</v>
      </c>
      <c r="K138" s="80">
        <v>2439</v>
      </c>
      <c r="L138" s="80">
        <v>4400</v>
      </c>
      <c r="M138" s="80">
        <v>0</v>
      </c>
      <c r="N138" s="80">
        <v>420</v>
      </c>
      <c r="O138" s="80">
        <v>133313</v>
      </c>
      <c r="P138" s="80">
        <v>63597</v>
      </c>
      <c r="Q138" s="80">
        <v>49506</v>
      </c>
      <c r="R138" s="80">
        <v>14091</v>
      </c>
      <c r="S138" s="80">
        <v>11088</v>
      </c>
      <c r="T138" s="80">
        <v>3003</v>
      </c>
      <c r="U138" s="80">
        <v>48591</v>
      </c>
      <c r="V138" s="80">
        <v>8179</v>
      </c>
      <c r="W138" s="80">
        <v>8739</v>
      </c>
      <c r="X138" s="80">
        <v>4207</v>
      </c>
      <c r="Y138" s="80">
        <v>-107892</v>
      </c>
      <c r="Z138" s="80">
        <v>88548</v>
      </c>
      <c r="AA138" s="80">
        <v>79515</v>
      </c>
      <c r="AB138" s="80">
        <v>3812</v>
      </c>
      <c r="AC138" s="80">
        <v>5221</v>
      </c>
      <c r="AD138" s="80">
        <v>24937</v>
      </c>
      <c r="AE138" s="80">
        <v>-243</v>
      </c>
      <c r="AF138" s="80">
        <v>12</v>
      </c>
      <c r="AG138" s="80">
        <v>319</v>
      </c>
      <c r="AH138" s="80">
        <v>50</v>
      </c>
      <c r="AI138" s="80">
        <v>570</v>
      </c>
      <c r="AJ138" s="80">
        <v>4</v>
      </c>
      <c r="AK138" s="80">
        <v>5350</v>
      </c>
      <c r="AL138" s="80">
        <v>10285</v>
      </c>
      <c r="AM138" s="80">
        <v>10285</v>
      </c>
      <c r="AN138" s="80">
        <v>0</v>
      </c>
      <c r="AO138" s="80">
        <v>0</v>
      </c>
      <c r="AP138" s="80">
        <v>0</v>
      </c>
      <c r="AQ138" s="80">
        <v>0</v>
      </c>
      <c r="AR138" s="80">
        <v>-4935</v>
      </c>
      <c r="AS138" s="80">
        <v>125</v>
      </c>
      <c r="AT138" s="80">
        <v>0</v>
      </c>
      <c r="AU138" s="80">
        <v>0</v>
      </c>
      <c r="AV138" s="80">
        <v>-4810</v>
      </c>
      <c r="AW138" s="81"/>
      <c r="AX138" s="80">
        <v>3601</v>
      </c>
      <c r="AY138" s="80">
        <v>5350</v>
      </c>
      <c r="AZ138" s="80">
        <v>0</v>
      </c>
      <c r="BA138" s="80">
        <v>-1749</v>
      </c>
      <c r="BB138" s="80">
        <v>-16711</v>
      </c>
      <c r="BC138" s="80">
        <v>19590</v>
      </c>
      <c r="BD138" s="80">
        <v>759</v>
      </c>
      <c r="BE138" s="80">
        <v>2120</v>
      </c>
      <c r="BF138" s="80">
        <v>-13110</v>
      </c>
      <c r="BG138" s="80">
        <v>13768</v>
      </c>
      <c r="BH138" s="80">
        <v>-48</v>
      </c>
      <c r="BI138" s="80">
        <v>48</v>
      </c>
      <c r="BJ138" s="80">
        <v>0</v>
      </c>
      <c r="BK138" s="80">
        <v>12193</v>
      </c>
      <c r="BL138" s="80">
        <v>19500</v>
      </c>
      <c r="BM138" s="80">
        <v>8907</v>
      </c>
      <c r="BN138" s="80">
        <v>1600</v>
      </c>
      <c r="BO138" s="80">
        <v>0</v>
      </c>
      <c r="BP138" s="80">
        <v>1623</v>
      </c>
      <c r="BQ138" s="80">
        <v>35</v>
      </c>
      <c r="BR138" s="80">
        <v>136</v>
      </c>
      <c r="BS138" s="80">
        <v>1104</v>
      </c>
      <c r="BT138" s="80">
        <v>348</v>
      </c>
      <c r="BU138" s="80">
        <v>657</v>
      </c>
      <c r="BV138" s="80">
        <v>3128</v>
      </c>
      <c r="BW138" s="80">
        <v>2471</v>
      </c>
      <c r="BX138" s="81"/>
      <c r="BY138" s="80">
        <v>150621</v>
      </c>
      <c r="BZ138" s="80">
        <v>64</v>
      </c>
      <c r="CA138" s="80">
        <v>8</v>
      </c>
      <c r="CB138" s="80">
        <v>56</v>
      </c>
      <c r="CC138" s="80">
        <v>0</v>
      </c>
      <c r="CD138" s="80">
        <v>130390</v>
      </c>
      <c r="CE138" s="80">
        <v>22617</v>
      </c>
      <c r="CF138" s="80">
        <v>61045</v>
      </c>
      <c r="CG138" s="80">
        <v>40534</v>
      </c>
      <c r="CH138" s="80">
        <v>2196</v>
      </c>
      <c r="CI138" s="80">
        <v>61</v>
      </c>
      <c r="CJ138" s="80">
        <v>61</v>
      </c>
      <c r="CK138" s="80">
        <v>3937</v>
      </c>
      <c r="CL138" s="80">
        <v>20167</v>
      </c>
      <c r="CM138" s="80">
        <v>19410</v>
      </c>
      <c r="CN138" s="80">
        <v>4807</v>
      </c>
      <c r="CO138" s="80">
        <v>14603</v>
      </c>
      <c r="CP138" s="80">
        <v>0</v>
      </c>
      <c r="CQ138" s="80">
        <v>405</v>
      </c>
      <c r="CR138" s="80">
        <v>0</v>
      </c>
      <c r="CS138" s="80">
        <v>0</v>
      </c>
      <c r="CT138" s="80">
        <v>405</v>
      </c>
      <c r="CU138" s="80">
        <v>352</v>
      </c>
      <c r="CV138" s="80">
        <v>627</v>
      </c>
      <c r="CW138" s="80">
        <v>581</v>
      </c>
      <c r="CX138" s="80">
        <v>0</v>
      </c>
      <c r="CY138" s="80">
        <v>46</v>
      </c>
      <c r="CZ138" s="80">
        <v>7785</v>
      </c>
      <c r="DA138" s="80">
        <v>14</v>
      </c>
      <c r="DB138" s="80">
        <v>14</v>
      </c>
      <c r="DC138" s="80">
        <v>0</v>
      </c>
      <c r="DD138" s="80">
        <v>0</v>
      </c>
      <c r="DE138" s="80">
        <v>0</v>
      </c>
      <c r="DF138" s="80">
        <v>0</v>
      </c>
      <c r="DG138" s="80">
        <v>4643</v>
      </c>
      <c r="DH138" s="80">
        <v>671</v>
      </c>
      <c r="DI138" s="80">
        <v>0</v>
      </c>
      <c r="DJ138" s="80">
        <v>671</v>
      </c>
      <c r="DK138" s="80">
        <v>0</v>
      </c>
      <c r="DL138" s="80">
        <v>0</v>
      </c>
      <c r="DM138" s="80">
        <v>3972</v>
      </c>
      <c r="DN138" s="80">
        <v>2120</v>
      </c>
      <c r="DO138" s="80">
        <v>509</v>
      </c>
      <c r="DP138" s="80">
        <v>579</v>
      </c>
      <c r="DQ138" s="80">
        <v>764</v>
      </c>
      <c r="DR138" s="80">
        <v>1255</v>
      </c>
      <c r="DS138" s="80">
        <v>0</v>
      </c>
      <c r="DT138" s="80">
        <v>0</v>
      </c>
      <c r="DU138" s="80">
        <v>0</v>
      </c>
      <c r="DV138" s="80">
        <v>1255</v>
      </c>
      <c r="DW138" s="80">
        <v>1873</v>
      </c>
      <c r="DX138" s="80">
        <v>159033</v>
      </c>
      <c r="DY138" s="80">
        <v>58719</v>
      </c>
      <c r="DZ138" s="80">
        <v>45563</v>
      </c>
      <c r="EA138" s="80">
        <v>0</v>
      </c>
      <c r="EB138" s="80">
        <v>0</v>
      </c>
      <c r="EC138" s="80">
        <v>17965</v>
      </c>
      <c r="ED138" s="80">
        <v>-4809</v>
      </c>
      <c r="EE138" s="80">
        <v>975</v>
      </c>
      <c r="EF138" s="80">
        <v>975</v>
      </c>
      <c r="EG138" s="80">
        <v>0</v>
      </c>
      <c r="EH138" s="80">
        <v>0</v>
      </c>
      <c r="EI138" s="80">
        <v>0</v>
      </c>
      <c r="EJ138" s="80">
        <v>0</v>
      </c>
      <c r="EK138" s="80">
        <v>674</v>
      </c>
      <c r="EL138" s="80">
        <v>581</v>
      </c>
      <c r="EM138" s="80">
        <v>47</v>
      </c>
      <c r="EN138" s="80">
        <v>46</v>
      </c>
      <c r="EO138" s="80">
        <v>98666</v>
      </c>
      <c r="EP138" s="80">
        <v>69329</v>
      </c>
      <c r="EQ138" s="80">
        <v>0</v>
      </c>
      <c r="ER138" s="80">
        <v>65443</v>
      </c>
      <c r="ES138" s="80">
        <v>100</v>
      </c>
      <c r="ET138" s="80">
        <v>65343</v>
      </c>
      <c r="EU138" s="80">
        <v>0</v>
      </c>
      <c r="EV138" s="80">
        <v>0</v>
      </c>
      <c r="EW138" s="80">
        <v>0</v>
      </c>
      <c r="EX138" s="80">
        <v>0</v>
      </c>
      <c r="EY138" s="80">
        <v>0</v>
      </c>
      <c r="EZ138" s="80">
        <v>0</v>
      </c>
      <c r="FA138" s="80">
        <v>3886</v>
      </c>
      <c r="FB138" s="80">
        <v>0</v>
      </c>
      <c r="FC138" s="80">
        <v>0</v>
      </c>
      <c r="FD138" s="80">
        <v>29337</v>
      </c>
      <c r="FE138" s="80">
        <v>0</v>
      </c>
      <c r="FF138" s="80">
        <v>12703</v>
      </c>
      <c r="FG138" s="80">
        <v>200</v>
      </c>
      <c r="FH138" s="80">
        <v>12203</v>
      </c>
      <c r="FI138" s="80">
        <v>0</v>
      </c>
      <c r="FJ138" s="80">
        <v>300</v>
      </c>
      <c r="FK138" s="80">
        <v>0</v>
      </c>
      <c r="FL138" s="80">
        <v>0</v>
      </c>
      <c r="FM138" s="80">
        <v>165</v>
      </c>
      <c r="FN138" s="80">
        <v>5024</v>
      </c>
      <c r="FO138" s="80">
        <v>2371</v>
      </c>
      <c r="FP138" s="80">
        <v>9074</v>
      </c>
      <c r="FQ138" s="80">
        <v>159034</v>
      </c>
      <c r="FR138" s="80">
        <v>14785</v>
      </c>
      <c r="FS138" s="80">
        <v>897</v>
      </c>
      <c r="FT138" s="100">
        <v>88065.218369781185</v>
      </c>
      <c r="FU138" s="100"/>
      <c r="FV138" s="100">
        <v>38280</v>
      </c>
      <c r="FW138" s="67">
        <v>9825</v>
      </c>
      <c r="FX138" s="100">
        <f t="shared" si="10"/>
        <v>-54160</v>
      </c>
      <c r="FY138" s="100">
        <f t="shared" si="11"/>
        <v>-97607</v>
      </c>
      <c r="FZ138" s="100">
        <v>62088.416478674706</v>
      </c>
      <c r="GA138" s="67">
        <v>43447</v>
      </c>
      <c r="GB138" s="58">
        <f t="shared" ref="GB138:GB201" si="13">GA138-FV138</f>
        <v>5167</v>
      </c>
      <c r="GC138" s="67">
        <v>10285</v>
      </c>
      <c r="GD138" s="100">
        <v>6606</v>
      </c>
      <c r="GE138" s="100">
        <v>4103</v>
      </c>
      <c r="GF138" s="58">
        <f t="shared" ref="GF138:GF201" si="14">GD138-GE138</f>
        <v>2503</v>
      </c>
      <c r="GG138" s="100">
        <v>-46510.950000000004</v>
      </c>
      <c r="GH138" s="100">
        <v>-1294.0500500000007</v>
      </c>
      <c r="GI138" s="100">
        <v>-13739.139980786838</v>
      </c>
      <c r="GJ138" s="67">
        <f t="shared" si="12"/>
        <v>460</v>
      </c>
      <c r="GK138" s="67"/>
      <c r="GM138" s="96"/>
    </row>
    <row r="139" spans="1:195" ht="13.5" customHeight="1" x14ac:dyDescent="0.2">
      <c r="A139" s="74">
        <v>420</v>
      </c>
      <c r="B139" s="75" t="s">
        <v>92</v>
      </c>
      <c r="C139" s="75" t="s">
        <v>92</v>
      </c>
      <c r="D139" s="76"/>
      <c r="E139" s="77" t="s">
        <v>239</v>
      </c>
      <c r="F139" s="78">
        <v>3</v>
      </c>
      <c r="G139" s="79">
        <v>9953</v>
      </c>
      <c r="H139" s="80">
        <v>10106</v>
      </c>
      <c r="I139" s="80">
        <v>4560</v>
      </c>
      <c r="J139" s="80">
        <v>2235</v>
      </c>
      <c r="K139" s="80">
        <v>849</v>
      </c>
      <c r="L139" s="80">
        <v>2462</v>
      </c>
      <c r="M139" s="80">
        <v>0</v>
      </c>
      <c r="N139" s="80">
        <v>6</v>
      </c>
      <c r="O139" s="80">
        <v>63405</v>
      </c>
      <c r="P139" s="80">
        <v>21550</v>
      </c>
      <c r="Q139" s="80">
        <v>15820</v>
      </c>
      <c r="R139" s="80">
        <v>5730</v>
      </c>
      <c r="S139" s="80">
        <v>4734</v>
      </c>
      <c r="T139" s="80">
        <v>996</v>
      </c>
      <c r="U139" s="80">
        <v>34973</v>
      </c>
      <c r="V139" s="80">
        <v>3069</v>
      </c>
      <c r="W139" s="80">
        <v>3358</v>
      </c>
      <c r="X139" s="80">
        <v>455</v>
      </c>
      <c r="Y139" s="80">
        <v>-53293</v>
      </c>
      <c r="Z139" s="80">
        <v>33098</v>
      </c>
      <c r="AA139" s="80">
        <v>28481</v>
      </c>
      <c r="AB139" s="80">
        <v>2342</v>
      </c>
      <c r="AC139" s="80">
        <v>2275</v>
      </c>
      <c r="AD139" s="80">
        <v>25103</v>
      </c>
      <c r="AE139" s="80">
        <v>508</v>
      </c>
      <c r="AF139" s="80">
        <v>37</v>
      </c>
      <c r="AG139" s="80">
        <v>648</v>
      </c>
      <c r="AH139" s="80">
        <v>488</v>
      </c>
      <c r="AI139" s="80">
        <v>175</v>
      </c>
      <c r="AJ139" s="80">
        <v>2</v>
      </c>
      <c r="AK139" s="80">
        <v>5416</v>
      </c>
      <c r="AL139" s="80">
        <v>4235</v>
      </c>
      <c r="AM139" s="80">
        <v>4235</v>
      </c>
      <c r="AN139" s="80">
        <v>0</v>
      </c>
      <c r="AO139" s="80">
        <v>0</v>
      </c>
      <c r="AP139" s="80">
        <v>0</v>
      </c>
      <c r="AQ139" s="80">
        <v>0</v>
      </c>
      <c r="AR139" s="80">
        <v>1181</v>
      </c>
      <c r="AS139" s="80">
        <v>84</v>
      </c>
      <c r="AT139" s="80">
        <v>-1100</v>
      </c>
      <c r="AU139" s="80">
        <v>0</v>
      </c>
      <c r="AV139" s="80">
        <v>165</v>
      </c>
      <c r="AW139" s="81"/>
      <c r="AX139" s="80">
        <v>5279</v>
      </c>
      <c r="AY139" s="80">
        <v>5416</v>
      </c>
      <c r="AZ139" s="80">
        <v>0</v>
      </c>
      <c r="BA139" s="80">
        <v>-137</v>
      </c>
      <c r="BB139" s="80">
        <v>-2175</v>
      </c>
      <c r="BC139" s="80">
        <v>2513</v>
      </c>
      <c r="BD139" s="80">
        <v>180</v>
      </c>
      <c r="BE139" s="80">
        <v>158</v>
      </c>
      <c r="BF139" s="80">
        <v>3104</v>
      </c>
      <c r="BG139" s="80">
        <v>-352</v>
      </c>
      <c r="BH139" s="80">
        <v>-150</v>
      </c>
      <c r="BI139" s="80">
        <v>150</v>
      </c>
      <c r="BJ139" s="80">
        <v>0</v>
      </c>
      <c r="BK139" s="80">
        <v>-1313</v>
      </c>
      <c r="BL139" s="80">
        <v>0</v>
      </c>
      <c r="BM139" s="80">
        <v>1313</v>
      </c>
      <c r="BN139" s="80">
        <v>0</v>
      </c>
      <c r="BO139" s="80">
        <v>0</v>
      </c>
      <c r="BP139" s="80">
        <v>1111</v>
      </c>
      <c r="BQ139" s="80">
        <v>-6</v>
      </c>
      <c r="BR139" s="80">
        <v>0</v>
      </c>
      <c r="BS139" s="80">
        <v>286</v>
      </c>
      <c r="BT139" s="80">
        <v>831</v>
      </c>
      <c r="BU139" s="80">
        <v>2753</v>
      </c>
      <c r="BV139" s="80">
        <v>7599</v>
      </c>
      <c r="BW139" s="80">
        <v>4846</v>
      </c>
      <c r="BX139" s="81"/>
      <c r="BY139" s="80">
        <v>57621</v>
      </c>
      <c r="BZ139" s="80">
        <v>607</v>
      </c>
      <c r="CA139" s="80">
        <v>74</v>
      </c>
      <c r="CB139" s="80">
        <v>533</v>
      </c>
      <c r="CC139" s="80">
        <v>0</v>
      </c>
      <c r="CD139" s="80">
        <v>45471</v>
      </c>
      <c r="CE139" s="80">
        <v>12382</v>
      </c>
      <c r="CF139" s="80">
        <v>23086</v>
      </c>
      <c r="CG139" s="80">
        <v>9428</v>
      </c>
      <c r="CH139" s="80">
        <v>512</v>
      </c>
      <c r="CI139" s="80">
        <v>44</v>
      </c>
      <c r="CJ139" s="80">
        <v>44</v>
      </c>
      <c r="CK139" s="80">
        <v>19</v>
      </c>
      <c r="CL139" s="80">
        <v>11543</v>
      </c>
      <c r="CM139" s="80">
        <v>6769</v>
      </c>
      <c r="CN139" s="80">
        <v>4460</v>
      </c>
      <c r="CO139" s="80">
        <v>2309</v>
      </c>
      <c r="CP139" s="80">
        <v>0</v>
      </c>
      <c r="CQ139" s="80">
        <v>4774</v>
      </c>
      <c r="CR139" s="80">
        <v>0</v>
      </c>
      <c r="CS139" s="80">
        <v>0</v>
      </c>
      <c r="CT139" s="80">
        <v>4774</v>
      </c>
      <c r="CU139" s="80">
        <v>0</v>
      </c>
      <c r="CV139" s="80">
        <v>0</v>
      </c>
      <c r="CW139" s="80">
        <v>0</v>
      </c>
      <c r="CX139" s="80">
        <v>0</v>
      </c>
      <c r="CY139" s="80">
        <v>0</v>
      </c>
      <c r="CZ139" s="80">
        <v>9922</v>
      </c>
      <c r="DA139" s="80">
        <v>0</v>
      </c>
      <c r="DB139" s="80">
        <v>0</v>
      </c>
      <c r="DC139" s="80">
        <v>0</v>
      </c>
      <c r="DD139" s="80">
        <v>0</v>
      </c>
      <c r="DE139" s="80">
        <v>0</v>
      </c>
      <c r="DF139" s="80">
        <v>0</v>
      </c>
      <c r="DG139" s="80">
        <v>2323</v>
      </c>
      <c r="DH139" s="80">
        <v>540</v>
      </c>
      <c r="DI139" s="80">
        <v>0</v>
      </c>
      <c r="DJ139" s="80">
        <v>0</v>
      </c>
      <c r="DK139" s="80">
        <v>540</v>
      </c>
      <c r="DL139" s="80">
        <v>0</v>
      </c>
      <c r="DM139" s="80">
        <v>1783</v>
      </c>
      <c r="DN139" s="80">
        <v>957</v>
      </c>
      <c r="DO139" s="80">
        <v>0</v>
      </c>
      <c r="DP139" s="80">
        <v>428</v>
      </c>
      <c r="DQ139" s="80">
        <v>398</v>
      </c>
      <c r="DR139" s="80">
        <v>1426</v>
      </c>
      <c r="DS139" s="80">
        <v>1426</v>
      </c>
      <c r="DT139" s="80">
        <v>0</v>
      </c>
      <c r="DU139" s="80">
        <v>0</v>
      </c>
      <c r="DV139" s="80">
        <v>0</v>
      </c>
      <c r="DW139" s="80">
        <v>6173</v>
      </c>
      <c r="DX139" s="80">
        <v>67543</v>
      </c>
      <c r="DY139" s="80">
        <v>47122</v>
      </c>
      <c r="DZ139" s="80">
        <v>40300</v>
      </c>
      <c r="EA139" s="80">
        <v>0</v>
      </c>
      <c r="EB139" s="80">
        <v>1492</v>
      </c>
      <c r="EC139" s="80">
        <v>5165</v>
      </c>
      <c r="ED139" s="80">
        <v>165</v>
      </c>
      <c r="EE139" s="80">
        <v>5310</v>
      </c>
      <c r="EF139" s="80">
        <v>3010</v>
      </c>
      <c r="EG139" s="80">
        <v>2300</v>
      </c>
      <c r="EH139" s="80">
        <v>0</v>
      </c>
      <c r="EI139" s="80">
        <v>0</v>
      </c>
      <c r="EJ139" s="80">
        <v>0</v>
      </c>
      <c r="EK139" s="80">
        <v>457</v>
      </c>
      <c r="EL139" s="80">
        <v>7</v>
      </c>
      <c r="EM139" s="80">
        <v>211</v>
      </c>
      <c r="EN139" s="80">
        <v>239</v>
      </c>
      <c r="EO139" s="80">
        <v>14654</v>
      </c>
      <c r="EP139" s="80">
        <v>7495</v>
      </c>
      <c r="EQ139" s="80">
        <v>0</v>
      </c>
      <c r="ER139" s="80">
        <v>6662</v>
      </c>
      <c r="ES139" s="80">
        <v>550</v>
      </c>
      <c r="ET139" s="80">
        <v>6112</v>
      </c>
      <c r="EU139" s="80">
        <v>0</v>
      </c>
      <c r="EV139" s="80">
        <v>0</v>
      </c>
      <c r="EW139" s="80">
        <v>0</v>
      </c>
      <c r="EX139" s="80">
        <v>0</v>
      </c>
      <c r="EY139" s="80">
        <v>0</v>
      </c>
      <c r="EZ139" s="80">
        <v>0</v>
      </c>
      <c r="FA139" s="80">
        <v>833</v>
      </c>
      <c r="FB139" s="80">
        <v>0</v>
      </c>
      <c r="FC139" s="80">
        <v>0</v>
      </c>
      <c r="FD139" s="80">
        <v>7159</v>
      </c>
      <c r="FE139" s="80">
        <v>0</v>
      </c>
      <c r="FF139" s="80">
        <v>1313</v>
      </c>
      <c r="FG139" s="80">
        <v>100</v>
      </c>
      <c r="FH139" s="80">
        <v>1213</v>
      </c>
      <c r="FI139" s="80">
        <v>0</v>
      </c>
      <c r="FJ139" s="80">
        <v>0</v>
      </c>
      <c r="FK139" s="80">
        <v>0</v>
      </c>
      <c r="FL139" s="80">
        <v>0</v>
      </c>
      <c r="FM139" s="80">
        <v>0</v>
      </c>
      <c r="FN139" s="80">
        <v>2478</v>
      </c>
      <c r="FO139" s="80">
        <v>384</v>
      </c>
      <c r="FP139" s="80">
        <v>2984</v>
      </c>
      <c r="FQ139" s="80">
        <v>67543</v>
      </c>
      <c r="FR139" s="80">
        <v>14275</v>
      </c>
      <c r="FS139" s="80">
        <v>737</v>
      </c>
      <c r="FT139" s="100">
        <v>28402.323925560304</v>
      </c>
      <c r="FU139" s="100"/>
      <c r="FV139" s="100">
        <v>10912</v>
      </c>
      <c r="FW139" s="67">
        <v>4176</v>
      </c>
      <c r="FX139" s="100">
        <f t="shared" ref="FX139:FX202" si="15">FY139+GA139</f>
        <v>-34749</v>
      </c>
      <c r="FY139" s="100">
        <f t="shared" ref="FY139:FY202" si="16">Y139+AL139</f>
        <v>-49058</v>
      </c>
      <c r="FZ139" s="100">
        <v>35189.91499590579</v>
      </c>
      <c r="GA139" s="67">
        <v>14309</v>
      </c>
      <c r="GB139" s="58">
        <f t="shared" si="13"/>
        <v>3397</v>
      </c>
      <c r="GC139" s="67">
        <v>4235</v>
      </c>
      <c r="GD139" s="100">
        <v>2241</v>
      </c>
      <c r="GE139" s="100">
        <v>738</v>
      </c>
      <c r="GF139" s="58">
        <f t="shared" si="14"/>
        <v>1503</v>
      </c>
      <c r="GG139" s="100">
        <v>-17399.294000000002</v>
      </c>
      <c r="GH139" s="100">
        <v>-727.27045000000021</v>
      </c>
      <c r="GI139" s="100">
        <v>-17268.378486197857</v>
      </c>
      <c r="GJ139" s="67">
        <f t="shared" ref="GJ139:GJ202" si="17">GC139-FW139</f>
        <v>59</v>
      </c>
      <c r="GK139" s="67"/>
      <c r="GM139" s="96"/>
    </row>
    <row r="140" spans="1:195" ht="13.5" customHeight="1" x14ac:dyDescent="0.2">
      <c r="A140" s="74">
        <v>421</v>
      </c>
      <c r="B140" s="75" t="s">
        <v>93</v>
      </c>
      <c r="C140" s="75" t="s">
        <v>93</v>
      </c>
      <c r="D140" s="76"/>
      <c r="E140" s="77" t="s">
        <v>228</v>
      </c>
      <c r="F140" s="78">
        <v>1</v>
      </c>
      <c r="G140" s="79">
        <v>798</v>
      </c>
      <c r="H140" s="80">
        <v>1704</v>
      </c>
      <c r="I140" s="80">
        <v>1076</v>
      </c>
      <c r="J140" s="80">
        <v>50</v>
      </c>
      <c r="K140" s="80">
        <v>228</v>
      </c>
      <c r="L140" s="80">
        <v>350</v>
      </c>
      <c r="M140" s="80">
        <v>0</v>
      </c>
      <c r="N140" s="80">
        <v>0</v>
      </c>
      <c r="O140" s="80">
        <v>6850</v>
      </c>
      <c r="P140" s="80">
        <v>2288</v>
      </c>
      <c r="Q140" s="80">
        <v>1720</v>
      </c>
      <c r="R140" s="80">
        <v>568</v>
      </c>
      <c r="S140" s="80">
        <v>457</v>
      </c>
      <c r="T140" s="80">
        <v>111</v>
      </c>
      <c r="U140" s="80">
        <v>3860</v>
      </c>
      <c r="V140" s="80">
        <v>370</v>
      </c>
      <c r="W140" s="80">
        <v>293</v>
      </c>
      <c r="X140" s="80">
        <v>39</v>
      </c>
      <c r="Y140" s="80">
        <v>-5146</v>
      </c>
      <c r="Z140" s="80">
        <v>2448</v>
      </c>
      <c r="AA140" s="80">
        <v>1876</v>
      </c>
      <c r="AB140" s="80">
        <v>340</v>
      </c>
      <c r="AC140" s="80">
        <v>232</v>
      </c>
      <c r="AD140" s="80">
        <v>3150</v>
      </c>
      <c r="AE140" s="80">
        <v>-17</v>
      </c>
      <c r="AF140" s="80">
        <v>9</v>
      </c>
      <c r="AG140" s="80">
        <v>1</v>
      </c>
      <c r="AH140" s="80">
        <v>0</v>
      </c>
      <c r="AI140" s="80">
        <v>26</v>
      </c>
      <c r="AJ140" s="80">
        <v>1</v>
      </c>
      <c r="AK140" s="80">
        <v>435</v>
      </c>
      <c r="AL140" s="80">
        <v>285</v>
      </c>
      <c r="AM140" s="80">
        <v>285</v>
      </c>
      <c r="AN140" s="80">
        <v>0</v>
      </c>
      <c r="AO140" s="80">
        <v>0</v>
      </c>
      <c r="AP140" s="80">
        <v>0</v>
      </c>
      <c r="AQ140" s="80">
        <v>0</v>
      </c>
      <c r="AR140" s="80">
        <v>150</v>
      </c>
      <c r="AS140" s="80">
        <v>0</v>
      </c>
      <c r="AT140" s="80">
        <v>0</v>
      </c>
      <c r="AU140" s="80">
        <v>0</v>
      </c>
      <c r="AV140" s="80">
        <v>150</v>
      </c>
      <c r="AW140" s="81"/>
      <c r="AX140" s="80">
        <v>435</v>
      </c>
      <c r="AY140" s="80">
        <v>435</v>
      </c>
      <c r="AZ140" s="80">
        <v>0</v>
      </c>
      <c r="BA140" s="80">
        <v>0</v>
      </c>
      <c r="BB140" s="80">
        <v>-41</v>
      </c>
      <c r="BC140" s="80">
        <v>89</v>
      </c>
      <c r="BD140" s="80">
        <v>48</v>
      </c>
      <c r="BE140" s="80">
        <v>0</v>
      </c>
      <c r="BF140" s="80">
        <v>394</v>
      </c>
      <c r="BG140" s="80">
        <v>101</v>
      </c>
      <c r="BH140" s="80">
        <v>0</v>
      </c>
      <c r="BI140" s="80">
        <v>0</v>
      </c>
      <c r="BJ140" s="80">
        <v>0</v>
      </c>
      <c r="BK140" s="80">
        <v>-99</v>
      </c>
      <c r="BL140" s="80">
        <v>165</v>
      </c>
      <c r="BM140" s="80">
        <v>0</v>
      </c>
      <c r="BN140" s="80">
        <v>-264</v>
      </c>
      <c r="BO140" s="80">
        <v>0</v>
      </c>
      <c r="BP140" s="80">
        <v>200</v>
      </c>
      <c r="BQ140" s="80">
        <v>0</v>
      </c>
      <c r="BR140" s="80">
        <v>0</v>
      </c>
      <c r="BS140" s="80">
        <v>183</v>
      </c>
      <c r="BT140" s="80">
        <v>17</v>
      </c>
      <c r="BU140" s="80">
        <v>495</v>
      </c>
      <c r="BV140" s="80">
        <v>727</v>
      </c>
      <c r="BW140" s="80">
        <v>232</v>
      </c>
      <c r="BX140" s="81"/>
      <c r="BY140" s="80">
        <v>8544</v>
      </c>
      <c r="BZ140" s="80">
        <v>4</v>
      </c>
      <c r="CA140" s="80">
        <v>0</v>
      </c>
      <c r="CB140" s="80">
        <v>4</v>
      </c>
      <c r="CC140" s="80">
        <v>0</v>
      </c>
      <c r="CD140" s="80">
        <v>6991</v>
      </c>
      <c r="CE140" s="80">
        <v>1208</v>
      </c>
      <c r="CF140" s="80">
        <v>4781</v>
      </c>
      <c r="CG140" s="80">
        <v>963</v>
      </c>
      <c r="CH140" s="80">
        <v>14</v>
      </c>
      <c r="CI140" s="80">
        <v>0</v>
      </c>
      <c r="CJ140" s="80">
        <v>0</v>
      </c>
      <c r="CK140" s="80">
        <v>25</v>
      </c>
      <c r="CL140" s="80">
        <v>1549</v>
      </c>
      <c r="CM140" s="80">
        <v>888</v>
      </c>
      <c r="CN140" s="80">
        <v>174</v>
      </c>
      <c r="CO140" s="80">
        <v>714</v>
      </c>
      <c r="CP140" s="80">
        <v>0</v>
      </c>
      <c r="CQ140" s="80">
        <v>661</v>
      </c>
      <c r="CR140" s="80">
        <v>0</v>
      </c>
      <c r="CS140" s="80">
        <v>0</v>
      </c>
      <c r="CT140" s="80">
        <v>661</v>
      </c>
      <c r="CU140" s="80">
        <v>0</v>
      </c>
      <c r="CV140" s="80">
        <v>5</v>
      </c>
      <c r="CW140" s="80">
        <v>0</v>
      </c>
      <c r="CX140" s="80">
        <v>5</v>
      </c>
      <c r="CY140" s="80">
        <v>0</v>
      </c>
      <c r="CZ140" s="80">
        <v>1723</v>
      </c>
      <c r="DA140" s="80">
        <v>0</v>
      </c>
      <c r="DB140" s="80">
        <v>0</v>
      </c>
      <c r="DC140" s="80">
        <v>0</v>
      </c>
      <c r="DD140" s="80">
        <v>0</v>
      </c>
      <c r="DE140" s="80">
        <v>0</v>
      </c>
      <c r="DF140" s="80">
        <v>0</v>
      </c>
      <c r="DG140" s="80">
        <v>996</v>
      </c>
      <c r="DH140" s="80">
        <v>311</v>
      </c>
      <c r="DI140" s="80">
        <v>0</v>
      </c>
      <c r="DJ140" s="80">
        <v>254</v>
      </c>
      <c r="DK140" s="80">
        <v>54</v>
      </c>
      <c r="DL140" s="80">
        <v>3</v>
      </c>
      <c r="DM140" s="80">
        <v>685</v>
      </c>
      <c r="DN140" s="80">
        <v>0</v>
      </c>
      <c r="DO140" s="80">
        <v>0</v>
      </c>
      <c r="DP140" s="80">
        <v>38</v>
      </c>
      <c r="DQ140" s="80">
        <v>647</v>
      </c>
      <c r="DR140" s="80">
        <v>0</v>
      </c>
      <c r="DS140" s="80">
        <v>0</v>
      </c>
      <c r="DT140" s="80">
        <v>0</v>
      </c>
      <c r="DU140" s="80">
        <v>0</v>
      </c>
      <c r="DV140" s="80">
        <v>0</v>
      </c>
      <c r="DW140" s="80">
        <v>727</v>
      </c>
      <c r="DX140" s="80">
        <v>10272</v>
      </c>
      <c r="DY140" s="80">
        <v>7631</v>
      </c>
      <c r="DZ140" s="80">
        <v>2742</v>
      </c>
      <c r="EA140" s="80">
        <v>2937</v>
      </c>
      <c r="EB140" s="80">
        <v>0</v>
      </c>
      <c r="EC140" s="80">
        <v>1802</v>
      </c>
      <c r="ED140" s="80">
        <v>150</v>
      </c>
      <c r="EE140" s="80">
        <v>0</v>
      </c>
      <c r="EF140" s="80">
        <v>0</v>
      </c>
      <c r="EG140" s="80">
        <v>0</v>
      </c>
      <c r="EH140" s="80">
        <v>0</v>
      </c>
      <c r="EI140" s="80">
        <v>0</v>
      </c>
      <c r="EJ140" s="80">
        <v>0</v>
      </c>
      <c r="EK140" s="80">
        <v>5</v>
      </c>
      <c r="EL140" s="80">
        <v>0</v>
      </c>
      <c r="EM140" s="80">
        <v>5</v>
      </c>
      <c r="EN140" s="80">
        <v>0</v>
      </c>
      <c r="EO140" s="80">
        <v>2636</v>
      </c>
      <c r="EP140" s="80">
        <v>2027</v>
      </c>
      <c r="EQ140" s="80">
        <v>0</v>
      </c>
      <c r="ER140" s="80">
        <v>1766</v>
      </c>
      <c r="ES140" s="80">
        <v>169</v>
      </c>
      <c r="ET140" s="80">
        <v>1597</v>
      </c>
      <c r="EU140" s="80">
        <v>0</v>
      </c>
      <c r="EV140" s="80">
        <v>0</v>
      </c>
      <c r="EW140" s="80">
        <v>0</v>
      </c>
      <c r="EX140" s="80">
        <v>0</v>
      </c>
      <c r="EY140" s="80">
        <v>0</v>
      </c>
      <c r="EZ140" s="80">
        <v>0</v>
      </c>
      <c r="FA140" s="80">
        <v>261</v>
      </c>
      <c r="FB140" s="80">
        <v>0</v>
      </c>
      <c r="FC140" s="80">
        <v>0</v>
      </c>
      <c r="FD140" s="80">
        <v>609</v>
      </c>
      <c r="FE140" s="80">
        <v>0</v>
      </c>
      <c r="FF140" s="80">
        <v>4</v>
      </c>
      <c r="FG140" s="80">
        <v>0</v>
      </c>
      <c r="FH140" s="80">
        <v>4</v>
      </c>
      <c r="FI140" s="80">
        <v>0</v>
      </c>
      <c r="FJ140" s="80">
        <v>0</v>
      </c>
      <c r="FK140" s="80">
        <v>0</v>
      </c>
      <c r="FL140" s="80">
        <v>0</v>
      </c>
      <c r="FM140" s="80">
        <v>0</v>
      </c>
      <c r="FN140" s="80">
        <v>204</v>
      </c>
      <c r="FO140" s="80">
        <v>47</v>
      </c>
      <c r="FP140" s="80">
        <v>354</v>
      </c>
      <c r="FQ140" s="80">
        <v>10272</v>
      </c>
      <c r="FR140" s="80">
        <v>315</v>
      </c>
      <c r="FS140" s="80">
        <v>964</v>
      </c>
      <c r="FT140" s="100">
        <v>3649.7028906566734</v>
      </c>
      <c r="FU140" s="100"/>
      <c r="FV140" s="100">
        <v>1682</v>
      </c>
      <c r="FW140" s="67">
        <v>220</v>
      </c>
      <c r="FX140" s="100">
        <f t="shared" si="15"/>
        <v>-3078</v>
      </c>
      <c r="FY140" s="100">
        <f t="shared" si="16"/>
        <v>-4861</v>
      </c>
      <c r="FZ140" s="100">
        <v>3083.5666004098675</v>
      </c>
      <c r="GA140" s="67">
        <v>1783</v>
      </c>
      <c r="GB140" s="58">
        <f t="shared" si="13"/>
        <v>101</v>
      </c>
      <c r="GC140" s="67">
        <v>285</v>
      </c>
      <c r="GD140" s="100">
        <v>36</v>
      </c>
      <c r="GE140" s="100">
        <v>36</v>
      </c>
      <c r="GF140" s="58">
        <f t="shared" si="14"/>
        <v>0</v>
      </c>
      <c r="GG140" s="100">
        <v>-1088.69</v>
      </c>
      <c r="GH140" s="100">
        <v>-108.25925000000007</v>
      </c>
      <c r="GI140" s="100">
        <v>-2020.5640309580569</v>
      </c>
      <c r="GJ140" s="67">
        <f t="shared" si="17"/>
        <v>65</v>
      </c>
      <c r="GK140" s="67"/>
      <c r="GM140" s="96"/>
    </row>
    <row r="141" spans="1:195" ht="13.5" customHeight="1" x14ac:dyDescent="0.2">
      <c r="A141" s="74">
        <v>422</v>
      </c>
      <c r="B141" s="75" t="s">
        <v>94</v>
      </c>
      <c r="C141" s="75" t="s">
        <v>94</v>
      </c>
      <c r="D141" s="76"/>
      <c r="E141" s="77" t="s">
        <v>242</v>
      </c>
      <c r="F141" s="78">
        <v>4</v>
      </c>
      <c r="G141" s="79">
        <v>11772</v>
      </c>
      <c r="H141" s="80">
        <v>14009</v>
      </c>
      <c r="I141" s="80">
        <v>6814</v>
      </c>
      <c r="J141" s="80">
        <v>3679</v>
      </c>
      <c r="K141" s="80">
        <v>1825</v>
      </c>
      <c r="L141" s="80">
        <v>1691</v>
      </c>
      <c r="M141" s="80">
        <v>0</v>
      </c>
      <c r="N141" s="80">
        <v>151</v>
      </c>
      <c r="O141" s="80">
        <v>86760</v>
      </c>
      <c r="P141" s="80">
        <v>39544</v>
      </c>
      <c r="Q141" s="80">
        <v>28723</v>
      </c>
      <c r="R141" s="80">
        <v>10821</v>
      </c>
      <c r="S141" s="80">
        <v>9197</v>
      </c>
      <c r="T141" s="80">
        <v>1624</v>
      </c>
      <c r="U141" s="80">
        <v>33422</v>
      </c>
      <c r="V141" s="80">
        <v>4554</v>
      </c>
      <c r="W141" s="80">
        <v>8253</v>
      </c>
      <c r="X141" s="80">
        <v>987</v>
      </c>
      <c r="Y141" s="80">
        <v>-72600</v>
      </c>
      <c r="Z141" s="80">
        <v>40926</v>
      </c>
      <c r="AA141" s="80">
        <v>33222</v>
      </c>
      <c r="AB141" s="80">
        <v>4422</v>
      </c>
      <c r="AC141" s="80">
        <v>3282</v>
      </c>
      <c r="AD141" s="80">
        <v>38474</v>
      </c>
      <c r="AE141" s="80">
        <v>506</v>
      </c>
      <c r="AF141" s="80">
        <v>184</v>
      </c>
      <c r="AG141" s="80">
        <v>605</v>
      </c>
      <c r="AH141" s="80">
        <v>519</v>
      </c>
      <c r="AI141" s="80">
        <v>260</v>
      </c>
      <c r="AJ141" s="80">
        <v>23</v>
      </c>
      <c r="AK141" s="80">
        <v>7306</v>
      </c>
      <c r="AL141" s="80">
        <v>4696</v>
      </c>
      <c r="AM141" s="80">
        <v>4696</v>
      </c>
      <c r="AN141" s="80">
        <v>0</v>
      </c>
      <c r="AO141" s="80">
        <v>0</v>
      </c>
      <c r="AP141" s="80">
        <v>0</v>
      </c>
      <c r="AQ141" s="80">
        <v>0</v>
      </c>
      <c r="AR141" s="80">
        <v>2610</v>
      </c>
      <c r="AS141" s="80">
        <v>-606</v>
      </c>
      <c r="AT141" s="80">
        <v>-1300</v>
      </c>
      <c r="AU141" s="80">
        <v>0</v>
      </c>
      <c r="AV141" s="80">
        <v>704</v>
      </c>
      <c r="AW141" s="81"/>
      <c r="AX141" s="80">
        <v>7207</v>
      </c>
      <c r="AY141" s="80">
        <v>7306</v>
      </c>
      <c r="AZ141" s="80">
        <v>0</v>
      </c>
      <c r="BA141" s="80">
        <v>-99</v>
      </c>
      <c r="BB141" s="80">
        <v>-2386</v>
      </c>
      <c r="BC141" s="80">
        <v>4028</v>
      </c>
      <c r="BD141" s="80">
        <v>1505</v>
      </c>
      <c r="BE141" s="80">
        <v>137</v>
      </c>
      <c r="BF141" s="80">
        <v>4821</v>
      </c>
      <c r="BG141" s="80">
        <v>-4150</v>
      </c>
      <c r="BH141" s="80">
        <v>0</v>
      </c>
      <c r="BI141" s="80">
        <v>0</v>
      </c>
      <c r="BJ141" s="80">
        <v>0</v>
      </c>
      <c r="BK141" s="80">
        <v>-3007</v>
      </c>
      <c r="BL141" s="80">
        <v>0</v>
      </c>
      <c r="BM141" s="80">
        <v>3007</v>
      </c>
      <c r="BN141" s="80">
        <v>0</v>
      </c>
      <c r="BO141" s="80">
        <v>0</v>
      </c>
      <c r="BP141" s="80">
        <v>-1143</v>
      </c>
      <c r="BQ141" s="80">
        <v>84</v>
      </c>
      <c r="BR141" s="80">
        <v>-95</v>
      </c>
      <c r="BS141" s="80">
        <v>-616</v>
      </c>
      <c r="BT141" s="80">
        <v>-516</v>
      </c>
      <c r="BU141" s="80">
        <v>670</v>
      </c>
      <c r="BV141" s="80">
        <v>8738</v>
      </c>
      <c r="BW141" s="80">
        <v>8068</v>
      </c>
      <c r="BX141" s="81"/>
      <c r="BY141" s="80">
        <v>60711</v>
      </c>
      <c r="BZ141" s="80">
        <v>1766</v>
      </c>
      <c r="CA141" s="80">
        <v>0</v>
      </c>
      <c r="CB141" s="80">
        <v>1766</v>
      </c>
      <c r="CC141" s="80">
        <v>0</v>
      </c>
      <c r="CD141" s="80">
        <v>48505</v>
      </c>
      <c r="CE141" s="80">
        <v>13510</v>
      </c>
      <c r="CF141" s="80">
        <v>25674</v>
      </c>
      <c r="CG141" s="80">
        <v>8441</v>
      </c>
      <c r="CH141" s="80">
        <v>550</v>
      </c>
      <c r="CI141" s="80">
        <v>59</v>
      </c>
      <c r="CJ141" s="80">
        <v>59</v>
      </c>
      <c r="CK141" s="80">
        <v>271</v>
      </c>
      <c r="CL141" s="80">
        <v>10440</v>
      </c>
      <c r="CM141" s="80">
        <v>9933</v>
      </c>
      <c r="CN141" s="80">
        <v>3505</v>
      </c>
      <c r="CO141" s="80">
        <v>6428</v>
      </c>
      <c r="CP141" s="80">
        <v>0</v>
      </c>
      <c r="CQ141" s="80">
        <v>458</v>
      </c>
      <c r="CR141" s="80">
        <v>0</v>
      </c>
      <c r="CS141" s="80">
        <v>0</v>
      </c>
      <c r="CT141" s="80">
        <v>458</v>
      </c>
      <c r="CU141" s="80">
        <v>49</v>
      </c>
      <c r="CV141" s="80">
        <v>23</v>
      </c>
      <c r="CW141" s="80">
        <v>6</v>
      </c>
      <c r="CX141" s="80">
        <v>17</v>
      </c>
      <c r="CY141" s="80">
        <v>0</v>
      </c>
      <c r="CZ141" s="80">
        <v>18055</v>
      </c>
      <c r="DA141" s="80">
        <v>411</v>
      </c>
      <c r="DB141" s="80">
        <v>411</v>
      </c>
      <c r="DC141" s="80">
        <v>0</v>
      </c>
      <c r="DD141" s="80">
        <v>0</v>
      </c>
      <c r="DE141" s="80">
        <v>0</v>
      </c>
      <c r="DF141" s="80">
        <v>0</v>
      </c>
      <c r="DG141" s="80">
        <v>8906</v>
      </c>
      <c r="DH141" s="80">
        <v>4729</v>
      </c>
      <c r="DI141" s="80">
        <v>0</v>
      </c>
      <c r="DJ141" s="80">
        <v>4729</v>
      </c>
      <c r="DK141" s="80">
        <v>0</v>
      </c>
      <c r="DL141" s="80">
        <v>0</v>
      </c>
      <c r="DM141" s="80">
        <v>4177</v>
      </c>
      <c r="DN141" s="80">
        <v>1115</v>
      </c>
      <c r="DO141" s="80">
        <v>192</v>
      </c>
      <c r="DP141" s="80">
        <v>2265</v>
      </c>
      <c r="DQ141" s="80">
        <v>605</v>
      </c>
      <c r="DR141" s="80">
        <v>3507</v>
      </c>
      <c r="DS141" s="80">
        <v>0</v>
      </c>
      <c r="DT141" s="80">
        <v>3507</v>
      </c>
      <c r="DU141" s="80">
        <v>0</v>
      </c>
      <c r="DV141" s="80">
        <v>0</v>
      </c>
      <c r="DW141" s="80">
        <v>5231</v>
      </c>
      <c r="DX141" s="80">
        <v>78789</v>
      </c>
      <c r="DY141" s="80">
        <v>44611</v>
      </c>
      <c r="DZ141" s="80">
        <v>34277</v>
      </c>
      <c r="EA141" s="80">
        <v>0</v>
      </c>
      <c r="EB141" s="80">
        <v>0</v>
      </c>
      <c r="EC141" s="80">
        <v>9630</v>
      </c>
      <c r="ED141" s="80">
        <v>704</v>
      </c>
      <c r="EE141" s="80">
        <v>7014</v>
      </c>
      <c r="EF141" s="80">
        <v>2014</v>
      </c>
      <c r="EG141" s="80">
        <v>5000</v>
      </c>
      <c r="EH141" s="80">
        <v>395</v>
      </c>
      <c r="EI141" s="80">
        <v>0</v>
      </c>
      <c r="EJ141" s="80">
        <v>395</v>
      </c>
      <c r="EK141" s="80">
        <v>314</v>
      </c>
      <c r="EL141" s="80">
        <v>35</v>
      </c>
      <c r="EM141" s="80">
        <v>236</v>
      </c>
      <c r="EN141" s="80">
        <v>43</v>
      </c>
      <c r="EO141" s="80">
        <v>26455</v>
      </c>
      <c r="EP141" s="80">
        <v>12809</v>
      </c>
      <c r="EQ141" s="80">
        <v>0</v>
      </c>
      <c r="ER141" s="80">
        <v>12631</v>
      </c>
      <c r="ES141" s="80">
        <v>3500</v>
      </c>
      <c r="ET141" s="80">
        <v>9131</v>
      </c>
      <c r="EU141" s="80">
        <v>0</v>
      </c>
      <c r="EV141" s="80">
        <v>0</v>
      </c>
      <c r="EW141" s="80">
        <v>0</v>
      </c>
      <c r="EX141" s="80">
        <v>0</v>
      </c>
      <c r="EY141" s="80">
        <v>0</v>
      </c>
      <c r="EZ141" s="80">
        <v>0</v>
      </c>
      <c r="FA141" s="80">
        <v>178</v>
      </c>
      <c r="FB141" s="80">
        <v>0</v>
      </c>
      <c r="FC141" s="80">
        <v>0</v>
      </c>
      <c r="FD141" s="80">
        <v>13646</v>
      </c>
      <c r="FE141" s="80">
        <v>0</v>
      </c>
      <c r="FF141" s="80">
        <v>2560</v>
      </c>
      <c r="FG141" s="80">
        <v>1052</v>
      </c>
      <c r="FH141" s="80">
        <v>1508</v>
      </c>
      <c r="FI141" s="80">
        <v>0</v>
      </c>
      <c r="FJ141" s="80">
        <v>0</v>
      </c>
      <c r="FK141" s="80">
        <v>0</v>
      </c>
      <c r="FL141" s="80">
        <v>0</v>
      </c>
      <c r="FM141" s="80">
        <v>16</v>
      </c>
      <c r="FN141" s="80">
        <v>4330</v>
      </c>
      <c r="FO141" s="80">
        <v>790</v>
      </c>
      <c r="FP141" s="80">
        <v>5950</v>
      </c>
      <c r="FQ141" s="80">
        <v>78789</v>
      </c>
      <c r="FR141" s="80">
        <v>18899</v>
      </c>
      <c r="FS141" s="80">
        <v>5304</v>
      </c>
      <c r="FT141" s="100">
        <v>37704.369629825131</v>
      </c>
      <c r="FU141" s="100"/>
      <c r="FV141" s="100">
        <v>15432</v>
      </c>
      <c r="FW141" s="67">
        <v>4612</v>
      </c>
      <c r="FX141" s="100">
        <f t="shared" si="15"/>
        <v>-45563</v>
      </c>
      <c r="FY141" s="100">
        <f t="shared" si="16"/>
        <v>-67904</v>
      </c>
      <c r="FZ141" s="100">
        <v>49001.667629780713</v>
      </c>
      <c r="GA141" s="67">
        <v>22341</v>
      </c>
      <c r="GB141" s="58">
        <f t="shared" si="13"/>
        <v>6909</v>
      </c>
      <c r="GC141" s="67">
        <v>4696</v>
      </c>
      <c r="GD141" s="100">
        <v>3688</v>
      </c>
      <c r="GE141" s="100">
        <v>871</v>
      </c>
      <c r="GF141" s="58">
        <f t="shared" si="14"/>
        <v>2817</v>
      </c>
      <c r="GG141" s="100">
        <v>-19157.22</v>
      </c>
      <c r="GH141" s="100">
        <v>-1418.9193500000006</v>
      </c>
      <c r="GI141" s="100">
        <v>-29931.051131172684</v>
      </c>
      <c r="GJ141" s="67">
        <f t="shared" si="17"/>
        <v>84</v>
      </c>
      <c r="GK141" s="67"/>
      <c r="GM141" s="96"/>
    </row>
    <row r="142" spans="1:195" ht="13.5" customHeight="1" x14ac:dyDescent="0.2">
      <c r="A142" s="74">
        <v>425</v>
      </c>
      <c r="B142" s="75" t="s">
        <v>274</v>
      </c>
      <c r="C142" s="82" t="s">
        <v>274</v>
      </c>
      <c r="D142" s="76"/>
      <c r="E142" s="77" t="s">
        <v>216</v>
      </c>
      <c r="F142" s="78">
        <v>3</v>
      </c>
      <c r="G142" s="79">
        <v>9937</v>
      </c>
      <c r="H142" s="80">
        <v>8103</v>
      </c>
      <c r="I142" s="80">
        <v>2732</v>
      </c>
      <c r="J142" s="80">
        <v>2165</v>
      </c>
      <c r="K142" s="80">
        <v>957</v>
      </c>
      <c r="L142" s="80">
        <v>2249</v>
      </c>
      <c r="M142" s="80">
        <v>0</v>
      </c>
      <c r="N142" s="80">
        <v>0</v>
      </c>
      <c r="O142" s="80">
        <v>55705</v>
      </c>
      <c r="P142" s="80">
        <v>27441</v>
      </c>
      <c r="Q142" s="80">
        <v>21601</v>
      </c>
      <c r="R142" s="80">
        <v>5840</v>
      </c>
      <c r="S142" s="80">
        <v>4700</v>
      </c>
      <c r="T142" s="80">
        <v>1140</v>
      </c>
      <c r="U142" s="80">
        <v>19444</v>
      </c>
      <c r="V142" s="80">
        <v>3521</v>
      </c>
      <c r="W142" s="80">
        <v>4396</v>
      </c>
      <c r="X142" s="80">
        <v>903</v>
      </c>
      <c r="Y142" s="80">
        <v>-47602</v>
      </c>
      <c r="Z142" s="80">
        <v>29551</v>
      </c>
      <c r="AA142" s="80">
        <v>27755</v>
      </c>
      <c r="AB142" s="80">
        <v>628</v>
      </c>
      <c r="AC142" s="80">
        <v>1168</v>
      </c>
      <c r="AD142" s="80">
        <v>24101</v>
      </c>
      <c r="AE142" s="80">
        <v>-136</v>
      </c>
      <c r="AF142" s="80">
        <v>3</v>
      </c>
      <c r="AG142" s="80">
        <v>50</v>
      </c>
      <c r="AH142" s="80">
        <v>32</v>
      </c>
      <c r="AI142" s="80">
        <v>188</v>
      </c>
      <c r="AJ142" s="80">
        <v>1</v>
      </c>
      <c r="AK142" s="80">
        <v>5914</v>
      </c>
      <c r="AL142" s="80">
        <v>4043</v>
      </c>
      <c r="AM142" s="80">
        <v>3989</v>
      </c>
      <c r="AN142" s="80">
        <v>54</v>
      </c>
      <c r="AO142" s="80">
        <v>0</v>
      </c>
      <c r="AP142" s="80">
        <v>0</v>
      </c>
      <c r="AQ142" s="80">
        <v>0</v>
      </c>
      <c r="AR142" s="80">
        <v>1871</v>
      </c>
      <c r="AS142" s="80">
        <v>640</v>
      </c>
      <c r="AT142" s="80">
        <v>-2200</v>
      </c>
      <c r="AU142" s="80">
        <v>0</v>
      </c>
      <c r="AV142" s="80">
        <v>311</v>
      </c>
      <c r="AW142" s="81"/>
      <c r="AX142" s="80">
        <v>5311</v>
      </c>
      <c r="AY142" s="80">
        <v>5914</v>
      </c>
      <c r="AZ142" s="80">
        <v>0</v>
      </c>
      <c r="BA142" s="80">
        <v>-603</v>
      </c>
      <c r="BB142" s="80">
        <v>-942</v>
      </c>
      <c r="BC142" s="80">
        <v>2091</v>
      </c>
      <c r="BD142" s="80">
        <v>229</v>
      </c>
      <c r="BE142" s="80">
        <v>920</v>
      </c>
      <c r="BF142" s="80">
        <v>4369</v>
      </c>
      <c r="BG142" s="80">
        <v>-4571</v>
      </c>
      <c r="BH142" s="80">
        <v>15</v>
      </c>
      <c r="BI142" s="80">
        <v>0</v>
      </c>
      <c r="BJ142" s="80">
        <v>15</v>
      </c>
      <c r="BK142" s="80">
        <v>-4655</v>
      </c>
      <c r="BL142" s="80">
        <v>4000</v>
      </c>
      <c r="BM142" s="80">
        <v>2655</v>
      </c>
      <c r="BN142" s="80">
        <v>-6000</v>
      </c>
      <c r="BO142" s="80">
        <v>-96</v>
      </c>
      <c r="BP142" s="80">
        <v>165</v>
      </c>
      <c r="BQ142" s="80">
        <v>2</v>
      </c>
      <c r="BR142" s="80">
        <v>0</v>
      </c>
      <c r="BS142" s="80">
        <v>590</v>
      </c>
      <c r="BT142" s="80">
        <v>-427</v>
      </c>
      <c r="BU142" s="80">
        <v>-203</v>
      </c>
      <c r="BV142" s="80">
        <v>3507</v>
      </c>
      <c r="BW142" s="80">
        <v>3710</v>
      </c>
      <c r="BX142" s="81"/>
      <c r="BY142" s="80">
        <v>65884</v>
      </c>
      <c r="BZ142" s="80">
        <v>2013</v>
      </c>
      <c r="CA142" s="80">
        <v>89</v>
      </c>
      <c r="CB142" s="80">
        <v>1924</v>
      </c>
      <c r="CC142" s="80">
        <v>0</v>
      </c>
      <c r="CD142" s="80">
        <v>52830</v>
      </c>
      <c r="CE142" s="80">
        <v>4972</v>
      </c>
      <c r="CF142" s="80">
        <v>35623</v>
      </c>
      <c r="CG142" s="80">
        <v>11543</v>
      </c>
      <c r="CH142" s="80">
        <v>539</v>
      </c>
      <c r="CI142" s="80">
        <v>92</v>
      </c>
      <c r="CJ142" s="80">
        <v>92</v>
      </c>
      <c r="CK142" s="80">
        <v>61</v>
      </c>
      <c r="CL142" s="80">
        <v>11041</v>
      </c>
      <c r="CM142" s="80">
        <v>9612</v>
      </c>
      <c r="CN142" s="80">
        <v>2870</v>
      </c>
      <c r="CO142" s="80">
        <v>6742</v>
      </c>
      <c r="CP142" s="80">
        <v>0</v>
      </c>
      <c r="CQ142" s="80">
        <v>687</v>
      </c>
      <c r="CR142" s="80">
        <v>0</v>
      </c>
      <c r="CS142" s="80">
        <v>0</v>
      </c>
      <c r="CT142" s="80">
        <v>687</v>
      </c>
      <c r="CU142" s="80">
        <v>742</v>
      </c>
      <c r="CV142" s="80">
        <v>62</v>
      </c>
      <c r="CW142" s="80">
        <v>27</v>
      </c>
      <c r="CX142" s="80">
        <v>35</v>
      </c>
      <c r="CY142" s="80">
        <v>0</v>
      </c>
      <c r="CZ142" s="80">
        <v>6772</v>
      </c>
      <c r="DA142" s="80">
        <v>0</v>
      </c>
      <c r="DB142" s="80">
        <v>0</v>
      </c>
      <c r="DC142" s="80">
        <v>0</v>
      </c>
      <c r="DD142" s="80">
        <v>0</v>
      </c>
      <c r="DE142" s="80">
        <v>0</v>
      </c>
      <c r="DF142" s="80">
        <v>0</v>
      </c>
      <c r="DG142" s="80">
        <v>3265</v>
      </c>
      <c r="DH142" s="80">
        <v>1097</v>
      </c>
      <c r="DI142" s="80">
        <v>0</v>
      </c>
      <c r="DJ142" s="80">
        <v>0</v>
      </c>
      <c r="DK142" s="80">
        <v>1097</v>
      </c>
      <c r="DL142" s="80">
        <v>0</v>
      </c>
      <c r="DM142" s="80">
        <v>2168</v>
      </c>
      <c r="DN142" s="80">
        <v>690</v>
      </c>
      <c r="DO142" s="80">
        <v>0</v>
      </c>
      <c r="DP142" s="80">
        <v>1231</v>
      </c>
      <c r="DQ142" s="80">
        <v>247</v>
      </c>
      <c r="DR142" s="80">
        <v>0</v>
      </c>
      <c r="DS142" s="80">
        <v>0</v>
      </c>
      <c r="DT142" s="80">
        <v>0</v>
      </c>
      <c r="DU142" s="80">
        <v>0</v>
      </c>
      <c r="DV142" s="80">
        <v>0</v>
      </c>
      <c r="DW142" s="80">
        <v>3507</v>
      </c>
      <c r="DX142" s="80">
        <v>72718</v>
      </c>
      <c r="DY142" s="80">
        <v>26233</v>
      </c>
      <c r="DZ142" s="80">
        <v>17463</v>
      </c>
      <c r="EA142" s="80">
        <v>0</v>
      </c>
      <c r="EB142" s="80">
        <v>0</v>
      </c>
      <c r="EC142" s="80">
        <v>8459</v>
      </c>
      <c r="ED142" s="80">
        <v>311</v>
      </c>
      <c r="EE142" s="80">
        <v>19350</v>
      </c>
      <c r="EF142" s="80">
        <v>13182</v>
      </c>
      <c r="EG142" s="80">
        <v>6168</v>
      </c>
      <c r="EH142" s="80">
        <v>556</v>
      </c>
      <c r="EI142" s="80">
        <v>0</v>
      </c>
      <c r="EJ142" s="80">
        <v>556</v>
      </c>
      <c r="EK142" s="80">
        <v>150</v>
      </c>
      <c r="EL142" s="80">
        <v>26</v>
      </c>
      <c r="EM142" s="80">
        <v>98</v>
      </c>
      <c r="EN142" s="80">
        <v>26</v>
      </c>
      <c r="EO142" s="80">
        <v>26429</v>
      </c>
      <c r="EP142" s="80">
        <v>12620</v>
      </c>
      <c r="EQ142" s="80">
        <v>0</v>
      </c>
      <c r="ER142" s="80">
        <v>12620</v>
      </c>
      <c r="ES142" s="80">
        <v>3750</v>
      </c>
      <c r="ET142" s="80">
        <v>8555</v>
      </c>
      <c r="EU142" s="80">
        <v>315</v>
      </c>
      <c r="EV142" s="80">
        <v>0</v>
      </c>
      <c r="EW142" s="80">
        <v>0</v>
      </c>
      <c r="EX142" s="80">
        <v>0</v>
      </c>
      <c r="EY142" s="80">
        <v>0</v>
      </c>
      <c r="EZ142" s="80">
        <v>0</v>
      </c>
      <c r="FA142" s="80">
        <v>0</v>
      </c>
      <c r="FB142" s="80">
        <v>0</v>
      </c>
      <c r="FC142" s="80">
        <v>0</v>
      </c>
      <c r="FD142" s="80">
        <v>13809</v>
      </c>
      <c r="FE142" s="80">
        <v>0</v>
      </c>
      <c r="FF142" s="80">
        <v>6961</v>
      </c>
      <c r="FG142" s="80">
        <v>500</v>
      </c>
      <c r="FH142" s="80">
        <v>6461</v>
      </c>
      <c r="FI142" s="80">
        <v>0</v>
      </c>
      <c r="FJ142" s="80">
        <v>0</v>
      </c>
      <c r="FK142" s="80">
        <v>0</v>
      </c>
      <c r="FL142" s="80">
        <v>0</v>
      </c>
      <c r="FM142" s="80">
        <v>9</v>
      </c>
      <c r="FN142" s="80">
        <v>2324</v>
      </c>
      <c r="FO142" s="80">
        <v>603</v>
      </c>
      <c r="FP142" s="80">
        <v>3912</v>
      </c>
      <c r="FQ142" s="80">
        <v>72718</v>
      </c>
      <c r="FR142" s="80">
        <v>2586</v>
      </c>
      <c r="FS142" s="80">
        <v>990</v>
      </c>
      <c r="FT142" s="100">
        <v>37751.247664881332</v>
      </c>
      <c r="FU142" s="100"/>
      <c r="FV142" s="100">
        <v>13567</v>
      </c>
      <c r="FW142" s="67">
        <v>3893</v>
      </c>
      <c r="FX142" s="100">
        <f t="shared" si="15"/>
        <v>-26405</v>
      </c>
      <c r="FY142" s="100">
        <f t="shared" si="16"/>
        <v>-43559</v>
      </c>
      <c r="FZ142" s="100">
        <v>25268.702842713756</v>
      </c>
      <c r="GA142" s="67">
        <v>17154</v>
      </c>
      <c r="GB142" s="58">
        <f t="shared" si="13"/>
        <v>3587</v>
      </c>
      <c r="GC142" s="67">
        <v>4043</v>
      </c>
      <c r="GD142" s="100">
        <v>2165</v>
      </c>
      <c r="GE142" s="100">
        <v>1119</v>
      </c>
      <c r="GF142" s="58">
        <f t="shared" si="14"/>
        <v>1046</v>
      </c>
      <c r="GG142" s="100">
        <v>-16001.720000000001</v>
      </c>
      <c r="GH142" s="100">
        <v>-199.58650000000014</v>
      </c>
      <c r="GI142" s="100">
        <v>-8641.9159154335994</v>
      </c>
      <c r="GJ142" s="67">
        <f t="shared" si="17"/>
        <v>150</v>
      </c>
      <c r="GK142" s="67"/>
      <c r="GM142" s="96"/>
    </row>
    <row r="143" spans="1:195" ht="13.5" customHeight="1" x14ac:dyDescent="0.2">
      <c r="A143" s="74">
        <v>426</v>
      </c>
      <c r="B143" s="75" t="s">
        <v>95</v>
      </c>
      <c r="C143" s="75" t="s">
        <v>95</v>
      </c>
      <c r="D143" s="76"/>
      <c r="E143" s="77" t="s">
        <v>242</v>
      </c>
      <c r="F143" s="78">
        <v>4</v>
      </c>
      <c r="G143" s="79">
        <v>12338</v>
      </c>
      <c r="H143" s="80">
        <v>14785</v>
      </c>
      <c r="I143" s="80">
        <v>7915</v>
      </c>
      <c r="J143" s="80">
        <v>4078</v>
      </c>
      <c r="K143" s="80">
        <v>1171</v>
      </c>
      <c r="L143" s="80">
        <v>1621</v>
      </c>
      <c r="M143" s="80">
        <v>0</v>
      </c>
      <c r="N143" s="80">
        <v>0</v>
      </c>
      <c r="O143" s="80">
        <v>76919</v>
      </c>
      <c r="P143" s="80">
        <v>33869</v>
      </c>
      <c r="Q143" s="80">
        <v>25390</v>
      </c>
      <c r="R143" s="80">
        <v>8479</v>
      </c>
      <c r="S143" s="80">
        <v>6921</v>
      </c>
      <c r="T143" s="80">
        <v>1558</v>
      </c>
      <c r="U143" s="80">
        <v>34570</v>
      </c>
      <c r="V143" s="80">
        <v>3678</v>
      </c>
      <c r="W143" s="80">
        <v>3955</v>
      </c>
      <c r="X143" s="80">
        <v>847</v>
      </c>
      <c r="Y143" s="80">
        <v>-62134</v>
      </c>
      <c r="Z143" s="80">
        <v>40301</v>
      </c>
      <c r="AA143" s="80">
        <v>36634</v>
      </c>
      <c r="AB143" s="80">
        <v>1379</v>
      </c>
      <c r="AC143" s="80">
        <v>2288</v>
      </c>
      <c r="AD143" s="80">
        <v>25747</v>
      </c>
      <c r="AE143" s="80">
        <v>-122</v>
      </c>
      <c r="AF143" s="80">
        <v>53</v>
      </c>
      <c r="AG143" s="80">
        <v>340</v>
      </c>
      <c r="AH143" s="80">
        <v>313</v>
      </c>
      <c r="AI143" s="80">
        <v>515</v>
      </c>
      <c r="AJ143" s="80">
        <v>0</v>
      </c>
      <c r="AK143" s="80">
        <v>3792</v>
      </c>
      <c r="AL143" s="80">
        <v>2439</v>
      </c>
      <c r="AM143" s="80">
        <v>2439</v>
      </c>
      <c r="AN143" s="80">
        <v>0</v>
      </c>
      <c r="AO143" s="80">
        <v>0</v>
      </c>
      <c r="AP143" s="80">
        <v>0</v>
      </c>
      <c r="AQ143" s="80">
        <v>0</v>
      </c>
      <c r="AR143" s="80">
        <v>1353</v>
      </c>
      <c r="AS143" s="80">
        <v>119</v>
      </c>
      <c r="AT143" s="80">
        <v>0</v>
      </c>
      <c r="AU143" s="80">
        <v>0</v>
      </c>
      <c r="AV143" s="80">
        <v>1472</v>
      </c>
      <c r="AW143" s="81"/>
      <c r="AX143" s="80">
        <v>3418</v>
      </c>
      <c r="AY143" s="80">
        <v>3792</v>
      </c>
      <c r="AZ143" s="80">
        <v>0</v>
      </c>
      <c r="BA143" s="80">
        <v>-374</v>
      </c>
      <c r="BB143" s="80">
        <v>-7115</v>
      </c>
      <c r="BC143" s="80">
        <v>8834</v>
      </c>
      <c r="BD143" s="80">
        <v>1300</v>
      </c>
      <c r="BE143" s="80">
        <v>419</v>
      </c>
      <c r="BF143" s="80">
        <v>-3697</v>
      </c>
      <c r="BG143" s="80">
        <v>5731</v>
      </c>
      <c r="BH143" s="80">
        <v>-15</v>
      </c>
      <c r="BI143" s="80">
        <v>25</v>
      </c>
      <c r="BJ143" s="80">
        <v>10</v>
      </c>
      <c r="BK143" s="80">
        <v>3968</v>
      </c>
      <c r="BL143" s="80">
        <v>5000</v>
      </c>
      <c r="BM143" s="80">
        <v>4705</v>
      </c>
      <c r="BN143" s="80">
        <v>3673</v>
      </c>
      <c r="BO143" s="80">
        <v>0</v>
      </c>
      <c r="BP143" s="80">
        <v>1778</v>
      </c>
      <c r="BQ143" s="80">
        <v>28</v>
      </c>
      <c r="BR143" s="80">
        <v>25</v>
      </c>
      <c r="BS143" s="80">
        <v>562</v>
      </c>
      <c r="BT143" s="80">
        <v>1163</v>
      </c>
      <c r="BU143" s="80">
        <v>2033</v>
      </c>
      <c r="BV143" s="80">
        <v>3101</v>
      </c>
      <c r="BW143" s="80">
        <v>1068</v>
      </c>
      <c r="BX143" s="81"/>
      <c r="BY143" s="80">
        <v>58370</v>
      </c>
      <c r="BZ143" s="80">
        <v>2853</v>
      </c>
      <c r="CA143" s="80">
        <v>0</v>
      </c>
      <c r="CB143" s="80">
        <v>2853</v>
      </c>
      <c r="CC143" s="80">
        <v>0</v>
      </c>
      <c r="CD143" s="80">
        <v>46298</v>
      </c>
      <c r="CE143" s="80">
        <v>4422</v>
      </c>
      <c r="CF143" s="80">
        <v>30445</v>
      </c>
      <c r="CG143" s="80">
        <v>10412</v>
      </c>
      <c r="CH143" s="80">
        <v>361</v>
      </c>
      <c r="CI143" s="80">
        <v>15</v>
      </c>
      <c r="CJ143" s="80">
        <v>0</v>
      </c>
      <c r="CK143" s="80">
        <v>643</v>
      </c>
      <c r="CL143" s="80">
        <v>9219</v>
      </c>
      <c r="CM143" s="80">
        <v>7805</v>
      </c>
      <c r="CN143" s="80">
        <v>2376</v>
      </c>
      <c r="CO143" s="80">
        <v>5429</v>
      </c>
      <c r="CP143" s="80">
        <v>0</v>
      </c>
      <c r="CQ143" s="80">
        <v>1383</v>
      </c>
      <c r="CR143" s="80">
        <v>0</v>
      </c>
      <c r="CS143" s="80">
        <v>0</v>
      </c>
      <c r="CT143" s="80">
        <v>1383</v>
      </c>
      <c r="CU143" s="80">
        <v>31</v>
      </c>
      <c r="CV143" s="80">
        <v>0</v>
      </c>
      <c r="CW143" s="80">
        <v>0</v>
      </c>
      <c r="CX143" s="80">
        <v>0</v>
      </c>
      <c r="CY143" s="80">
        <v>0</v>
      </c>
      <c r="CZ143" s="80">
        <v>5547</v>
      </c>
      <c r="DA143" s="80">
        <v>38</v>
      </c>
      <c r="DB143" s="80">
        <v>38</v>
      </c>
      <c r="DC143" s="80">
        <v>0</v>
      </c>
      <c r="DD143" s="80">
        <v>0</v>
      </c>
      <c r="DE143" s="80">
        <v>0</v>
      </c>
      <c r="DF143" s="80">
        <v>0</v>
      </c>
      <c r="DG143" s="80">
        <v>2408</v>
      </c>
      <c r="DH143" s="80">
        <v>10</v>
      </c>
      <c r="DI143" s="80">
        <v>0</v>
      </c>
      <c r="DJ143" s="80">
        <v>10</v>
      </c>
      <c r="DK143" s="80">
        <v>0</v>
      </c>
      <c r="DL143" s="80">
        <v>0</v>
      </c>
      <c r="DM143" s="80">
        <v>2398</v>
      </c>
      <c r="DN143" s="80">
        <v>1194</v>
      </c>
      <c r="DO143" s="80">
        <v>40</v>
      </c>
      <c r="DP143" s="80">
        <v>692</v>
      </c>
      <c r="DQ143" s="80">
        <v>472</v>
      </c>
      <c r="DR143" s="80">
        <v>0</v>
      </c>
      <c r="DS143" s="80">
        <v>0</v>
      </c>
      <c r="DT143" s="80">
        <v>0</v>
      </c>
      <c r="DU143" s="80">
        <v>0</v>
      </c>
      <c r="DV143" s="80">
        <v>0</v>
      </c>
      <c r="DW143" s="80">
        <v>3101</v>
      </c>
      <c r="DX143" s="80">
        <v>63917</v>
      </c>
      <c r="DY143" s="80">
        <v>15735</v>
      </c>
      <c r="DZ143" s="80">
        <v>14982</v>
      </c>
      <c r="EA143" s="80">
        <v>0</v>
      </c>
      <c r="EB143" s="80">
        <v>0</v>
      </c>
      <c r="EC143" s="80">
        <v>-719</v>
      </c>
      <c r="ED143" s="80">
        <v>1472</v>
      </c>
      <c r="EE143" s="80">
        <v>1799</v>
      </c>
      <c r="EF143" s="80">
        <v>1799</v>
      </c>
      <c r="EG143" s="80">
        <v>0</v>
      </c>
      <c r="EH143" s="80">
        <v>0</v>
      </c>
      <c r="EI143" s="80">
        <v>0</v>
      </c>
      <c r="EJ143" s="80">
        <v>0</v>
      </c>
      <c r="EK143" s="80">
        <v>106</v>
      </c>
      <c r="EL143" s="80">
        <v>12</v>
      </c>
      <c r="EM143" s="80">
        <v>94</v>
      </c>
      <c r="EN143" s="80">
        <v>0</v>
      </c>
      <c r="EO143" s="80">
        <v>46277</v>
      </c>
      <c r="EP143" s="80">
        <v>23567</v>
      </c>
      <c r="EQ143" s="80">
        <v>0</v>
      </c>
      <c r="ER143" s="80">
        <v>17839</v>
      </c>
      <c r="ES143" s="80">
        <v>0</v>
      </c>
      <c r="ET143" s="80">
        <v>17839</v>
      </c>
      <c r="EU143" s="80">
        <v>0</v>
      </c>
      <c r="EV143" s="80">
        <v>0</v>
      </c>
      <c r="EW143" s="80">
        <v>3738</v>
      </c>
      <c r="EX143" s="80">
        <v>0</v>
      </c>
      <c r="EY143" s="80">
        <v>0</v>
      </c>
      <c r="EZ143" s="80">
        <v>0</v>
      </c>
      <c r="FA143" s="80">
        <v>1990</v>
      </c>
      <c r="FB143" s="80">
        <v>0</v>
      </c>
      <c r="FC143" s="80">
        <v>0</v>
      </c>
      <c r="FD143" s="80">
        <v>22710</v>
      </c>
      <c r="FE143" s="80">
        <v>0</v>
      </c>
      <c r="FF143" s="80">
        <v>8802</v>
      </c>
      <c r="FG143" s="80">
        <v>5000</v>
      </c>
      <c r="FH143" s="80">
        <v>3802</v>
      </c>
      <c r="FI143" s="80">
        <v>0</v>
      </c>
      <c r="FJ143" s="80">
        <v>0</v>
      </c>
      <c r="FK143" s="80">
        <v>1013</v>
      </c>
      <c r="FL143" s="80">
        <v>1217</v>
      </c>
      <c r="FM143" s="80">
        <v>8</v>
      </c>
      <c r="FN143" s="80">
        <v>5440</v>
      </c>
      <c r="FO143" s="80">
        <v>782</v>
      </c>
      <c r="FP143" s="80">
        <v>5448</v>
      </c>
      <c r="FQ143" s="80">
        <v>63917</v>
      </c>
      <c r="FR143" s="80">
        <v>4927</v>
      </c>
      <c r="FS143" s="80">
        <v>60</v>
      </c>
      <c r="FT143" s="100">
        <v>40821.479570354568</v>
      </c>
      <c r="FU143" s="100"/>
      <c r="FV143" s="100">
        <v>19477</v>
      </c>
      <c r="FW143" s="67">
        <v>2377</v>
      </c>
      <c r="FX143" s="100">
        <f t="shared" si="15"/>
        <v>-35822</v>
      </c>
      <c r="FY143" s="100">
        <f t="shared" si="16"/>
        <v>-59695</v>
      </c>
      <c r="FZ143" s="100">
        <v>41774.49253611661</v>
      </c>
      <c r="GA143" s="67">
        <v>23873</v>
      </c>
      <c r="GB143" s="58">
        <f t="shared" si="13"/>
        <v>4396</v>
      </c>
      <c r="GC143" s="67">
        <v>2440</v>
      </c>
      <c r="GD143" s="100">
        <v>4094</v>
      </c>
      <c r="GE143" s="100">
        <v>1676</v>
      </c>
      <c r="GF143" s="58">
        <f t="shared" si="14"/>
        <v>2418</v>
      </c>
      <c r="GG143" s="100">
        <v>-20221.734</v>
      </c>
      <c r="GH143" s="100">
        <v>-434.5988000000001</v>
      </c>
      <c r="GI143" s="100">
        <v>-21080.056760918997</v>
      </c>
      <c r="GJ143" s="67">
        <f t="shared" si="17"/>
        <v>63</v>
      </c>
      <c r="GK143" s="67"/>
      <c r="GM143" s="96"/>
    </row>
    <row r="144" spans="1:195" ht="13.5" customHeight="1" x14ac:dyDescent="0.2">
      <c r="A144" s="74">
        <v>430</v>
      </c>
      <c r="B144" s="75" t="s">
        <v>96</v>
      </c>
      <c r="C144" s="75" t="s">
        <v>96</v>
      </c>
      <c r="D144" s="76"/>
      <c r="E144" s="77" t="s">
        <v>219</v>
      </c>
      <c r="F144" s="78">
        <v>4</v>
      </c>
      <c r="G144" s="79">
        <v>16467</v>
      </c>
      <c r="H144" s="80">
        <v>16585</v>
      </c>
      <c r="I144" s="80">
        <v>7606</v>
      </c>
      <c r="J144" s="80">
        <v>5295</v>
      </c>
      <c r="K144" s="80">
        <v>1166</v>
      </c>
      <c r="L144" s="80">
        <v>2518</v>
      </c>
      <c r="M144" s="80">
        <v>0</v>
      </c>
      <c r="N144" s="80">
        <v>2</v>
      </c>
      <c r="O144" s="80">
        <v>107083</v>
      </c>
      <c r="P144" s="80">
        <v>46430</v>
      </c>
      <c r="Q144" s="80">
        <v>35241</v>
      </c>
      <c r="R144" s="80">
        <v>11189</v>
      </c>
      <c r="S144" s="80">
        <v>9267</v>
      </c>
      <c r="T144" s="80">
        <v>1922</v>
      </c>
      <c r="U144" s="80">
        <v>47171</v>
      </c>
      <c r="V144" s="80">
        <v>6599</v>
      </c>
      <c r="W144" s="80">
        <v>5503</v>
      </c>
      <c r="X144" s="80">
        <v>1380</v>
      </c>
      <c r="Y144" s="80">
        <v>-90496</v>
      </c>
      <c r="Z144" s="80">
        <v>54006</v>
      </c>
      <c r="AA144" s="80">
        <v>46825</v>
      </c>
      <c r="AB144" s="80">
        <v>3101</v>
      </c>
      <c r="AC144" s="80">
        <v>4080</v>
      </c>
      <c r="AD144" s="80">
        <v>41730</v>
      </c>
      <c r="AE144" s="80">
        <v>-161</v>
      </c>
      <c r="AF144" s="80">
        <v>4</v>
      </c>
      <c r="AG144" s="80">
        <v>186</v>
      </c>
      <c r="AH144" s="80">
        <v>102</v>
      </c>
      <c r="AI144" s="80">
        <v>313</v>
      </c>
      <c r="AJ144" s="80">
        <v>38</v>
      </c>
      <c r="AK144" s="80">
        <v>5079</v>
      </c>
      <c r="AL144" s="80">
        <v>4050</v>
      </c>
      <c r="AM144" s="80">
        <v>3569</v>
      </c>
      <c r="AN144" s="80">
        <v>481</v>
      </c>
      <c r="AO144" s="80">
        <v>0</v>
      </c>
      <c r="AP144" s="80">
        <v>0</v>
      </c>
      <c r="AQ144" s="80">
        <v>0</v>
      </c>
      <c r="AR144" s="80">
        <v>1029</v>
      </c>
      <c r="AS144" s="80">
        <v>76</v>
      </c>
      <c r="AT144" s="80">
        <v>177</v>
      </c>
      <c r="AU144" s="80">
        <v>0</v>
      </c>
      <c r="AV144" s="80">
        <v>1282</v>
      </c>
      <c r="AW144" s="81"/>
      <c r="AX144" s="80">
        <v>4880</v>
      </c>
      <c r="AY144" s="80">
        <v>5079</v>
      </c>
      <c r="AZ144" s="80">
        <v>0</v>
      </c>
      <c r="BA144" s="80">
        <v>-199</v>
      </c>
      <c r="BB144" s="80">
        <v>-2626</v>
      </c>
      <c r="BC144" s="80">
        <v>3591</v>
      </c>
      <c r="BD144" s="80">
        <v>368</v>
      </c>
      <c r="BE144" s="80">
        <v>597</v>
      </c>
      <c r="BF144" s="80">
        <v>2254</v>
      </c>
      <c r="BG144" s="80">
        <v>-826</v>
      </c>
      <c r="BH144" s="80">
        <v>-10</v>
      </c>
      <c r="BI144" s="80">
        <v>18</v>
      </c>
      <c r="BJ144" s="80">
        <v>8</v>
      </c>
      <c r="BK144" s="80">
        <v>-185</v>
      </c>
      <c r="BL144" s="80">
        <v>5000</v>
      </c>
      <c r="BM144" s="80">
        <v>5835</v>
      </c>
      <c r="BN144" s="80">
        <v>650</v>
      </c>
      <c r="BO144" s="80">
        <v>0</v>
      </c>
      <c r="BP144" s="80">
        <v>-631</v>
      </c>
      <c r="BQ144" s="80">
        <v>-276</v>
      </c>
      <c r="BR144" s="80">
        <v>-3</v>
      </c>
      <c r="BS144" s="80">
        <v>255</v>
      </c>
      <c r="BT144" s="80">
        <v>-607</v>
      </c>
      <c r="BU144" s="80">
        <v>1429</v>
      </c>
      <c r="BV144" s="80">
        <v>5504</v>
      </c>
      <c r="BW144" s="80">
        <v>4075</v>
      </c>
      <c r="BX144" s="81"/>
      <c r="BY144" s="80">
        <v>83370</v>
      </c>
      <c r="BZ144" s="80">
        <v>998</v>
      </c>
      <c r="CA144" s="80">
        <v>0</v>
      </c>
      <c r="CB144" s="80">
        <v>998</v>
      </c>
      <c r="CC144" s="80">
        <v>0</v>
      </c>
      <c r="CD144" s="80">
        <v>68158</v>
      </c>
      <c r="CE144" s="80">
        <v>9407</v>
      </c>
      <c r="CF144" s="80">
        <v>45724</v>
      </c>
      <c r="CG144" s="80">
        <v>12210</v>
      </c>
      <c r="CH144" s="80">
        <v>547</v>
      </c>
      <c r="CI144" s="80">
        <v>163</v>
      </c>
      <c r="CJ144" s="80">
        <v>163</v>
      </c>
      <c r="CK144" s="80">
        <v>107</v>
      </c>
      <c r="CL144" s="80">
        <v>14214</v>
      </c>
      <c r="CM144" s="80">
        <v>13256</v>
      </c>
      <c r="CN144" s="80">
        <v>10875</v>
      </c>
      <c r="CO144" s="80">
        <v>2381</v>
      </c>
      <c r="CP144" s="80">
        <v>0</v>
      </c>
      <c r="CQ144" s="80">
        <v>830</v>
      </c>
      <c r="CR144" s="80">
        <v>0</v>
      </c>
      <c r="CS144" s="80">
        <v>0</v>
      </c>
      <c r="CT144" s="80">
        <v>830</v>
      </c>
      <c r="CU144" s="80">
        <v>128</v>
      </c>
      <c r="CV144" s="80">
        <v>262</v>
      </c>
      <c r="CW144" s="80">
        <v>0</v>
      </c>
      <c r="CX144" s="80">
        <v>262</v>
      </c>
      <c r="CY144" s="80">
        <v>0</v>
      </c>
      <c r="CZ144" s="80">
        <v>8745</v>
      </c>
      <c r="DA144" s="80">
        <v>186</v>
      </c>
      <c r="DB144" s="80">
        <v>0</v>
      </c>
      <c r="DC144" s="80">
        <v>0</v>
      </c>
      <c r="DD144" s="80">
        <v>0</v>
      </c>
      <c r="DE144" s="80">
        <v>186</v>
      </c>
      <c r="DF144" s="80">
        <v>0</v>
      </c>
      <c r="DG144" s="80">
        <v>3055</v>
      </c>
      <c r="DH144" s="80">
        <v>0</v>
      </c>
      <c r="DI144" s="80">
        <v>0</v>
      </c>
      <c r="DJ144" s="80">
        <v>0</v>
      </c>
      <c r="DK144" s="80">
        <v>0</v>
      </c>
      <c r="DL144" s="80">
        <v>0</v>
      </c>
      <c r="DM144" s="80">
        <v>3055</v>
      </c>
      <c r="DN144" s="80">
        <v>1615</v>
      </c>
      <c r="DO144" s="80">
        <v>0</v>
      </c>
      <c r="DP144" s="80">
        <v>712</v>
      </c>
      <c r="DQ144" s="80">
        <v>728</v>
      </c>
      <c r="DR144" s="80">
        <v>0</v>
      </c>
      <c r="DS144" s="80">
        <v>0</v>
      </c>
      <c r="DT144" s="80">
        <v>0</v>
      </c>
      <c r="DU144" s="80">
        <v>0</v>
      </c>
      <c r="DV144" s="80">
        <v>0</v>
      </c>
      <c r="DW144" s="80">
        <v>5504</v>
      </c>
      <c r="DX144" s="80">
        <v>92377</v>
      </c>
      <c r="DY144" s="80">
        <v>44278</v>
      </c>
      <c r="DZ144" s="80">
        <v>41402</v>
      </c>
      <c r="EA144" s="80">
        <v>0</v>
      </c>
      <c r="EB144" s="80">
        <v>0</v>
      </c>
      <c r="EC144" s="80">
        <v>1593</v>
      </c>
      <c r="ED144" s="80">
        <v>1283</v>
      </c>
      <c r="EE144" s="80">
        <v>1252</v>
      </c>
      <c r="EF144" s="80">
        <v>1252</v>
      </c>
      <c r="EG144" s="80">
        <v>0</v>
      </c>
      <c r="EH144" s="80">
        <v>0</v>
      </c>
      <c r="EI144" s="80">
        <v>0</v>
      </c>
      <c r="EJ144" s="80">
        <v>0</v>
      </c>
      <c r="EK144" s="80">
        <v>502</v>
      </c>
      <c r="EL144" s="80">
        <v>0</v>
      </c>
      <c r="EM144" s="80">
        <v>501</v>
      </c>
      <c r="EN144" s="80">
        <v>1</v>
      </c>
      <c r="EO144" s="80">
        <v>46345</v>
      </c>
      <c r="EP144" s="80">
        <v>23273</v>
      </c>
      <c r="EQ144" s="80">
        <v>0</v>
      </c>
      <c r="ER144" s="80">
        <v>21975</v>
      </c>
      <c r="ES144" s="80">
        <v>436</v>
      </c>
      <c r="ET144" s="80">
        <v>21539</v>
      </c>
      <c r="EU144" s="80">
        <v>0</v>
      </c>
      <c r="EV144" s="80">
        <v>0</v>
      </c>
      <c r="EW144" s="80">
        <v>1234</v>
      </c>
      <c r="EX144" s="80">
        <v>0</v>
      </c>
      <c r="EY144" s="80">
        <v>0</v>
      </c>
      <c r="EZ144" s="80">
        <v>0</v>
      </c>
      <c r="FA144" s="80">
        <v>64</v>
      </c>
      <c r="FB144" s="80">
        <v>0</v>
      </c>
      <c r="FC144" s="80">
        <v>0</v>
      </c>
      <c r="FD144" s="80">
        <v>23072</v>
      </c>
      <c r="FE144" s="80">
        <v>0</v>
      </c>
      <c r="FF144" s="80">
        <v>11875</v>
      </c>
      <c r="FG144" s="80">
        <v>2052</v>
      </c>
      <c r="FH144" s="80">
        <v>9823</v>
      </c>
      <c r="FI144" s="80">
        <v>0</v>
      </c>
      <c r="FJ144" s="80">
        <v>0</v>
      </c>
      <c r="FK144" s="80">
        <v>479</v>
      </c>
      <c r="FL144" s="80">
        <v>0</v>
      </c>
      <c r="FM144" s="80">
        <v>196</v>
      </c>
      <c r="FN144" s="80">
        <v>3184</v>
      </c>
      <c r="FO144" s="80">
        <v>866</v>
      </c>
      <c r="FP144" s="80">
        <v>6472</v>
      </c>
      <c r="FQ144" s="80">
        <v>92377</v>
      </c>
      <c r="FR144" s="80">
        <v>3404</v>
      </c>
      <c r="FS144" s="80">
        <v>725</v>
      </c>
      <c r="FT144" s="100">
        <v>50756.264345064672</v>
      </c>
      <c r="FU144" s="100"/>
      <c r="FV144" s="100">
        <v>21653</v>
      </c>
      <c r="FW144" s="67">
        <v>3999</v>
      </c>
      <c r="FX144" s="100">
        <f t="shared" si="15"/>
        <v>-55399</v>
      </c>
      <c r="FY144" s="100">
        <f t="shared" si="16"/>
        <v>-86446</v>
      </c>
      <c r="FZ144" s="100">
        <v>62221.473195257422</v>
      </c>
      <c r="GA144" s="67">
        <v>31047</v>
      </c>
      <c r="GB144" s="58">
        <f t="shared" si="13"/>
        <v>9394</v>
      </c>
      <c r="GC144" s="67">
        <v>4051</v>
      </c>
      <c r="GD144" s="100">
        <v>5070</v>
      </c>
      <c r="GE144" s="100">
        <v>1557</v>
      </c>
      <c r="GF144" s="58">
        <f t="shared" si="14"/>
        <v>3513</v>
      </c>
      <c r="GG144" s="100">
        <v>-27058.665000000001</v>
      </c>
      <c r="GH144" s="100">
        <v>-981.61175000000026</v>
      </c>
      <c r="GI144" s="100">
        <v>-34642.627106769898</v>
      </c>
      <c r="GJ144" s="67">
        <f t="shared" si="17"/>
        <v>52</v>
      </c>
      <c r="GK144" s="67"/>
      <c r="GM144" s="96"/>
    </row>
    <row r="145" spans="1:195" ht="13.5" customHeight="1" x14ac:dyDescent="0.2">
      <c r="A145" s="74">
        <v>444</v>
      </c>
      <c r="B145" s="75" t="s">
        <v>275</v>
      </c>
      <c r="C145" s="82" t="s">
        <v>275</v>
      </c>
      <c r="D145" s="76"/>
      <c r="E145" s="77" t="s">
        <v>218</v>
      </c>
      <c r="F145" s="78">
        <v>5</v>
      </c>
      <c r="G145" s="79">
        <v>47353</v>
      </c>
      <c r="H145" s="80">
        <v>51530</v>
      </c>
      <c r="I145" s="80">
        <v>15448</v>
      </c>
      <c r="J145" s="80">
        <v>16583</v>
      </c>
      <c r="K145" s="80">
        <v>9179</v>
      </c>
      <c r="L145" s="80">
        <v>10320</v>
      </c>
      <c r="M145" s="80">
        <v>0</v>
      </c>
      <c r="N145" s="80">
        <v>0</v>
      </c>
      <c r="O145" s="80">
        <v>291963</v>
      </c>
      <c r="P145" s="80">
        <v>129786</v>
      </c>
      <c r="Q145" s="80">
        <v>99604</v>
      </c>
      <c r="R145" s="80">
        <v>30182</v>
      </c>
      <c r="S145" s="80">
        <v>24370</v>
      </c>
      <c r="T145" s="80">
        <v>5812</v>
      </c>
      <c r="U145" s="80">
        <v>124592</v>
      </c>
      <c r="V145" s="80">
        <v>15295</v>
      </c>
      <c r="W145" s="80">
        <v>17054</v>
      </c>
      <c r="X145" s="80">
        <v>5236</v>
      </c>
      <c r="Y145" s="80">
        <v>-240433</v>
      </c>
      <c r="Z145" s="80">
        <v>187476</v>
      </c>
      <c r="AA145" s="80">
        <v>168554</v>
      </c>
      <c r="AB145" s="80">
        <v>6700</v>
      </c>
      <c r="AC145" s="80">
        <v>12222</v>
      </c>
      <c r="AD145" s="80">
        <v>62222</v>
      </c>
      <c r="AE145" s="80">
        <v>481</v>
      </c>
      <c r="AF145" s="80">
        <v>131</v>
      </c>
      <c r="AG145" s="80">
        <v>1766</v>
      </c>
      <c r="AH145" s="80">
        <v>833</v>
      </c>
      <c r="AI145" s="80">
        <v>1201</v>
      </c>
      <c r="AJ145" s="80">
        <v>215</v>
      </c>
      <c r="AK145" s="80">
        <v>9746</v>
      </c>
      <c r="AL145" s="80">
        <v>13632</v>
      </c>
      <c r="AM145" s="80">
        <v>13632</v>
      </c>
      <c r="AN145" s="80">
        <v>0</v>
      </c>
      <c r="AO145" s="80">
        <v>0</v>
      </c>
      <c r="AP145" s="80">
        <v>0</v>
      </c>
      <c r="AQ145" s="80">
        <v>0</v>
      </c>
      <c r="AR145" s="80">
        <v>-3886</v>
      </c>
      <c r="AS145" s="80">
        <v>82</v>
      </c>
      <c r="AT145" s="80">
        <v>0</v>
      </c>
      <c r="AU145" s="80">
        <v>0</v>
      </c>
      <c r="AV145" s="80">
        <v>-3804</v>
      </c>
      <c r="AW145" s="81"/>
      <c r="AX145" s="80">
        <v>7468</v>
      </c>
      <c r="AY145" s="80">
        <v>9746</v>
      </c>
      <c r="AZ145" s="80">
        <v>0</v>
      </c>
      <c r="BA145" s="80">
        <v>-2278</v>
      </c>
      <c r="BB145" s="80">
        <v>-21754</v>
      </c>
      <c r="BC145" s="80">
        <v>25586</v>
      </c>
      <c r="BD145" s="80">
        <v>689</v>
      </c>
      <c r="BE145" s="80">
        <v>3143</v>
      </c>
      <c r="BF145" s="80">
        <v>-14286</v>
      </c>
      <c r="BG145" s="80">
        <v>16423</v>
      </c>
      <c r="BH145" s="80">
        <v>101</v>
      </c>
      <c r="BI145" s="80">
        <v>0</v>
      </c>
      <c r="BJ145" s="80">
        <v>101</v>
      </c>
      <c r="BK145" s="80">
        <v>13250</v>
      </c>
      <c r="BL145" s="80">
        <v>16000</v>
      </c>
      <c r="BM145" s="80">
        <v>7014</v>
      </c>
      <c r="BN145" s="80">
        <v>4264</v>
      </c>
      <c r="BO145" s="80">
        <v>0</v>
      </c>
      <c r="BP145" s="80">
        <v>3072</v>
      </c>
      <c r="BQ145" s="80">
        <v>-203</v>
      </c>
      <c r="BR145" s="80">
        <v>-5</v>
      </c>
      <c r="BS145" s="80">
        <v>1075</v>
      </c>
      <c r="BT145" s="80">
        <v>2205</v>
      </c>
      <c r="BU145" s="80">
        <v>2138</v>
      </c>
      <c r="BV145" s="80">
        <v>6881</v>
      </c>
      <c r="BW145" s="80">
        <v>4743</v>
      </c>
      <c r="BX145" s="81"/>
      <c r="BY145" s="80">
        <v>270291</v>
      </c>
      <c r="BZ145" s="80">
        <v>2862</v>
      </c>
      <c r="CA145" s="80">
        <v>0</v>
      </c>
      <c r="CB145" s="80">
        <v>2862</v>
      </c>
      <c r="CC145" s="80">
        <v>0</v>
      </c>
      <c r="CD145" s="80">
        <v>234498</v>
      </c>
      <c r="CE145" s="80">
        <v>37699</v>
      </c>
      <c r="CF145" s="80">
        <v>119838</v>
      </c>
      <c r="CG145" s="80">
        <v>60250</v>
      </c>
      <c r="CH145" s="80">
        <v>4645</v>
      </c>
      <c r="CI145" s="80">
        <v>0</v>
      </c>
      <c r="CJ145" s="80">
        <v>0</v>
      </c>
      <c r="CK145" s="80">
        <v>12066</v>
      </c>
      <c r="CL145" s="80">
        <v>32931</v>
      </c>
      <c r="CM145" s="80">
        <v>29466</v>
      </c>
      <c r="CN145" s="80">
        <v>22099</v>
      </c>
      <c r="CO145" s="80">
        <v>7367</v>
      </c>
      <c r="CP145" s="80">
        <v>0</v>
      </c>
      <c r="CQ145" s="80">
        <v>3266</v>
      </c>
      <c r="CR145" s="80">
        <v>0</v>
      </c>
      <c r="CS145" s="80">
        <v>0</v>
      </c>
      <c r="CT145" s="80">
        <v>3266</v>
      </c>
      <c r="CU145" s="80">
        <v>199</v>
      </c>
      <c r="CV145" s="80">
        <v>916</v>
      </c>
      <c r="CW145" s="80">
        <v>0</v>
      </c>
      <c r="CX145" s="80">
        <v>916</v>
      </c>
      <c r="CY145" s="80">
        <v>0</v>
      </c>
      <c r="CZ145" s="80">
        <v>16231</v>
      </c>
      <c r="DA145" s="80">
        <v>64</v>
      </c>
      <c r="DB145" s="80">
        <v>64</v>
      </c>
      <c r="DC145" s="80">
        <v>0</v>
      </c>
      <c r="DD145" s="80">
        <v>0</v>
      </c>
      <c r="DE145" s="80">
        <v>0</v>
      </c>
      <c r="DF145" s="80">
        <v>0</v>
      </c>
      <c r="DG145" s="80">
        <v>9286</v>
      </c>
      <c r="DH145" s="80">
        <v>881</v>
      </c>
      <c r="DI145" s="80">
        <v>0</v>
      </c>
      <c r="DJ145" s="80">
        <v>0</v>
      </c>
      <c r="DK145" s="80">
        <v>881</v>
      </c>
      <c r="DL145" s="80">
        <v>0</v>
      </c>
      <c r="DM145" s="80">
        <v>8405</v>
      </c>
      <c r="DN145" s="80">
        <v>5079</v>
      </c>
      <c r="DO145" s="80">
        <v>184</v>
      </c>
      <c r="DP145" s="80">
        <v>2023</v>
      </c>
      <c r="DQ145" s="80">
        <v>1119</v>
      </c>
      <c r="DR145" s="80">
        <v>592</v>
      </c>
      <c r="DS145" s="80">
        <v>592</v>
      </c>
      <c r="DT145" s="80">
        <v>0</v>
      </c>
      <c r="DU145" s="80">
        <v>0</v>
      </c>
      <c r="DV145" s="80">
        <v>0</v>
      </c>
      <c r="DW145" s="80">
        <v>6289</v>
      </c>
      <c r="DX145" s="80">
        <v>287438</v>
      </c>
      <c r="DY145" s="80">
        <v>134918</v>
      </c>
      <c r="DZ145" s="80">
        <v>127910</v>
      </c>
      <c r="EA145" s="80">
        <v>127</v>
      </c>
      <c r="EB145" s="80">
        <v>0</v>
      </c>
      <c r="EC145" s="80">
        <v>10685</v>
      </c>
      <c r="ED145" s="80">
        <v>-3804</v>
      </c>
      <c r="EE145" s="80">
        <v>1684</v>
      </c>
      <c r="EF145" s="80">
        <v>1684</v>
      </c>
      <c r="EG145" s="80">
        <v>0</v>
      </c>
      <c r="EH145" s="80">
        <v>1034</v>
      </c>
      <c r="EI145" s="80">
        <v>27</v>
      </c>
      <c r="EJ145" s="80">
        <v>1007</v>
      </c>
      <c r="EK145" s="80">
        <v>1370</v>
      </c>
      <c r="EL145" s="80">
        <v>0</v>
      </c>
      <c r="EM145" s="80">
        <v>1363</v>
      </c>
      <c r="EN145" s="80">
        <v>7</v>
      </c>
      <c r="EO145" s="80">
        <v>148432</v>
      </c>
      <c r="EP145" s="80">
        <v>79131</v>
      </c>
      <c r="EQ145" s="80">
        <v>0</v>
      </c>
      <c r="ER145" s="80">
        <v>71761</v>
      </c>
      <c r="ES145" s="80">
        <v>10979</v>
      </c>
      <c r="ET145" s="80">
        <v>60782</v>
      </c>
      <c r="EU145" s="80">
        <v>0</v>
      </c>
      <c r="EV145" s="80">
        <v>0</v>
      </c>
      <c r="EW145" s="80">
        <v>325</v>
      </c>
      <c r="EX145" s="80">
        <v>0</v>
      </c>
      <c r="EY145" s="80">
        <v>0</v>
      </c>
      <c r="EZ145" s="80">
        <v>0</v>
      </c>
      <c r="FA145" s="80">
        <v>7045</v>
      </c>
      <c r="FB145" s="80">
        <v>0</v>
      </c>
      <c r="FC145" s="80">
        <v>0</v>
      </c>
      <c r="FD145" s="80">
        <v>69301</v>
      </c>
      <c r="FE145" s="80">
        <v>0</v>
      </c>
      <c r="FF145" s="80">
        <v>29748</v>
      </c>
      <c r="FG145" s="80">
        <v>23362</v>
      </c>
      <c r="FH145" s="80">
        <v>6386</v>
      </c>
      <c r="FI145" s="80">
        <v>0</v>
      </c>
      <c r="FJ145" s="80">
        <v>0</v>
      </c>
      <c r="FK145" s="80">
        <v>177</v>
      </c>
      <c r="FL145" s="80">
        <v>5779</v>
      </c>
      <c r="FM145" s="80">
        <v>155</v>
      </c>
      <c r="FN145" s="80">
        <v>10731</v>
      </c>
      <c r="FO145" s="80">
        <v>2175</v>
      </c>
      <c r="FP145" s="80">
        <v>20536</v>
      </c>
      <c r="FQ145" s="80">
        <v>287438</v>
      </c>
      <c r="FR145" s="80">
        <v>17958</v>
      </c>
      <c r="FS145" s="80">
        <v>5746</v>
      </c>
      <c r="FT145" s="100">
        <v>165598.04104115348</v>
      </c>
      <c r="FU145" s="100"/>
      <c r="FV145" s="100">
        <v>74679</v>
      </c>
      <c r="FW145" s="67">
        <v>13224</v>
      </c>
      <c r="FX145" s="100">
        <f t="shared" si="15"/>
        <v>-124802</v>
      </c>
      <c r="FY145" s="100">
        <f t="shared" si="16"/>
        <v>-226801</v>
      </c>
      <c r="FZ145" s="100">
        <v>152300.17251506061</v>
      </c>
      <c r="GA145" s="67">
        <v>101999</v>
      </c>
      <c r="GB145" s="58">
        <f t="shared" si="13"/>
        <v>27320</v>
      </c>
      <c r="GC145" s="67">
        <v>13632</v>
      </c>
      <c r="GD145" s="100">
        <v>16584</v>
      </c>
      <c r="GE145" s="100">
        <v>5849</v>
      </c>
      <c r="GF145" s="58">
        <f t="shared" si="14"/>
        <v>10735</v>
      </c>
      <c r="GG145" s="100">
        <v>-100562.34700000001</v>
      </c>
      <c r="GH145" s="100">
        <v>-1774.3795500000006</v>
      </c>
      <c r="GI145" s="100">
        <v>-50894.751813743402</v>
      </c>
      <c r="GJ145" s="67">
        <f t="shared" si="17"/>
        <v>408</v>
      </c>
      <c r="GK145" s="67"/>
      <c r="GM145" s="96"/>
    </row>
    <row r="146" spans="1:195" ht="13.5" customHeight="1" x14ac:dyDescent="0.2">
      <c r="A146" s="74">
        <v>433</v>
      </c>
      <c r="B146" s="75" t="s">
        <v>97</v>
      </c>
      <c r="C146" s="75" t="s">
        <v>97</v>
      </c>
      <c r="D146" s="76"/>
      <c r="E146" s="77" t="s">
        <v>226</v>
      </c>
      <c r="F146" s="78">
        <v>3</v>
      </c>
      <c r="G146" s="79">
        <v>8175</v>
      </c>
      <c r="H146" s="80">
        <v>5760</v>
      </c>
      <c r="I146" s="80">
        <v>2125</v>
      </c>
      <c r="J146" s="80">
        <v>2002</v>
      </c>
      <c r="K146" s="80">
        <v>574</v>
      </c>
      <c r="L146" s="80">
        <v>1059</v>
      </c>
      <c r="M146" s="80">
        <v>0</v>
      </c>
      <c r="N146" s="80">
        <v>68</v>
      </c>
      <c r="O146" s="80">
        <v>46061</v>
      </c>
      <c r="P146" s="80">
        <v>18843</v>
      </c>
      <c r="Q146" s="80">
        <v>14575</v>
      </c>
      <c r="R146" s="80">
        <v>4268</v>
      </c>
      <c r="S146" s="80">
        <v>3504</v>
      </c>
      <c r="T146" s="80">
        <v>764</v>
      </c>
      <c r="U146" s="80">
        <v>22370</v>
      </c>
      <c r="V146" s="80">
        <v>1987</v>
      </c>
      <c r="W146" s="80">
        <v>2170</v>
      </c>
      <c r="X146" s="80">
        <v>691</v>
      </c>
      <c r="Y146" s="80">
        <v>-40233</v>
      </c>
      <c r="Z146" s="80">
        <v>27605</v>
      </c>
      <c r="AA146" s="80">
        <v>24125</v>
      </c>
      <c r="AB146" s="80">
        <v>1478</v>
      </c>
      <c r="AC146" s="80">
        <v>2002</v>
      </c>
      <c r="AD146" s="80">
        <v>15242</v>
      </c>
      <c r="AE146" s="80">
        <v>-305</v>
      </c>
      <c r="AF146" s="80">
        <v>11</v>
      </c>
      <c r="AG146" s="80">
        <v>23</v>
      </c>
      <c r="AH146" s="80">
        <v>3</v>
      </c>
      <c r="AI146" s="80">
        <v>337</v>
      </c>
      <c r="AJ146" s="80">
        <v>2</v>
      </c>
      <c r="AK146" s="80">
        <v>2309</v>
      </c>
      <c r="AL146" s="80">
        <v>1770</v>
      </c>
      <c r="AM146" s="80">
        <v>1754</v>
      </c>
      <c r="AN146" s="80">
        <v>16</v>
      </c>
      <c r="AO146" s="80">
        <v>0</v>
      </c>
      <c r="AP146" s="80">
        <v>0</v>
      </c>
      <c r="AQ146" s="80">
        <v>0</v>
      </c>
      <c r="AR146" s="80">
        <v>539</v>
      </c>
      <c r="AS146" s="80">
        <v>0</v>
      </c>
      <c r="AT146" s="80">
        <v>0</v>
      </c>
      <c r="AU146" s="80">
        <v>0</v>
      </c>
      <c r="AV146" s="80">
        <v>539</v>
      </c>
      <c r="AW146" s="81"/>
      <c r="AX146" s="80">
        <v>2252</v>
      </c>
      <c r="AY146" s="80">
        <v>2309</v>
      </c>
      <c r="AZ146" s="80">
        <v>0</v>
      </c>
      <c r="BA146" s="80">
        <v>-57</v>
      </c>
      <c r="BB146" s="80">
        <v>-4331</v>
      </c>
      <c r="BC146" s="80">
        <v>4463</v>
      </c>
      <c r="BD146" s="80">
        <v>0</v>
      </c>
      <c r="BE146" s="80">
        <v>132</v>
      </c>
      <c r="BF146" s="80">
        <v>-2079</v>
      </c>
      <c r="BG146" s="80">
        <v>1918</v>
      </c>
      <c r="BH146" s="80">
        <v>-50</v>
      </c>
      <c r="BI146" s="80">
        <v>100</v>
      </c>
      <c r="BJ146" s="80">
        <v>50</v>
      </c>
      <c r="BK146" s="80">
        <v>1246</v>
      </c>
      <c r="BL146" s="80">
        <v>5000</v>
      </c>
      <c r="BM146" s="80">
        <v>3754</v>
      </c>
      <c r="BN146" s="80">
        <v>0</v>
      </c>
      <c r="BO146" s="80">
        <v>0</v>
      </c>
      <c r="BP146" s="80">
        <v>722</v>
      </c>
      <c r="BQ146" s="80">
        <v>10</v>
      </c>
      <c r="BR146" s="80">
        <v>-3</v>
      </c>
      <c r="BS146" s="80">
        <v>406</v>
      </c>
      <c r="BT146" s="80">
        <v>309</v>
      </c>
      <c r="BU146" s="80">
        <v>-161</v>
      </c>
      <c r="BV146" s="80">
        <v>1206</v>
      </c>
      <c r="BW146" s="80">
        <v>1367</v>
      </c>
      <c r="BX146" s="81"/>
      <c r="BY146" s="80">
        <v>48127</v>
      </c>
      <c r="BZ146" s="80">
        <v>1565</v>
      </c>
      <c r="CA146" s="80">
        <v>46</v>
      </c>
      <c r="CB146" s="80">
        <v>1519</v>
      </c>
      <c r="CC146" s="80">
        <v>0</v>
      </c>
      <c r="CD146" s="80">
        <v>36336</v>
      </c>
      <c r="CE146" s="80">
        <v>6703</v>
      </c>
      <c r="CF146" s="80">
        <v>23010</v>
      </c>
      <c r="CG146" s="80">
        <v>5457</v>
      </c>
      <c r="CH146" s="80">
        <v>280</v>
      </c>
      <c r="CI146" s="80">
        <v>0</v>
      </c>
      <c r="CJ146" s="80">
        <v>0</v>
      </c>
      <c r="CK146" s="80">
        <v>886</v>
      </c>
      <c r="CL146" s="80">
        <v>10226</v>
      </c>
      <c r="CM146" s="80">
        <v>8722</v>
      </c>
      <c r="CN146" s="80">
        <v>5863</v>
      </c>
      <c r="CO146" s="80">
        <v>2859</v>
      </c>
      <c r="CP146" s="80">
        <v>0</v>
      </c>
      <c r="CQ146" s="80">
        <v>1489</v>
      </c>
      <c r="CR146" s="80">
        <v>0</v>
      </c>
      <c r="CS146" s="80">
        <v>0</v>
      </c>
      <c r="CT146" s="80">
        <v>1489</v>
      </c>
      <c r="CU146" s="80">
        <v>15</v>
      </c>
      <c r="CV146" s="80">
        <v>25</v>
      </c>
      <c r="CW146" s="80">
        <v>1</v>
      </c>
      <c r="CX146" s="80">
        <v>24</v>
      </c>
      <c r="CY146" s="80">
        <v>0</v>
      </c>
      <c r="CZ146" s="80">
        <v>2455</v>
      </c>
      <c r="DA146" s="80">
        <v>109</v>
      </c>
      <c r="DB146" s="80">
        <v>109</v>
      </c>
      <c r="DC146" s="80">
        <v>0</v>
      </c>
      <c r="DD146" s="80">
        <v>0</v>
      </c>
      <c r="DE146" s="80">
        <v>0</v>
      </c>
      <c r="DF146" s="80">
        <v>0</v>
      </c>
      <c r="DG146" s="80">
        <v>1140</v>
      </c>
      <c r="DH146" s="80">
        <v>4</v>
      </c>
      <c r="DI146" s="80">
        <v>0</v>
      </c>
      <c r="DJ146" s="80">
        <v>4</v>
      </c>
      <c r="DK146" s="80">
        <v>0</v>
      </c>
      <c r="DL146" s="80">
        <v>0</v>
      </c>
      <c r="DM146" s="80">
        <v>1136</v>
      </c>
      <c r="DN146" s="80">
        <v>674</v>
      </c>
      <c r="DO146" s="80">
        <v>20</v>
      </c>
      <c r="DP146" s="80">
        <v>399</v>
      </c>
      <c r="DQ146" s="80">
        <v>43</v>
      </c>
      <c r="DR146" s="80">
        <v>0</v>
      </c>
      <c r="DS146" s="80">
        <v>0</v>
      </c>
      <c r="DT146" s="80">
        <v>0</v>
      </c>
      <c r="DU146" s="80">
        <v>0</v>
      </c>
      <c r="DV146" s="80">
        <v>0</v>
      </c>
      <c r="DW146" s="80">
        <v>1206</v>
      </c>
      <c r="DX146" s="80">
        <v>50607</v>
      </c>
      <c r="DY146" s="80">
        <v>27263</v>
      </c>
      <c r="DZ146" s="80">
        <v>16023</v>
      </c>
      <c r="EA146" s="80">
        <v>0</v>
      </c>
      <c r="EB146" s="80">
        <v>0</v>
      </c>
      <c r="EC146" s="80">
        <v>10701</v>
      </c>
      <c r="ED146" s="80">
        <v>539</v>
      </c>
      <c r="EE146" s="80">
        <v>0</v>
      </c>
      <c r="EF146" s="80">
        <v>0</v>
      </c>
      <c r="EG146" s="80">
        <v>0</v>
      </c>
      <c r="EH146" s="80">
        <v>1844</v>
      </c>
      <c r="EI146" s="80">
        <v>0</v>
      </c>
      <c r="EJ146" s="80">
        <v>1844</v>
      </c>
      <c r="EK146" s="80">
        <v>302</v>
      </c>
      <c r="EL146" s="80">
        <v>1</v>
      </c>
      <c r="EM146" s="80">
        <v>262</v>
      </c>
      <c r="EN146" s="80">
        <v>39</v>
      </c>
      <c r="EO146" s="80">
        <v>21198</v>
      </c>
      <c r="EP146" s="80">
        <v>9243</v>
      </c>
      <c r="EQ146" s="80">
        <v>0</v>
      </c>
      <c r="ER146" s="80">
        <v>7510</v>
      </c>
      <c r="ES146" s="80">
        <v>6166</v>
      </c>
      <c r="ET146" s="80">
        <v>1344</v>
      </c>
      <c r="EU146" s="80">
        <v>0</v>
      </c>
      <c r="EV146" s="80">
        <v>0</v>
      </c>
      <c r="EW146" s="80">
        <v>847</v>
      </c>
      <c r="EX146" s="80">
        <v>0</v>
      </c>
      <c r="EY146" s="80">
        <v>0</v>
      </c>
      <c r="EZ146" s="80">
        <v>0</v>
      </c>
      <c r="FA146" s="80">
        <v>886</v>
      </c>
      <c r="FB146" s="80">
        <v>0</v>
      </c>
      <c r="FC146" s="80">
        <v>0</v>
      </c>
      <c r="FD146" s="80">
        <v>11955</v>
      </c>
      <c r="FE146" s="80">
        <v>5000</v>
      </c>
      <c r="FF146" s="80">
        <v>2748</v>
      </c>
      <c r="FG146" s="80">
        <v>1723</v>
      </c>
      <c r="FH146" s="80">
        <v>1025</v>
      </c>
      <c r="FI146" s="80">
        <v>0</v>
      </c>
      <c r="FJ146" s="80">
        <v>0</v>
      </c>
      <c r="FK146" s="80">
        <v>39</v>
      </c>
      <c r="FL146" s="80">
        <v>0</v>
      </c>
      <c r="FM146" s="80">
        <v>62</v>
      </c>
      <c r="FN146" s="80">
        <v>1810</v>
      </c>
      <c r="FO146" s="80">
        <v>365</v>
      </c>
      <c r="FP146" s="80">
        <v>1931</v>
      </c>
      <c r="FQ146" s="80">
        <v>50607</v>
      </c>
      <c r="FR146" s="80">
        <v>6583</v>
      </c>
      <c r="FS146" s="80">
        <v>1262</v>
      </c>
      <c r="FT146" s="100">
        <v>23054.60200182418</v>
      </c>
      <c r="FU146" s="100"/>
      <c r="FV146" s="100">
        <v>6572</v>
      </c>
      <c r="FW146" s="67">
        <v>1659</v>
      </c>
      <c r="FX146" s="100">
        <f t="shared" si="15"/>
        <v>-29271</v>
      </c>
      <c r="FY146" s="100">
        <f t="shared" si="16"/>
        <v>-38463</v>
      </c>
      <c r="FZ146" s="100">
        <v>23508.468643226861</v>
      </c>
      <c r="GA146" s="67">
        <v>9192</v>
      </c>
      <c r="GB146" s="58">
        <f t="shared" si="13"/>
        <v>2620</v>
      </c>
      <c r="GC146" s="67">
        <v>1770</v>
      </c>
      <c r="GD146" s="100">
        <v>2004</v>
      </c>
      <c r="GE146" s="100">
        <v>790</v>
      </c>
      <c r="GF146" s="58">
        <f t="shared" si="14"/>
        <v>1214</v>
      </c>
      <c r="GG146" s="100">
        <v>-14262.299000000001</v>
      </c>
      <c r="GH146" s="100">
        <v>-478.62630000000019</v>
      </c>
      <c r="GI146" s="100">
        <v>-9152.5649358685478</v>
      </c>
      <c r="GJ146" s="67">
        <f t="shared" si="17"/>
        <v>111</v>
      </c>
      <c r="GK146" s="67"/>
      <c r="GM146" s="96"/>
    </row>
    <row r="147" spans="1:195" ht="13.5" customHeight="1" x14ac:dyDescent="0.2">
      <c r="A147" s="74">
        <v>434</v>
      </c>
      <c r="B147" s="75" t="s">
        <v>276</v>
      </c>
      <c r="C147" s="82" t="s">
        <v>276</v>
      </c>
      <c r="D147" s="76"/>
      <c r="E147" s="77" t="s">
        <v>218</v>
      </c>
      <c r="F147" s="78">
        <v>4</v>
      </c>
      <c r="G147" s="79">
        <v>15311</v>
      </c>
      <c r="H147" s="80">
        <v>22212</v>
      </c>
      <c r="I147" s="80">
        <v>11855</v>
      </c>
      <c r="J147" s="80">
        <v>6491</v>
      </c>
      <c r="K147" s="80">
        <v>1741</v>
      </c>
      <c r="L147" s="80">
        <v>2125</v>
      </c>
      <c r="M147" s="80">
        <v>0</v>
      </c>
      <c r="N147" s="80">
        <v>0</v>
      </c>
      <c r="O147" s="80">
        <v>109442</v>
      </c>
      <c r="P147" s="80">
        <v>49850</v>
      </c>
      <c r="Q147" s="80">
        <v>37511</v>
      </c>
      <c r="R147" s="80">
        <v>12339</v>
      </c>
      <c r="S147" s="80">
        <v>10313</v>
      </c>
      <c r="T147" s="80">
        <v>2026</v>
      </c>
      <c r="U147" s="80">
        <v>45167</v>
      </c>
      <c r="V147" s="80">
        <v>6391</v>
      </c>
      <c r="W147" s="80">
        <v>6830</v>
      </c>
      <c r="X147" s="80">
        <v>1204</v>
      </c>
      <c r="Y147" s="80">
        <v>-87230</v>
      </c>
      <c r="Z147" s="80">
        <v>65832</v>
      </c>
      <c r="AA147" s="80">
        <v>49304</v>
      </c>
      <c r="AB147" s="80">
        <v>9103</v>
      </c>
      <c r="AC147" s="80">
        <v>7425</v>
      </c>
      <c r="AD147" s="80">
        <v>24732</v>
      </c>
      <c r="AE147" s="80">
        <v>1337</v>
      </c>
      <c r="AF147" s="80">
        <v>36</v>
      </c>
      <c r="AG147" s="80">
        <v>1678</v>
      </c>
      <c r="AH147" s="80">
        <v>1540</v>
      </c>
      <c r="AI147" s="80">
        <v>345</v>
      </c>
      <c r="AJ147" s="80">
        <v>32</v>
      </c>
      <c r="AK147" s="80">
        <v>4671</v>
      </c>
      <c r="AL147" s="80">
        <v>4070</v>
      </c>
      <c r="AM147" s="80">
        <v>4070</v>
      </c>
      <c r="AN147" s="80">
        <v>0</v>
      </c>
      <c r="AO147" s="80">
        <v>-155</v>
      </c>
      <c r="AP147" s="80">
        <v>0</v>
      </c>
      <c r="AQ147" s="80">
        <v>155</v>
      </c>
      <c r="AR147" s="80">
        <v>446</v>
      </c>
      <c r="AS147" s="80">
        <v>198</v>
      </c>
      <c r="AT147" s="80">
        <v>0</v>
      </c>
      <c r="AU147" s="80">
        <v>0</v>
      </c>
      <c r="AV147" s="80">
        <v>644</v>
      </c>
      <c r="AW147" s="81"/>
      <c r="AX147" s="80">
        <v>3604</v>
      </c>
      <c r="AY147" s="80">
        <v>4671</v>
      </c>
      <c r="AZ147" s="80">
        <v>-155</v>
      </c>
      <c r="BA147" s="80">
        <v>-912</v>
      </c>
      <c r="BB147" s="80">
        <v>-2168</v>
      </c>
      <c r="BC147" s="80">
        <v>6484</v>
      </c>
      <c r="BD147" s="80">
        <v>3833</v>
      </c>
      <c r="BE147" s="80">
        <v>483</v>
      </c>
      <c r="BF147" s="80">
        <v>1436</v>
      </c>
      <c r="BG147" s="80">
        <v>1449</v>
      </c>
      <c r="BH147" s="80">
        <v>480</v>
      </c>
      <c r="BI147" s="80">
        <v>75</v>
      </c>
      <c r="BJ147" s="80">
        <v>555</v>
      </c>
      <c r="BK147" s="80">
        <v>6549</v>
      </c>
      <c r="BL147" s="80">
        <v>10000</v>
      </c>
      <c r="BM147" s="80">
        <v>3451</v>
      </c>
      <c r="BN147" s="80">
        <v>0</v>
      </c>
      <c r="BO147" s="80">
        <v>0</v>
      </c>
      <c r="BP147" s="80">
        <v>-5580</v>
      </c>
      <c r="BQ147" s="80">
        <v>9</v>
      </c>
      <c r="BR147" s="80">
        <v>4</v>
      </c>
      <c r="BS147" s="80">
        <v>-3943</v>
      </c>
      <c r="BT147" s="80">
        <v>-1650</v>
      </c>
      <c r="BU147" s="80">
        <v>2885</v>
      </c>
      <c r="BV147" s="80">
        <v>7741</v>
      </c>
      <c r="BW147" s="80">
        <v>4856</v>
      </c>
      <c r="BX147" s="81"/>
      <c r="BY147" s="80">
        <v>92157</v>
      </c>
      <c r="BZ147" s="80">
        <v>761</v>
      </c>
      <c r="CA147" s="80">
        <v>0</v>
      </c>
      <c r="CB147" s="80">
        <v>761</v>
      </c>
      <c r="CC147" s="80">
        <v>0</v>
      </c>
      <c r="CD147" s="80">
        <v>64481</v>
      </c>
      <c r="CE147" s="80">
        <v>8124</v>
      </c>
      <c r="CF147" s="80">
        <v>28634</v>
      </c>
      <c r="CG147" s="80">
        <v>25172</v>
      </c>
      <c r="CH147" s="80">
        <v>1248</v>
      </c>
      <c r="CI147" s="80">
        <v>2</v>
      </c>
      <c r="CJ147" s="80">
        <v>2</v>
      </c>
      <c r="CK147" s="80">
        <v>1301</v>
      </c>
      <c r="CL147" s="80">
        <v>26915</v>
      </c>
      <c r="CM147" s="80">
        <v>25044</v>
      </c>
      <c r="CN147" s="80">
        <v>8849</v>
      </c>
      <c r="CO147" s="80">
        <v>16195</v>
      </c>
      <c r="CP147" s="80">
        <v>0</v>
      </c>
      <c r="CQ147" s="80">
        <v>1408</v>
      </c>
      <c r="CR147" s="80">
        <v>0</v>
      </c>
      <c r="CS147" s="80">
        <v>0</v>
      </c>
      <c r="CT147" s="80">
        <v>1408</v>
      </c>
      <c r="CU147" s="80">
        <v>463</v>
      </c>
      <c r="CV147" s="80">
        <v>1216</v>
      </c>
      <c r="CW147" s="80">
        <v>2</v>
      </c>
      <c r="CX147" s="80">
        <v>1143</v>
      </c>
      <c r="CY147" s="80">
        <v>71</v>
      </c>
      <c r="CZ147" s="80">
        <v>17993</v>
      </c>
      <c r="DA147" s="80">
        <v>86</v>
      </c>
      <c r="DB147" s="80">
        <v>86</v>
      </c>
      <c r="DC147" s="80">
        <v>0</v>
      </c>
      <c r="DD147" s="80">
        <v>0</v>
      </c>
      <c r="DE147" s="80">
        <v>0</v>
      </c>
      <c r="DF147" s="80">
        <v>0</v>
      </c>
      <c r="DG147" s="80">
        <v>10166</v>
      </c>
      <c r="DH147" s="80">
        <v>4859</v>
      </c>
      <c r="DI147" s="80">
        <v>12</v>
      </c>
      <c r="DJ147" s="80">
        <v>2337</v>
      </c>
      <c r="DK147" s="80">
        <v>0</v>
      </c>
      <c r="DL147" s="80">
        <v>2510</v>
      </c>
      <c r="DM147" s="80">
        <v>5307</v>
      </c>
      <c r="DN147" s="80">
        <v>2935</v>
      </c>
      <c r="DO147" s="80">
        <v>0</v>
      </c>
      <c r="DP147" s="80">
        <v>1311</v>
      </c>
      <c r="DQ147" s="80">
        <v>1061</v>
      </c>
      <c r="DR147" s="80">
        <v>693</v>
      </c>
      <c r="DS147" s="80">
        <v>118</v>
      </c>
      <c r="DT147" s="80">
        <v>75</v>
      </c>
      <c r="DU147" s="80">
        <v>0</v>
      </c>
      <c r="DV147" s="80">
        <v>500</v>
      </c>
      <c r="DW147" s="80">
        <v>7048</v>
      </c>
      <c r="DX147" s="80">
        <v>111366</v>
      </c>
      <c r="DY147" s="80">
        <v>63347</v>
      </c>
      <c r="DZ147" s="80">
        <v>46015</v>
      </c>
      <c r="EA147" s="80">
        <v>0</v>
      </c>
      <c r="EB147" s="80">
        <v>500</v>
      </c>
      <c r="EC147" s="80">
        <v>16188</v>
      </c>
      <c r="ED147" s="80">
        <v>644</v>
      </c>
      <c r="EE147" s="80">
        <v>1478</v>
      </c>
      <c r="EF147" s="80">
        <v>1478</v>
      </c>
      <c r="EG147" s="80">
        <v>0</v>
      </c>
      <c r="EH147" s="80">
        <v>299</v>
      </c>
      <c r="EI147" s="80">
        <v>94</v>
      </c>
      <c r="EJ147" s="80">
        <v>205</v>
      </c>
      <c r="EK147" s="80">
        <v>1157</v>
      </c>
      <c r="EL147" s="80">
        <v>14</v>
      </c>
      <c r="EM147" s="80">
        <v>1143</v>
      </c>
      <c r="EN147" s="80">
        <v>0</v>
      </c>
      <c r="EO147" s="80">
        <v>45085</v>
      </c>
      <c r="EP147" s="80">
        <v>19444</v>
      </c>
      <c r="EQ147" s="80">
        <v>0</v>
      </c>
      <c r="ER147" s="80">
        <v>19248</v>
      </c>
      <c r="ES147" s="80">
        <v>15</v>
      </c>
      <c r="ET147" s="80">
        <v>13283</v>
      </c>
      <c r="EU147" s="80">
        <v>5950</v>
      </c>
      <c r="EV147" s="80">
        <v>0</v>
      </c>
      <c r="EW147" s="80">
        <v>193</v>
      </c>
      <c r="EX147" s="80">
        <v>0</v>
      </c>
      <c r="EY147" s="80">
        <v>3</v>
      </c>
      <c r="EZ147" s="80">
        <v>0</v>
      </c>
      <c r="FA147" s="80">
        <v>0</v>
      </c>
      <c r="FB147" s="80">
        <v>0</v>
      </c>
      <c r="FC147" s="80">
        <v>0</v>
      </c>
      <c r="FD147" s="80">
        <v>25641</v>
      </c>
      <c r="FE147" s="80">
        <v>0</v>
      </c>
      <c r="FF147" s="80">
        <v>12695</v>
      </c>
      <c r="FG147" s="80">
        <v>30</v>
      </c>
      <c r="FH147" s="80">
        <v>11965</v>
      </c>
      <c r="FI147" s="80">
        <v>700</v>
      </c>
      <c r="FJ147" s="80">
        <v>0</v>
      </c>
      <c r="FK147" s="80">
        <v>35</v>
      </c>
      <c r="FL147" s="80">
        <v>0</v>
      </c>
      <c r="FM147" s="80">
        <v>7</v>
      </c>
      <c r="FN147" s="80">
        <v>5400</v>
      </c>
      <c r="FO147" s="80">
        <v>947</v>
      </c>
      <c r="FP147" s="80">
        <v>6557</v>
      </c>
      <c r="FQ147" s="80">
        <v>111366</v>
      </c>
      <c r="FR147" s="80">
        <v>8372</v>
      </c>
      <c r="FS147" s="80">
        <v>3226</v>
      </c>
      <c r="FT147" s="100">
        <v>71463.802266848244</v>
      </c>
      <c r="FU147" s="100"/>
      <c r="FV147" s="100">
        <v>35720</v>
      </c>
      <c r="FW147" s="67">
        <v>4033</v>
      </c>
      <c r="FX147" s="100">
        <f t="shared" si="15"/>
        <v>-38492</v>
      </c>
      <c r="FY147" s="100">
        <f t="shared" si="16"/>
        <v>-83160</v>
      </c>
      <c r="FZ147" s="100">
        <v>51698.100147429868</v>
      </c>
      <c r="GA147" s="67">
        <v>44668</v>
      </c>
      <c r="GB147" s="58">
        <f t="shared" si="13"/>
        <v>8948</v>
      </c>
      <c r="GC147" s="67">
        <v>4070</v>
      </c>
      <c r="GD147" s="100">
        <v>6492</v>
      </c>
      <c r="GE147" s="100">
        <v>1809</v>
      </c>
      <c r="GF147" s="58">
        <f t="shared" si="14"/>
        <v>4683</v>
      </c>
      <c r="GG147" s="100">
        <v>-29924.362000000001</v>
      </c>
      <c r="GH147" s="100">
        <v>-2833.0214000000014</v>
      </c>
      <c r="GI147" s="100">
        <v>-19449.609359256145</v>
      </c>
      <c r="GJ147" s="67">
        <f t="shared" si="17"/>
        <v>37</v>
      </c>
      <c r="GK147" s="67"/>
      <c r="GM147" s="96"/>
    </row>
    <row r="148" spans="1:195" ht="13.5" customHeight="1" x14ac:dyDescent="0.2">
      <c r="A148" s="74">
        <v>435</v>
      </c>
      <c r="B148" s="75" t="s">
        <v>98</v>
      </c>
      <c r="C148" s="75" t="s">
        <v>98</v>
      </c>
      <c r="D148" s="76"/>
      <c r="E148" s="77" t="s">
        <v>231</v>
      </c>
      <c r="F148" s="78">
        <v>1</v>
      </c>
      <c r="G148" s="79">
        <v>761</v>
      </c>
      <c r="H148" s="80">
        <v>1010</v>
      </c>
      <c r="I148" s="80">
        <v>364</v>
      </c>
      <c r="J148" s="80">
        <v>437</v>
      </c>
      <c r="K148" s="80">
        <v>35</v>
      </c>
      <c r="L148" s="80">
        <v>174</v>
      </c>
      <c r="M148" s="80">
        <v>0</v>
      </c>
      <c r="N148" s="80">
        <v>0</v>
      </c>
      <c r="O148" s="80">
        <v>5654</v>
      </c>
      <c r="P148" s="80">
        <v>2118</v>
      </c>
      <c r="Q148" s="80">
        <v>1602</v>
      </c>
      <c r="R148" s="80">
        <v>516</v>
      </c>
      <c r="S148" s="80">
        <v>452</v>
      </c>
      <c r="T148" s="80">
        <v>64</v>
      </c>
      <c r="U148" s="80">
        <v>2839</v>
      </c>
      <c r="V148" s="80">
        <v>390</v>
      </c>
      <c r="W148" s="80">
        <v>284</v>
      </c>
      <c r="X148" s="80">
        <v>23</v>
      </c>
      <c r="Y148" s="80">
        <v>-4644</v>
      </c>
      <c r="Z148" s="80">
        <v>2522</v>
      </c>
      <c r="AA148" s="80">
        <v>1810</v>
      </c>
      <c r="AB148" s="80">
        <v>267</v>
      </c>
      <c r="AC148" s="80">
        <v>445</v>
      </c>
      <c r="AD148" s="80">
        <v>3051</v>
      </c>
      <c r="AE148" s="80">
        <v>18</v>
      </c>
      <c r="AF148" s="80">
        <v>14</v>
      </c>
      <c r="AG148" s="80">
        <v>17</v>
      </c>
      <c r="AH148" s="80">
        <v>0</v>
      </c>
      <c r="AI148" s="80">
        <v>12</v>
      </c>
      <c r="AJ148" s="80">
        <v>1</v>
      </c>
      <c r="AK148" s="80">
        <v>947</v>
      </c>
      <c r="AL148" s="80">
        <v>198</v>
      </c>
      <c r="AM148" s="80">
        <v>198</v>
      </c>
      <c r="AN148" s="80">
        <v>0</v>
      </c>
      <c r="AO148" s="80">
        <v>6</v>
      </c>
      <c r="AP148" s="80">
        <v>6</v>
      </c>
      <c r="AQ148" s="80">
        <v>0</v>
      </c>
      <c r="AR148" s="80">
        <v>755</v>
      </c>
      <c r="AS148" s="80">
        <v>0</v>
      </c>
      <c r="AT148" s="80">
        <v>0</v>
      </c>
      <c r="AU148" s="80">
        <v>0</v>
      </c>
      <c r="AV148" s="80">
        <v>755</v>
      </c>
      <c r="AW148" s="81"/>
      <c r="AX148" s="80">
        <v>953</v>
      </c>
      <c r="AY148" s="80">
        <v>947</v>
      </c>
      <c r="AZ148" s="80">
        <v>6</v>
      </c>
      <c r="BA148" s="80">
        <v>0</v>
      </c>
      <c r="BB148" s="80">
        <v>-134</v>
      </c>
      <c r="BC148" s="80">
        <v>64</v>
      </c>
      <c r="BD148" s="80">
        <v>-74</v>
      </c>
      <c r="BE148" s="80">
        <v>4</v>
      </c>
      <c r="BF148" s="80">
        <v>819</v>
      </c>
      <c r="BG148" s="80">
        <v>-159</v>
      </c>
      <c r="BH148" s="80">
        <v>0</v>
      </c>
      <c r="BI148" s="80">
        <v>0</v>
      </c>
      <c r="BJ148" s="80">
        <v>0</v>
      </c>
      <c r="BK148" s="80">
        <v>-110</v>
      </c>
      <c r="BL148" s="80">
        <v>111</v>
      </c>
      <c r="BM148" s="80">
        <v>221</v>
      </c>
      <c r="BN148" s="80">
        <v>0</v>
      </c>
      <c r="BO148" s="80">
        <v>0</v>
      </c>
      <c r="BP148" s="80">
        <v>-49</v>
      </c>
      <c r="BQ148" s="80">
        <v>8</v>
      </c>
      <c r="BR148" s="80">
        <v>0</v>
      </c>
      <c r="BS148" s="80">
        <v>105</v>
      </c>
      <c r="BT148" s="80">
        <v>-162</v>
      </c>
      <c r="BU148" s="80">
        <v>658</v>
      </c>
      <c r="BV148" s="80">
        <v>1455</v>
      </c>
      <c r="BW148" s="80">
        <v>797</v>
      </c>
      <c r="BX148" s="81"/>
      <c r="BY148" s="80">
        <v>4791</v>
      </c>
      <c r="BZ148" s="80">
        <v>6</v>
      </c>
      <c r="CA148" s="80">
        <v>6</v>
      </c>
      <c r="CB148" s="80">
        <v>0</v>
      </c>
      <c r="CC148" s="80">
        <v>0</v>
      </c>
      <c r="CD148" s="80">
        <v>3596</v>
      </c>
      <c r="CE148" s="80">
        <v>812</v>
      </c>
      <c r="CF148" s="80">
        <v>1537</v>
      </c>
      <c r="CG148" s="80">
        <v>1106</v>
      </c>
      <c r="CH148" s="80">
        <v>34</v>
      </c>
      <c r="CI148" s="80">
        <v>0</v>
      </c>
      <c r="CJ148" s="80">
        <v>0</v>
      </c>
      <c r="CK148" s="80">
        <v>107</v>
      </c>
      <c r="CL148" s="80">
        <v>1189</v>
      </c>
      <c r="CM148" s="80">
        <v>985</v>
      </c>
      <c r="CN148" s="80">
        <v>186</v>
      </c>
      <c r="CO148" s="80">
        <v>799</v>
      </c>
      <c r="CP148" s="80">
        <v>0</v>
      </c>
      <c r="CQ148" s="80">
        <v>137</v>
      </c>
      <c r="CR148" s="80">
        <v>0</v>
      </c>
      <c r="CS148" s="80">
        <v>0</v>
      </c>
      <c r="CT148" s="80">
        <v>137</v>
      </c>
      <c r="CU148" s="80">
        <v>67</v>
      </c>
      <c r="CV148" s="80">
        <v>31</v>
      </c>
      <c r="CW148" s="80">
        <v>0</v>
      </c>
      <c r="CX148" s="80">
        <v>31</v>
      </c>
      <c r="CY148" s="80">
        <v>0</v>
      </c>
      <c r="CZ148" s="80">
        <v>1649</v>
      </c>
      <c r="DA148" s="80">
        <v>1</v>
      </c>
      <c r="DB148" s="80">
        <v>1</v>
      </c>
      <c r="DC148" s="80">
        <v>0</v>
      </c>
      <c r="DD148" s="80">
        <v>0</v>
      </c>
      <c r="DE148" s="80">
        <v>0</v>
      </c>
      <c r="DF148" s="80">
        <v>0</v>
      </c>
      <c r="DG148" s="80">
        <v>193</v>
      </c>
      <c r="DH148" s="80">
        <v>78</v>
      </c>
      <c r="DI148" s="80">
        <v>0</v>
      </c>
      <c r="DJ148" s="80">
        <v>78</v>
      </c>
      <c r="DK148" s="80">
        <v>0</v>
      </c>
      <c r="DL148" s="80">
        <v>0</v>
      </c>
      <c r="DM148" s="80">
        <v>115</v>
      </c>
      <c r="DN148" s="80">
        <v>89</v>
      </c>
      <c r="DO148" s="80">
        <v>18</v>
      </c>
      <c r="DP148" s="80">
        <v>8</v>
      </c>
      <c r="DQ148" s="80">
        <v>0</v>
      </c>
      <c r="DR148" s="80">
        <v>0</v>
      </c>
      <c r="DS148" s="80">
        <v>0</v>
      </c>
      <c r="DT148" s="80">
        <v>0</v>
      </c>
      <c r="DU148" s="80">
        <v>0</v>
      </c>
      <c r="DV148" s="80">
        <v>0</v>
      </c>
      <c r="DW148" s="80">
        <v>1455</v>
      </c>
      <c r="DX148" s="80">
        <v>6471</v>
      </c>
      <c r="DY148" s="80">
        <v>4257</v>
      </c>
      <c r="DZ148" s="80">
        <v>1966</v>
      </c>
      <c r="EA148" s="80">
        <v>0</v>
      </c>
      <c r="EB148" s="80">
        <v>124</v>
      </c>
      <c r="EC148" s="80">
        <v>1413</v>
      </c>
      <c r="ED148" s="80">
        <v>754</v>
      </c>
      <c r="EE148" s="80">
        <v>0</v>
      </c>
      <c r="EF148" s="80">
        <v>0</v>
      </c>
      <c r="EG148" s="80">
        <v>0</v>
      </c>
      <c r="EH148" s="80">
        <v>0</v>
      </c>
      <c r="EI148" s="80">
        <v>0</v>
      </c>
      <c r="EJ148" s="80">
        <v>0</v>
      </c>
      <c r="EK148" s="80">
        <v>33</v>
      </c>
      <c r="EL148" s="80">
        <v>0</v>
      </c>
      <c r="EM148" s="80">
        <v>33</v>
      </c>
      <c r="EN148" s="80">
        <v>0</v>
      </c>
      <c r="EO148" s="80">
        <v>2181</v>
      </c>
      <c r="EP148" s="80">
        <v>1313</v>
      </c>
      <c r="EQ148" s="80">
        <v>0</v>
      </c>
      <c r="ER148" s="80">
        <v>1313</v>
      </c>
      <c r="ES148" s="80">
        <v>86</v>
      </c>
      <c r="ET148" s="80">
        <v>1227</v>
      </c>
      <c r="EU148" s="80">
        <v>0</v>
      </c>
      <c r="EV148" s="80">
        <v>0</v>
      </c>
      <c r="EW148" s="80">
        <v>0</v>
      </c>
      <c r="EX148" s="80">
        <v>0</v>
      </c>
      <c r="EY148" s="80">
        <v>0</v>
      </c>
      <c r="EZ148" s="80">
        <v>0</v>
      </c>
      <c r="FA148" s="80">
        <v>0</v>
      </c>
      <c r="FB148" s="80">
        <v>0</v>
      </c>
      <c r="FC148" s="80">
        <v>0</v>
      </c>
      <c r="FD148" s="80">
        <v>868</v>
      </c>
      <c r="FE148" s="80">
        <v>0</v>
      </c>
      <c r="FF148" s="80">
        <v>110</v>
      </c>
      <c r="FG148" s="80">
        <v>35</v>
      </c>
      <c r="FH148" s="80">
        <v>75</v>
      </c>
      <c r="FI148" s="80">
        <v>0</v>
      </c>
      <c r="FJ148" s="80">
        <v>0</v>
      </c>
      <c r="FK148" s="80">
        <v>0</v>
      </c>
      <c r="FL148" s="80">
        <v>0</v>
      </c>
      <c r="FM148" s="80">
        <v>8</v>
      </c>
      <c r="FN148" s="80">
        <v>448</v>
      </c>
      <c r="FO148" s="80">
        <v>40</v>
      </c>
      <c r="FP148" s="80">
        <v>262</v>
      </c>
      <c r="FQ148" s="80">
        <v>6471</v>
      </c>
      <c r="FR148" s="80">
        <v>13</v>
      </c>
      <c r="FS148" s="80">
        <v>1110</v>
      </c>
      <c r="FT148" s="100">
        <v>2469.9593289259756</v>
      </c>
      <c r="FU148" s="100"/>
      <c r="FV148" s="100">
        <v>825</v>
      </c>
      <c r="FW148" s="67">
        <v>199</v>
      </c>
      <c r="FX148" s="100">
        <f t="shared" si="15"/>
        <v>-3242</v>
      </c>
      <c r="FY148" s="100">
        <f t="shared" si="16"/>
        <v>-4446</v>
      </c>
      <c r="FZ148" s="100">
        <v>3038.3942676097467</v>
      </c>
      <c r="GA148" s="67">
        <v>1204</v>
      </c>
      <c r="GB148" s="58">
        <f t="shared" si="13"/>
        <v>379</v>
      </c>
      <c r="GC148" s="67">
        <v>199</v>
      </c>
      <c r="GD148" s="100">
        <v>630</v>
      </c>
      <c r="GE148" s="100">
        <v>270</v>
      </c>
      <c r="GF148" s="58">
        <f t="shared" si="14"/>
        <v>360</v>
      </c>
      <c r="GG148" s="100">
        <v>-1148.7750000000001</v>
      </c>
      <c r="GH148" s="100">
        <v>-77.451100000000011</v>
      </c>
      <c r="GI148" s="100">
        <v>-1806.5603218773156</v>
      </c>
      <c r="GJ148" s="67">
        <f t="shared" si="17"/>
        <v>0</v>
      </c>
      <c r="GK148" s="67"/>
      <c r="GM148" s="96"/>
    </row>
    <row r="149" spans="1:195" ht="13.5" customHeight="1" x14ac:dyDescent="0.2">
      <c r="A149" s="74">
        <v>436</v>
      </c>
      <c r="B149" s="75" t="s">
        <v>99</v>
      </c>
      <c r="C149" s="75" t="s">
        <v>99</v>
      </c>
      <c r="D149" s="76"/>
      <c r="E149" s="77" t="s">
        <v>216</v>
      </c>
      <c r="F149" s="78">
        <v>2</v>
      </c>
      <c r="G149" s="79">
        <v>2076</v>
      </c>
      <c r="H149" s="80">
        <v>1848</v>
      </c>
      <c r="I149" s="80">
        <v>596</v>
      </c>
      <c r="J149" s="80">
        <v>505</v>
      </c>
      <c r="K149" s="80">
        <v>328</v>
      </c>
      <c r="L149" s="80">
        <v>419</v>
      </c>
      <c r="M149" s="80">
        <v>0</v>
      </c>
      <c r="N149" s="80">
        <v>9</v>
      </c>
      <c r="O149" s="80">
        <v>12756</v>
      </c>
      <c r="P149" s="80">
        <v>5835</v>
      </c>
      <c r="Q149" s="80">
        <v>4566</v>
      </c>
      <c r="R149" s="80">
        <v>1269</v>
      </c>
      <c r="S149" s="80">
        <v>1075</v>
      </c>
      <c r="T149" s="80">
        <v>194</v>
      </c>
      <c r="U149" s="80">
        <v>5280</v>
      </c>
      <c r="V149" s="80">
        <v>787</v>
      </c>
      <c r="W149" s="80">
        <v>667</v>
      </c>
      <c r="X149" s="80">
        <v>187</v>
      </c>
      <c r="Y149" s="80">
        <v>-10899</v>
      </c>
      <c r="Z149" s="80">
        <v>5439</v>
      </c>
      <c r="AA149" s="80">
        <v>5039</v>
      </c>
      <c r="AB149" s="80">
        <v>145</v>
      </c>
      <c r="AC149" s="80">
        <v>255</v>
      </c>
      <c r="AD149" s="80">
        <v>6004</v>
      </c>
      <c r="AE149" s="80">
        <v>-38</v>
      </c>
      <c r="AF149" s="80">
        <v>1</v>
      </c>
      <c r="AG149" s="80">
        <v>15</v>
      </c>
      <c r="AH149" s="80">
        <v>12</v>
      </c>
      <c r="AI149" s="80">
        <v>54</v>
      </c>
      <c r="AJ149" s="80">
        <v>0</v>
      </c>
      <c r="AK149" s="80">
        <v>506</v>
      </c>
      <c r="AL149" s="80">
        <v>623</v>
      </c>
      <c r="AM149" s="80">
        <v>623</v>
      </c>
      <c r="AN149" s="80">
        <v>0</v>
      </c>
      <c r="AO149" s="80">
        <v>0</v>
      </c>
      <c r="AP149" s="80">
        <v>0</v>
      </c>
      <c r="AQ149" s="80">
        <v>0</v>
      </c>
      <c r="AR149" s="80">
        <v>-117</v>
      </c>
      <c r="AS149" s="80">
        <v>88</v>
      </c>
      <c r="AT149" s="80">
        <v>0</v>
      </c>
      <c r="AU149" s="80">
        <v>0</v>
      </c>
      <c r="AV149" s="80">
        <v>-29</v>
      </c>
      <c r="AW149" s="81"/>
      <c r="AX149" s="80">
        <v>492</v>
      </c>
      <c r="AY149" s="80">
        <v>506</v>
      </c>
      <c r="AZ149" s="80">
        <v>0</v>
      </c>
      <c r="BA149" s="80">
        <v>-14</v>
      </c>
      <c r="BB149" s="80">
        <v>-148</v>
      </c>
      <c r="BC149" s="80">
        <v>167</v>
      </c>
      <c r="BD149" s="80">
        <v>0</v>
      </c>
      <c r="BE149" s="80">
        <v>19</v>
      </c>
      <c r="BF149" s="80">
        <v>344</v>
      </c>
      <c r="BG149" s="80">
        <v>-273</v>
      </c>
      <c r="BH149" s="80">
        <v>14</v>
      </c>
      <c r="BI149" s="80">
        <v>20</v>
      </c>
      <c r="BJ149" s="80">
        <v>34</v>
      </c>
      <c r="BK149" s="80">
        <v>-416</v>
      </c>
      <c r="BL149" s="80">
        <v>0</v>
      </c>
      <c r="BM149" s="80">
        <v>416</v>
      </c>
      <c r="BN149" s="80">
        <v>0</v>
      </c>
      <c r="BO149" s="80">
        <v>0</v>
      </c>
      <c r="BP149" s="80">
        <v>129</v>
      </c>
      <c r="BQ149" s="80">
        <v>1</v>
      </c>
      <c r="BR149" s="80">
        <v>-1</v>
      </c>
      <c r="BS149" s="80">
        <v>-27</v>
      </c>
      <c r="BT149" s="80">
        <v>156</v>
      </c>
      <c r="BU149" s="80">
        <v>71</v>
      </c>
      <c r="BV149" s="80">
        <v>164</v>
      </c>
      <c r="BW149" s="80">
        <v>93</v>
      </c>
      <c r="BX149" s="81"/>
      <c r="BY149" s="80">
        <v>10755</v>
      </c>
      <c r="BZ149" s="80">
        <v>287</v>
      </c>
      <c r="CA149" s="80">
        <v>7</v>
      </c>
      <c r="CB149" s="80">
        <v>280</v>
      </c>
      <c r="CC149" s="80">
        <v>0</v>
      </c>
      <c r="CD149" s="80">
        <v>8878</v>
      </c>
      <c r="CE149" s="80">
        <v>1375</v>
      </c>
      <c r="CF149" s="80">
        <v>6747</v>
      </c>
      <c r="CG149" s="80">
        <v>461</v>
      </c>
      <c r="CH149" s="80">
        <v>94</v>
      </c>
      <c r="CI149" s="80">
        <v>0</v>
      </c>
      <c r="CJ149" s="80">
        <v>0</v>
      </c>
      <c r="CK149" s="80">
        <v>201</v>
      </c>
      <c r="CL149" s="80">
        <v>1590</v>
      </c>
      <c r="CM149" s="80">
        <v>1549</v>
      </c>
      <c r="CN149" s="80">
        <v>712</v>
      </c>
      <c r="CO149" s="80">
        <v>837</v>
      </c>
      <c r="CP149" s="80">
        <v>0</v>
      </c>
      <c r="CQ149" s="80">
        <v>0</v>
      </c>
      <c r="CR149" s="80">
        <v>0</v>
      </c>
      <c r="CS149" s="80">
        <v>0</v>
      </c>
      <c r="CT149" s="80">
        <v>0</v>
      </c>
      <c r="CU149" s="80">
        <v>41</v>
      </c>
      <c r="CV149" s="80">
        <v>1</v>
      </c>
      <c r="CW149" s="80">
        <v>0</v>
      </c>
      <c r="CX149" s="80">
        <v>1</v>
      </c>
      <c r="CY149" s="80">
        <v>0</v>
      </c>
      <c r="CZ149" s="80">
        <v>594</v>
      </c>
      <c r="DA149" s="80">
        <v>2</v>
      </c>
      <c r="DB149" s="80">
        <v>2</v>
      </c>
      <c r="DC149" s="80">
        <v>0</v>
      </c>
      <c r="DD149" s="80">
        <v>0</v>
      </c>
      <c r="DE149" s="80">
        <v>0</v>
      </c>
      <c r="DF149" s="80">
        <v>0</v>
      </c>
      <c r="DG149" s="80">
        <v>428</v>
      </c>
      <c r="DH149" s="80">
        <v>60</v>
      </c>
      <c r="DI149" s="80">
        <v>0</v>
      </c>
      <c r="DJ149" s="80">
        <v>60</v>
      </c>
      <c r="DK149" s="80">
        <v>0</v>
      </c>
      <c r="DL149" s="80">
        <v>0</v>
      </c>
      <c r="DM149" s="80">
        <v>368</v>
      </c>
      <c r="DN149" s="80">
        <v>142</v>
      </c>
      <c r="DO149" s="80">
        <v>13</v>
      </c>
      <c r="DP149" s="80">
        <v>102</v>
      </c>
      <c r="DQ149" s="80">
        <v>111</v>
      </c>
      <c r="DR149" s="80">
        <v>0</v>
      </c>
      <c r="DS149" s="80">
        <v>0</v>
      </c>
      <c r="DT149" s="80">
        <v>0</v>
      </c>
      <c r="DU149" s="80">
        <v>0</v>
      </c>
      <c r="DV149" s="80">
        <v>0</v>
      </c>
      <c r="DW149" s="80">
        <v>164</v>
      </c>
      <c r="DX149" s="80">
        <v>11350</v>
      </c>
      <c r="DY149" s="80">
        <v>3928</v>
      </c>
      <c r="DZ149" s="80">
        <v>3624</v>
      </c>
      <c r="EA149" s="80">
        <v>0</v>
      </c>
      <c r="EB149" s="80">
        <v>0</v>
      </c>
      <c r="EC149" s="80">
        <v>333</v>
      </c>
      <c r="ED149" s="80">
        <v>-29</v>
      </c>
      <c r="EE149" s="80">
        <v>590</v>
      </c>
      <c r="EF149" s="80">
        <v>0</v>
      </c>
      <c r="EG149" s="80">
        <v>590</v>
      </c>
      <c r="EH149" s="80">
        <v>0</v>
      </c>
      <c r="EI149" s="80">
        <v>0</v>
      </c>
      <c r="EJ149" s="80">
        <v>0</v>
      </c>
      <c r="EK149" s="80">
        <v>2</v>
      </c>
      <c r="EL149" s="80">
        <v>1</v>
      </c>
      <c r="EM149" s="80">
        <v>1</v>
      </c>
      <c r="EN149" s="80">
        <v>0</v>
      </c>
      <c r="EO149" s="80">
        <v>6829</v>
      </c>
      <c r="EP149" s="80">
        <v>2806</v>
      </c>
      <c r="EQ149" s="80">
        <v>0</v>
      </c>
      <c r="ER149" s="80">
        <v>2805</v>
      </c>
      <c r="ES149" s="80">
        <v>470</v>
      </c>
      <c r="ET149" s="80">
        <v>2335</v>
      </c>
      <c r="EU149" s="80">
        <v>0</v>
      </c>
      <c r="EV149" s="80">
        <v>0</v>
      </c>
      <c r="EW149" s="80">
        <v>0</v>
      </c>
      <c r="EX149" s="80">
        <v>0</v>
      </c>
      <c r="EY149" s="80">
        <v>0</v>
      </c>
      <c r="EZ149" s="80">
        <v>0</v>
      </c>
      <c r="FA149" s="80">
        <v>1</v>
      </c>
      <c r="FB149" s="80">
        <v>0</v>
      </c>
      <c r="FC149" s="80">
        <v>0</v>
      </c>
      <c r="FD149" s="80">
        <v>4023</v>
      </c>
      <c r="FE149" s="80">
        <v>0</v>
      </c>
      <c r="FF149" s="80">
        <v>2517</v>
      </c>
      <c r="FG149" s="80">
        <v>140</v>
      </c>
      <c r="FH149" s="80">
        <v>2377</v>
      </c>
      <c r="FI149" s="80">
        <v>0</v>
      </c>
      <c r="FJ149" s="80">
        <v>0</v>
      </c>
      <c r="FK149" s="80">
        <v>0</v>
      </c>
      <c r="FL149" s="80">
        <v>0</v>
      </c>
      <c r="FM149" s="80">
        <v>78</v>
      </c>
      <c r="FN149" s="80">
        <v>506</v>
      </c>
      <c r="FO149" s="80">
        <v>104</v>
      </c>
      <c r="FP149" s="80">
        <v>818</v>
      </c>
      <c r="FQ149" s="80">
        <v>11349</v>
      </c>
      <c r="FR149" s="80">
        <v>1763</v>
      </c>
      <c r="FS149" s="80">
        <v>0</v>
      </c>
      <c r="FT149" s="100">
        <v>7909.0515839423197</v>
      </c>
      <c r="FU149" s="100"/>
      <c r="FV149" s="100">
        <v>2775</v>
      </c>
      <c r="FW149" s="67">
        <v>601</v>
      </c>
      <c r="FX149" s="100">
        <f t="shared" si="15"/>
        <v>-6458</v>
      </c>
      <c r="FY149" s="100">
        <f t="shared" si="16"/>
        <v>-10276</v>
      </c>
      <c r="FZ149" s="100">
        <v>5799.7150719611836</v>
      </c>
      <c r="GA149" s="67">
        <v>3818</v>
      </c>
      <c r="GB149" s="58">
        <f t="shared" si="13"/>
        <v>1043</v>
      </c>
      <c r="GC149" s="67">
        <v>623</v>
      </c>
      <c r="GD149" s="100">
        <v>504</v>
      </c>
      <c r="GE149" s="100">
        <v>186</v>
      </c>
      <c r="GF149" s="58">
        <f t="shared" si="14"/>
        <v>318</v>
      </c>
      <c r="GG149" s="100">
        <v>-2918.0160000000001</v>
      </c>
      <c r="GH149" s="100">
        <v>-45.07865000000001</v>
      </c>
      <c r="GI149" s="100">
        <v>-2837.7231863833122</v>
      </c>
      <c r="GJ149" s="67">
        <f t="shared" si="17"/>
        <v>22</v>
      </c>
      <c r="GK149" s="67"/>
      <c r="GM149" s="96"/>
    </row>
    <row r="150" spans="1:195" ht="13.5" customHeight="1" x14ac:dyDescent="0.2">
      <c r="A150" s="74">
        <v>423</v>
      </c>
      <c r="B150" s="75" t="s">
        <v>273</v>
      </c>
      <c r="C150" s="82" t="s">
        <v>273</v>
      </c>
      <c r="D150" s="76"/>
      <c r="E150" s="77" t="s">
        <v>219</v>
      </c>
      <c r="F150" s="78">
        <v>4</v>
      </c>
      <c r="G150" s="79">
        <v>19263</v>
      </c>
      <c r="H150" s="80">
        <v>29951</v>
      </c>
      <c r="I150" s="80">
        <v>16978</v>
      </c>
      <c r="J150" s="80">
        <v>5349</v>
      </c>
      <c r="K150" s="80">
        <v>3641</v>
      </c>
      <c r="L150" s="80">
        <v>3983</v>
      </c>
      <c r="M150" s="80">
        <v>0</v>
      </c>
      <c r="N150" s="80">
        <v>0</v>
      </c>
      <c r="O150" s="80">
        <v>117585</v>
      </c>
      <c r="P150" s="80">
        <v>52579</v>
      </c>
      <c r="Q150" s="80">
        <v>41216</v>
      </c>
      <c r="R150" s="80">
        <v>11363</v>
      </c>
      <c r="S150" s="80">
        <v>9100</v>
      </c>
      <c r="T150" s="80">
        <v>2263</v>
      </c>
      <c r="U150" s="80">
        <v>49507</v>
      </c>
      <c r="V150" s="80">
        <v>6254</v>
      </c>
      <c r="W150" s="80">
        <v>7608</v>
      </c>
      <c r="X150" s="80">
        <v>1637</v>
      </c>
      <c r="Y150" s="80">
        <v>-87634</v>
      </c>
      <c r="Z150" s="80">
        <v>72610</v>
      </c>
      <c r="AA150" s="80">
        <v>65983</v>
      </c>
      <c r="AB150" s="80">
        <v>3127</v>
      </c>
      <c r="AC150" s="80">
        <v>3500</v>
      </c>
      <c r="AD150" s="80">
        <v>21557</v>
      </c>
      <c r="AE150" s="80">
        <v>-545</v>
      </c>
      <c r="AF150" s="80">
        <v>38</v>
      </c>
      <c r="AG150" s="80">
        <v>69</v>
      </c>
      <c r="AH150" s="80">
        <v>16</v>
      </c>
      <c r="AI150" s="80">
        <v>647</v>
      </c>
      <c r="AJ150" s="80">
        <v>5</v>
      </c>
      <c r="AK150" s="80">
        <v>5988</v>
      </c>
      <c r="AL150" s="80">
        <v>5486</v>
      </c>
      <c r="AM150" s="80">
        <v>5486</v>
      </c>
      <c r="AN150" s="80">
        <v>0</v>
      </c>
      <c r="AO150" s="80">
        <v>0</v>
      </c>
      <c r="AP150" s="80">
        <v>0</v>
      </c>
      <c r="AQ150" s="80">
        <v>0</v>
      </c>
      <c r="AR150" s="80">
        <v>502</v>
      </c>
      <c r="AS150" s="80">
        <v>9</v>
      </c>
      <c r="AT150" s="80">
        <v>0</v>
      </c>
      <c r="AU150" s="80">
        <v>0</v>
      </c>
      <c r="AV150" s="80">
        <v>511</v>
      </c>
      <c r="AW150" s="81"/>
      <c r="AX150" s="80">
        <v>4064</v>
      </c>
      <c r="AY150" s="80">
        <v>5988</v>
      </c>
      <c r="AZ150" s="80">
        <v>0</v>
      </c>
      <c r="BA150" s="80">
        <v>-1924</v>
      </c>
      <c r="BB150" s="80">
        <v>-4250</v>
      </c>
      <c r="BC150" s="80">
        <v>7265</v>
      </c>
      <c r="BD150" s="80">
        <v>111</v>
      </c>
      <c r="BE150" s="80">
        <v>2904</v>
      </c>
      <c r="BF150" s="80">
        <v>-186</v>
      </c>
      <c r="BG150" s="80">
        <v>-3414</v>
      </c>
      <c r="BH150" s="80">
        <v>-176</v>
      </c>
      <c r="BI150" s="80">
        <v>187</v>
      </c>
      <c r="BJ150" s="80">
        <v>11</v>
      </c>
      <c r="BK150" s="80">
        <v>-4234</v>
      </c>
      <c r="BL150" s="80">
        <v>0</v>
      </c>
      <c r="BM150" s="80">
        <v>4234</v>
      </c>
      <c r="BN150" s="80">
        <v>0</v>
      </c>
      <c r="BO150" s="80">
        <v>0</v>
      </c>
      <c r="BP150" s="80">
        <v>996</v>
      </c>
      <c r="BQ150" s="80">
        <v>0</v>
      </c>
      <c r="BR150" s="80">
        <v>0</v>
      </c>
      <c r="BS150" s="80">
        <v>196</v>
      </c>
      <c r="BT150" s="80">
        <v>800</v>
      </c>
      <c r="BU150" s="80">
        <v>-3600</v>
      </c>
      <c r="BV150" s="80">
        <v>2418</v>
      </c>
      <c r="BW150" s="80">
        <v>6018</v>
      </c>
      <c r="BX150" s="81"/>
      <c r="BY150" s="80">
        <v>97297</v>
      </c>
      <c r="BZ150" s="80">
        <v>186</v>
      </c>
      <c r="CA150" s="80">
        <v>78</v>
      </c>
      <c r="CB150" s="80">
        <v>108</v>
      </c>
      <c r="CC150" s="80">
        <v>0</v>
      </c>
      <c r="CD150" s="80">
        <v>86277</v>
      </c>
      <c r="CE150" s="80">
        <v>16002</v>
      </c>
      <c r="CF150" s="80">
        <v>49890</v>
      </c>
      <c r="CG150" s="80">
        <v>18748</v>
      </c>
      <c r="CH150" s="80">
        <v>675</v>
      </c>
      <c r="CI150" s="80">
        <v>0</v>
      </c>
      <c r="CJ150" s="80">
        <v>0</v>
      </c>
      <c r="CK150" s="80">
        <v>962</v>
      </c>
      <c r="CL150" s="80">
        <v>10834</v>
      </c>
      <c r="CM150" s="80">
        <v>9981</v>
      </c>
      <c r="CN150" s="80">
        <v>5466</v>
      </c>
      <c r="CO150" s="80">
        <v>4515</v>
      </c>
      <c r="CP150" s="80">
        <v>0</v>
      </c>
      <c r="CQ150" s="80">
        <v>745</v>
      </c>
      <c r="CR150" s="80">
        <v>0</v>
      </c>
      <c r="CS150" s="80">
        <v>0</v>
      </c>
      <c r="CT150" s="80">
        <v>745</v>
      </c>
      <c r="CU150" s="80">
        <v>108</v>
      </c>
      <c r="CV150" s="80">
        <v>577</v>
      </c>
      <c r="CW150" s="80">
        <v>252</v>
      </c>
      <c r="CX150" s="80">
        <v>325</v>
      </c>
      <c r="CY150" s="80">
        <v>0</v>
      </c>
      <c r="CZ150" s="80">
        <v>6957</v>
      </c>
      <c r="DA150" s="80">
        <v>10</v>
      </c>
      <c r="DB150" s="80">
        <v>0</v>
      </c>
      <c r="DC150" s="80">
        <v>0</v>
      </c>
      <c r="DD150" s="80">
        <v>0</v>
      </c>
      <c r="DE150" s="80">
        <v>10</v>
      </c>
      <c r="DF150" s="80">
        <v>0</v>
      </c>
      <c r="DG150" s="80">
        <v>4529</v>
      </c>
      <c r="DH150" s="80">
        <v>467</v>
      </c>
      <c r="DI150" s="80">
        <v>0</v>
      </c>
      <c r="DJ150" s="80">
        <v>0</v>
      </c>
      <c r="DK150" s="80">
        <v>467</v>
      </c>
      <c r="DL150" s="80">
        <v>0</v>
      </c>
      <c r="DM150" s="80">
        <v>4062</v>
      </c>
      <c r="DN150" s="80">
        <v>1829</v>
      </c>
      <c r="DO150" s="80">
        <v>0</v>
      </c>
      <c r="DP150" s="80">
        <v>1057</v>
      </c>
      <c r="DQ150" s="80">
        <v>1176</v>
      </c>
      <c r="DR150" s="80">
        <v>1</v>
      </c>
      <c r="DS150" s="80">
        <v>1</v>
      </c>
      <c r="DT150" s="80">
        <v>0</v>
      </c>
      <c r="DU150" s="80">
        <v>0</v>
      </c>
      <c r="DV150" s="80">
        <v>0</v>
      </c>
      <c r="DW150" s="80">
        <v>2417</v>
      </c>
      <c r="DX150" s="80">
        <v>104831</v>
      </c>
      <c r="DY150" s="80">
        <v>36878</v>
      </c>
      <c r="DZ150" s="80">
        <v>31654</v>
      </c>
      <c r="EA150" s="80">
        <v>0</v>
      </c>
      <c r="EB150" s="80">
        <v>0</v>
      </c>
      <c r="EC150" s="80">
        <v>4713</v>
      </c>
      <c r="ED150" s="80">
        <v>511</v>
      </c>
      <c r="EE150" s="80">
        <v>161</v>
      </c>
      <c r="EF150" s="80">
        <v>161</v>
      </c>
      <c r="EG150" s="80">
        <v>0</v>
      </c>
      <c r="EH150" s="80">
        <v>0</v>
      </c>
      <c r="EI150" s="80">
        <v>0</v>
      </c>
      <c r="EJ150" s="80">
        <v>0</v>
      </c>
      <c r="EK150" s="80">
        <v>657</v>
      </c>
      <c r="EL150" s="80">
        <v>252</v>
      </c>
      <c r="EM150" s="80">
        <v>325</v>
      </c>
      <c r="EN150" s="80">
        <v>80</v>
      </c>
      <c r="EO150" s="80">
        <v>67135</v>
      </c>
      <c r="EP150" s="80">
        <v>32954</v>
      </c>
      <c r="EQ150" s="80">
        <v>0</v>
      </c>
      <c r="ER150" s="80">
        <v>25853</v>
      </c>
      <c r="ES150" s="80">
        <v>0</v>
      </c>
      <c r="ET150" s="80">
        <v>21153</v>
      </c>
      <c r="EU150" s="80">
        <v>4700</v>
      </c>
      <c r="EV150" s="80">
        <v>0</v>
      </c>
      <c r="EW150" s="80">
        <v>591</v>
      </c>
      <c r="EX150" s="80">
        <v>0</v>
      </c>
      <c r="EY150" s="80">
        <v>0</v>
      </c>
      <c r="EZ150" s="80">
        <v>0</v>
      </c>
      <c r="FA150" s="80">
        <v>6510</v>
      </c>
      <c r="FB150" s="80">
        <v>0</v>
      </c>
      <c r="FC150" s="80">
        <v>0</v>
      </c>
      <c r="FD150" s="80">
        <v>34181</v>
      </c>
      <c r="FE150" s="80">
        <v>0</v>
      </c>
      <c r="FF150" s="80">
        <v>20875</v>
      </c>
      <c r="FG150" s="80">
        <v>1022</v>
      </c>
      <c r="FH150" s="80">
        <v>2853</v>
      </c>
      <c r="FI150" s="80">
        <v>17000</v>
      </c>
      <c r="FJ150" s="80">
        <v>0</v>
      </c>
      <c r="FK150" s="80">
        <v>97</v>
      </c>
      <c r="FL150" s="80">
        <v>0</v>
      </c>
      <c r="FM150" s="80">
        <v>324</v>
      </c>
      <c r="FN150" s="80">
        <v>3376</v>
      </c>
      <c r="FO150" s="80">
        <v>1015</v>
      </c>
      <c r="FP150" s="80">
        <v>8494</v>
      </c>
      <c r="FQ150" s="80">
        <v>104831</v>
      </c>
      <c r="FR150" s="80">
        <v>14408</v>
      </c>
      <c r="FS150" s="80">
        <v>6345</v>
      </c>
      <c r="FT150" s="100">
        <v>67947.296222765755</v>
      </c>
      <c r="FU150" s="100"/>
      <c r="FV150" s="100">
        <v>33545</v>
      </c>
      <c r="FW150" s="67">
        <v>5403</v>
      </c>
      <c r="FX150" s="100">
        <f t="shared" si="15"/>
        <v>-31859</v>
      </c>
      <c r="FY150" s="100">
        <f t="shared" si="16"/>
        <v>-82148</v>
      </c>
      <c r="FZ150" s="100">
        <v>53667.504799723974</v>
      </c>
      <c r="GA150" s="67">
        <v>50289</v>
      </c>
      <c r="GB150" s="58">
        <f t="shared" si="13"/>
        <v>16744</v>
      </c>
      <c r="GC150" s="67">
        <v>5486</v>
      </c>
      <c r="GD150" s="100">
        <v>5362</v>
      </c>
      <c r="GE150" s="100">
        <v>2387</v>
      </c>
      <c r="GF150" s="58">
        <f t="shared" si="14"/>
        <v>2975</v>
      </c>
      <c r="GG150" s="100">
        <v>-41300.112999999998</v>
      </c>
      <c r="GH150" s="100">
        <v>-881.27610000000038</v>
      </c>
      <c r="GI150" s="100">
        <v>-11277.067965672826</v>
      </c>
      <c r="GJ150" s="67">
        <f t="shared" si="17"/>
        <v>83</v>
      </c>
      <c r="GK150" s="67"/>
      <c r="GM150" s="96"/>
    </row>
    <row r="151" spans="1:195" ht="13.5" customHeight="1" x14ac:dyDescent="0.2">
      <c r="A151" s="74">
        <v>441</v>
      </c>
      <c r="B151" s="75" t="s">
        <v>100</v>
      </c>
      <c r="C151" s="75" t="s">
        <v>100</v>
      </c>
      <c r="D151" s="76"/>
      <c r="E151" s="77" t="s">
        <v>243</v>
      </c>
      <c r="F151" s="78">
        <v>2</v>
      </c>
      <c r="G151" s="79">
        <v>4860</v>
      </c>
      <c r="H151" s="80">
        <v>3390</v>
      </c>
      <c r="I151" s="80">
        <v>1079</v>
      </c>
      <c r="J151" s="80">
        <v>365</v>
      </c>
      <c r="K151" s="80">
        <v>411</v>
      </c>
      <c r="L151" s="80">
        <v>1535</v>
      </c>
      <c r="M151" s="80">
        <v>0</v>
      </c>
      <c r="N151" s="80">
        <v>7</v>
      </c>
      <c r="O151" s="80">
        <v>31663</v>
      </c>
      <c r="P151" s="80">
        <v>7873</v>
      </c>
      <c r="Q151" s="80">
        <v>6105</v>
      </c>
      <c r="R151" s="80">
        <v>1768</v>
      </c>
      <c r="S151" s="80">
        <v>1434</v>
      </c>
      <c r="T151" s="80">
        <v>334</v>
      </c>
      <c r="U151" s="80">
        <v>21616</v>
      </c>
      <c r="V151" s="80">
        <v>1364</v>
      </c>
      <c r="W151" s="80">
        <v>470</v>
      </c>
      <c r="X151" s="80">
        <v>340</v>
      </c>
      <c r="Y151" s="80">
        <v>-28266</v>
      </c>
      <c r="Z151" s="80">
        <v>16970</v>
      </c>
      <c r="AA151" s="80">
        <v>13702</v>
      </c>
      <c r="AB151" s="80">
        <v>1943</v>
      </c>
      <c r="AC151" s="80">
        <v>1325</v>
      </c>
      <c r="AD151" s="80">
        <v>11497</v>
      </c>
      <c r="AE151" s="80">
        <v>518</v>
      </c>
      <c r="AF151" s="80">
        <v>248</v>
      </c>
      <c r="AG151" s="80">
        <v>353</v>
      </c>
      <c r="AH151" s="80">
        <v>340</v>
      </c>
      <c r="AI151" s="80">
        <v>9</v>
      </c>
      <c r="AJ151" s="80">
        <v>74</v>
      </c>
      <c r="AK151" s="80">
        <v>719</v>
      </c>
      <c r="AL151" s="80">
        <v>1819</v>
      </c>
      <c r="AM151" s="80">
        <v>1819</v>
      </c>
      <c r="AN151" s="80">
        <v>0</v>
      </c>
      <c r="AO151" s="80">
        <v>0</v>
      </c>
      <c r="AP151" s="80">
        <v>0</v>
      </c>
      <c r="AQ151" s="80">
        <v>0</v>
      </c>
      <c r="AR151" s="80">
        <v>-1100</v>
      </c>
      <c r="AS151" s="80">
        <v>144</v>
      </c>
      <c r="AT151" s="80">
        <v>469</v>
      </c>
      <c r="AU151" s="80">
        <v>0</v>
      </c>
      <c r="AV151" s="80">
        <v>-487</v>
      </c>
      <c r="AW151" s="81"/>
      <c r="AX151" s="80">
        <v>742</v>
      </c>
      <c r="AY151" s="80">
        <v>719</v>
      </c>
      <c r="AZ151" s="80">
        <v>0</v>
      </c>
      <c r="BA151" s="80">
        <v>23</v>
      </c>
      <c r="BB151" s="80">
        <v>-2682</v>
      </c>
      <c r="BC151" s="80">
        <v>4031</v>
      </c>
      <c r="BD151" s="80">
        <v>1218</v>
      </c>
      <c r="BE151" s="80">
        <v>131</v>
      </c>
      <c r="BF151" s="80">
        <v>-1940</v>
      </c>
      <c r="BG151" s="80">
        <v>3021</v>
      </c>
      <c r="BH151" s="80">
        <v>1</v>
      </c>
      <c r="BI151" s="80">
        <v>0</v>
      </c>
      <c r="BJ151" s="80">
        <v>1</v>
      </c>
      <c r="BK151" s="80">
        <v>2819</v>
      </c>
      <c r="BL151" s="80">
        <v>2819</v>
      </c>
      <c r="BM151" s="80">
        <v>0</v>
      </c>
      <c r="BN151" s="80">
        <v>0</v>
      </c>
      <c r="BO151" s="80">
        <v>0</v>
      </c>
      <c r="BP151" s="80">
        <v>201</v>
      </c>
      <c r="BQ151" s="80">
        <v>-47</v>
      </c>
      <c r="BR151" s="80">
        <v>-1</v>
      </c>
      <c r="BS151" s="80">
        <v>344</v>
      </c>
      <c r="BT151" s="80">
        <v>-95</v>
      </c>
      <c r="BU151" s="80">
        <v>1081</v>
      </c>
      <c r="BV151" s="80">
        <v>17047</v>
      </c>
      <c r="BW151" s="80">
        <v>15966</v>
      </c>
      <c r="BX151" s="81"/>
      <c r="BY151" s="80">
        <v>30391</v>
      </c>
      <c r="BZ151" s="80">
        <v>11</v>
      </c>
      <c r="CA151" s="80">
        <v>5</v>
      </c>
      <c r="CB151" s="80">
        <v>6</v>
      </c>
      <c r="CC151" s="80">
        <v>0</v>
      </c>
      <c r="CD151" s="80">
        <v>23498</v>
      </c>
      <c r="CE151" s="80">
        <v>4179</v>
      </c>
      <c r="CF151" s="80">
        <v>15529</v>
      </c>
      <c r="CG151" s="80">
        <v>2781</v>
      </c>
      <c r="CH151" s="80">
        <v>347</v>
      </c>
      <c r="CI151" s="80">
        <v>0</v>
      </c>
      <c r="CJ151" s="80">
        <v>0</v>
      </c>
      <c r="CK151" s="80">
        <v>662</v>
      </c>
      <c r="CL151" s="80">
        <v>6882</v>
      </c>
      <c r="CM151" s="80">
        <v>5919</v>
      </c>
      <c r="CN151" s="80">
        <v>1093</v>
      </c>
      <c r="CO151" s="80">
        <v>4826</v>
      </c>
      <c r="CP151" s="80">
        <v>0</v>
      </c>
      <c r="CQ151" s="80">
        <v>963</v>
      </c>
      <c r="CR151" s="80">
        <v>0</v>
      </c>
      <c r="CS151" s="80">
        <v>63</v>
      </c>
      <c r="CT151" s="80">
        <v>900</v>
      </c>
      <c r="CU151" s="80">
        <v>0</v>
      </c>
      <c r="CV151" s="80">
        <v>313</v>
      </c>
      <c r="CW151" s="80">
        <v>0</v>
      </c>
      <c r="CX151" s="80">
        <v>313</v>
      </c>
      <c r="CY151" s="80">
        <v>0</v>
      </c>
      <c r="CZ151" s="80">
        <v>19582</v>
      </c>
      <c r="DA151" s="80">
        <v>238</v>
      </c>
      <c r="DB151" s="80">
        <v>0</v>
      </c>
      <c r="DC151" s="80">
        <v>0</v>
      </c>
      <c r="DD151" s="80">
        <v>0</v>
      </c>
      <c r="DE151" s="80">
        <v>238</v>
      </c>
      <c r="DF151" s="80">
        <v>0</v>
      </c>
      <c r="DG151" s="80">
        <v>2297</v>
      </c>
      <c r="DH151" s="80">
        <v>1216</v>
      </c>
      <c r="DI151" s="80">
        <v>0</v>
      </c>
      <c r="DJ151" s="80">
        <v>1216</v>
      </c>
      <c r="DK151" s="80">
        <v>0</v>
      </c>
      <c r="DL151" s="80">
        <v>0</v>
      </c>
      <c r="DM151" s="80">
        <v>1081</v>
      </c>
      <c r="DN151" s="80">
        <v>472</v>
      </c>
      <c r="DO151" s="80">
        <v>44</v>
      </c>
      <c r="DP151" s="80">
        <v>70</v>
      </c>
      <c r="DQ151" s="80">
        <v>495</v>
      </c>
      <c r="DR151" s="80">
        <v>10364</v>
      </c>
      <c r="DS151" s="80">
        <v>1288</v>
      </c>
      <c r="DT151" s="80">
        <v>9076</v>
      </c>
      <c r="DU151" s="80">
        <v>0</v>
      </c>
      <c r="DV151" s="80">
        <v>0</v>
      </c>
      <c r="DW151" s="80">
        <v>6683</v>
      </c>
      <c r="DX151" s="80">
        <v>50286</v>
      </c>
      <c r="DY151" s="80">
        <v>34096</v>
      </c>
      <c r="DZ151" s="80">
        <v>18750</v>
      </c>
      <c r="EA151" s="80">
        <v>0</v>
      </c>
      <c r="EB151" s="80">
        <v>0</v>
      </c>
      <c r="EC151" s="80">
        <v>15833</v>
      </c>
      <c r="ED151" s="80">
        <v>-487</v>
      </c>
      <c r="EE151" s="80">
        <v>9338</v>
      </c>
      <c r="EF151" s="80">
        <v>7902</v>
      </c>
      <c r="EG151" s="80">
        <v>1436</v>
      </c>
      <c r="EH151" s="80">
        <v>0</v>
      </c>
      <c r="EI151" s="80">
        <v>0</v>
      </c>
      <c r="EJ151" s="80">
        <v>0</v>
      </c>
      <c r="EK151" s="80">
        <v>416</v>
      </c>
      <c r="EL151" s="80">
        <v>1</v>
      </c>
      <c r="EM151" s="80">
        <v>415</v>
      </c>
      <c r="EN151" s="80">
        <v>0</v>
      </c>
      <c r="EO151" s="80">
        <v>6436</v>
      </c>
      <c r="EP151" s="80">
        <v>4566</v>
      </c>
      <c r="EQ151" s="80">
        <v>0</v>
      </c>
      <c r="ER151" s="80">
        <v>2809</v>
      </c>
      <c r="ES151" s="80">
        <v>2809</v>
      </c>
      <c r="ET151" s="80">
        <v>0</v>
      </c>
      <c r="EU151" s="80">
        <v>0</v>
      </c>
      <c r="EV151" s="80">
        <v>0</v>
      </c>
      <c r="EW151" s="80">
        <v>0</v>
      </c>
      <c r="EX151" s="80">
        <v>0</v>
      </c>
      <c r="EY151" s="80">
        <v>910</v>
      </c>
      <c r="EZ151" s="80">
        <v>0</v>
      </c>
      <c r="FA151" s="80">
        <v>320</v>
      </c>
      <c r="FB151" s="80">
        <v>0</v>
      </c>
      <c r="FC151" s="80">
        <v>527</v>
      </c>
      <c r="FD151" s="80">
        <v>1870</v>
      </c>
      <c r="FE151" s="80">
        <v>0</v>
      </c>
      <c r="FF151" s="80">
        <v>10</v>
      </c>
      <c r="FG151" s="80">
        <v>10</v>
      </c>
      <c r="FH151" s="80">
        <v>0</v>
      </c>
      <c r="FI151" s="80">
        <v>0</v>
      </c>
      <c r="FJ151" s="80">
        <v>0</v>
      </c>
      <c r="FK151" s="80">
        <v>0</v>
      </c>
      <c r="FL151" s="80">
        <v>0</v>
      </c>
      <c r="FM151" s="80">
        <v>2</v>
      </c>
      <c r="FN151" s="80">
        <v>750</v>
      </c>
      <c r="FO151" s="80">
        <v>153</v>
      </c>
      <c r="FP151" s="80">
        <v>955</v>
      </c>
      <c r="FQ151" s="80">
        <v>50286</v>
      </c>
      <c r="FR151" s="80">
        <v>11502</v>
      </c>
      <c r="FS151" s="80">
        <v>0</v>
      </c>
      <c r="FT151" s="100">
        <v>15125.722755531069</v>
      </c>
      <c r="FU151" s="100"/>
      <c r="FV151" s="100">
        <v>6024</v>
      </c>
      <c r="FW151" s="67">
        <v>1819</v>
      </c>
      <c r="FX151" s="100">
        <f t="shared" si="15"/>
        <v>-20333</v>
      </c>
      <c r="FY151" s="100">
        <f t="shared" si="16"/>
        <v>-26447</v>
      </c>
      <c r="FZ151" s="100">
        <v>19066.667426008564</v>
      </c>
      <c r="GA151" s="67">
        <v>6114</v>
      </c>
      <c r="GB151" s="58">
        <f t="shared" si="13"/>
        <v>90</v>
      </c>
      <c r="GC151" s="67">
        <v>1819</v>
      </c>
      <c r="GD151" s="100">
        <v>363</v>
      </c>
      <c r="GE151" s="100">
        <v>363</v>
      </c>
      <c r="GF151" s="58">
        <f t="shared" si="14"/>
        <v>0</v>
      </c>
      <c r="GG151" s="100">
        <v>-8367.5850000000009</v>
      </c>
      <c r="GH151" s="100">
        <v>-628.58495000000016</v>
      </c>
      <c r="GI151" s="100">
        <v>-10383.156754913112</v>
      </c>
      <c r="GJ151" s="67">
        <f t="shared" si="17"/>
        <v>0</v>
      </c>
      <c r="GK151" s="67"/>
      <c r="GM151" s="96"/>
    </row>
    <row r="152" spans="1:195" ht="13.5" customHeight="1" x14ac:dyDescent="0.2">
      <c r="A152" s="74">
        <v>442</v>
      </c>
      <c r="B152" s="75" t="s">
        <v>101</v>
      </c>
      <c r="C152" s="75" t="s">
        <v>101</v>
      </c>
      <c r="D152" s="76"/>
      <c r="E152" s="77" t="s">
        <v>224</v>
      </c>
      <c r="F152" s="78">
        <v>2</v>
      </c>
      <c r="G152" s="79">
        <v>3349</v>
      </c>
      <c r="H152" s="80">
        <v>2359</v>
      </c>
      <c r="I152" s="80">
        <v>762</v>
      </c>
      <c r="J152" s="80">
        <v>916</v>
      </c>
      <c r="K152" s="80">
        <v>253</v>
      </c>
      <c r="L152" s="80">
        <v>428</v>
      </c>
      <c r="M152" s="80">
        <v>0</v>
      </c>
      <c r="N152" s="80">
        <v>0</v>
      </c>
      <c r="O152" s="80">
        <v>18980</v>
      </c>
      <c r="P152" s="80">
        <v>7398</v>
      </c>
      <c r="Q152" s="80">
        <v>5727</v>
      </c>
      <c r="R152" s="80">
        <v>1671</v>
      </c>
      <c r="S152" s="80">
        <v>1399</v>
      </c>
      <c r="T152" s="80">
        <v>272</v>
      </c>
      <c r="U152" s="80">
        <v>9372</v>
      </c>
      <c r="V152" s="80">
        <v>1032</v>
      </c>
      <c r="W152" s="80">
        <v>893</v>
      </c>
      <c r="X152" s="80">
        <v>285</v>
      </c>
      <c r="Y152" s="80">
        <v>-16621</v>
      </c>
      <c r="Z152" s="80">
        <v>12105</v>
      </c>
      <c r="AA152" s="80">
        <v>10781</v>
      </c>
      <c r="AB152" s="80">
        <v>409</v>
      </c>
      <c r="AC152" s="80">
        <v>915</v>
      </c>
      <c r="AD152" s="80">
        <v>4797</v>
      </c>
      <c r="AE152" s="80">
        <v>-74</v>
      </c>
      <c r="AF152" s="80">
        <v>5</v>
      </c>
      <c r="AG152" s="80">
        <v>14</v>
      </c>
      <c r="AH152" s="80">
        <v>5</v>
      </c>
      <c r="AI152" s="80">
        <v>91</v>
      </c>
      <c r="AJ152" s="80">
        <v>2</v>
      </c>
      <c r="AK152" s="80">
        <v>207</v>
      </c>
      <c r="AL152" s="80">
        <v>770</v>
      </c>
      <c r="AM152" s="80">
        <v>770</v>
      </c>
      <c r="AN152" s="80">
        <v>0</v>
      </c>
      <c r="AO152" s="80">
        <v>0</v>
      </c>
      <c r="AP152" s="80">
        <v>0</v>
      </c>
      <c r="AQ152" s="80">
        <v>0</v>
      </c>
      <c r="AR152" s="80">
        <v>-563</v>
      </c>
      <c r="AS152" s="80">
        <v>0</v>
      </c>
      <c r="AT152" s="80">
        <v>4</v>
      </c>
      <c r="AU152" s="80">
        <v>0</v>
      </c>
      <c r="AV152" s="80">
        <v>-559</v>
      </c>
      <c r="AW152" s="81"/>
      <c r="AX152" s="80">
        <v>207</v>
      </c>
      <c r="AY152" s="80">
        <v>207</v>
      </c>
      <c r="AZ152" s="80">
        <v>0</v>
      </c>
      <c r="BA152" s="80">
        <v>0</v>
      </c>
      <c r="BB152" s="80">
        <v>-2950</v>
      </c>
      <c r="BC152" s="80">
        <v>4303</v>
      </c>
      <c r="BD152" s="80">
        <v>1388</v>
      </c>
      <c r="BE152" s="80">
        <v>-35</v>
      </c>
      <c r="BF152" s="80">
        <v>-2743</v>
      </c>
      <c r="BG152" s="80">
        <v>4255</v>
      </c>
      <c r="BH152" s="80">
        <v>0</v>
      </c>
      <c r="BI152" s="80">
        <v>0</v>
      </c>
      <c r="BJ152" s="80">
        <v>0</v>
      </c>
      <c r="BK152" s="80">
        <v>3635</v>
      </c>
      <c r="BL152" s="80">
        <v>4700</v>
      </c>
      <c r="BM152" s="80">
        <v>865</v>
      </c>
      <c r="BN152" s="80">
        <v>-200</v>
      </c>
      <c r="BO152" s="80">
        <v>0</v>
      </c>
      <c r="BP152" s="80">
        <v>620</v>
      </c>
      <c r="BQ152" s="80">
        <v>0</v>
      </c>
      <c r="BR152" s="80">
        <v>0</v>
      </c>
      <c r="BS152" s="80">
        <v>-43</v>
      </c>
      <c r="BT152" s="80">
        <v>663</v>
      </c>
      <c r="BU152" s="80">
        <v>1513</v>
      </c>
      <c r="BV152" s="80">
        <v>1778</v>
      </c>
      <c r="BW152" s="80">
        <v>265</v>
      </c>
      <c r="BX152" s="81"/>
      <c r="BY152" s="80">
        <v>16572</v>
      </c>
      <c r="BZ152" s="80">
        <v>396</v>
      </c>
      <c r="CA152" s="80">
        <v>0</v>
      </c>
      <c r="CB152" s="80">
        <v>396</v>
      </c>
      <c r="CC152" s="80">
        <v>0</v>
      </c>
      <c r="CD152" s="80">
        <v>14420</v>
      </c>
      <c r="CE152" s="80">
        <v>914</v>
      </c>
      <c r="CF152" s="80">
        <v>7450</v>
      </c>
      <c r="CG152" s="80">
        <v>3107</v>
      </c>
      <c r="CH152" s="80">
        <v>286</v>
      </c>
      <c r="CI152" s="80">
        <v>0</v>
      </c>
      <c r="CJ152" s="80">
        <v>0</v>
      </c>
      <c r="CK152" s="80">
        <v>2663</v>
      </c>
      <c r="CL152" s="80">
        <v>1756</v>
      </c>
      <c r="CM152" s="80">
        <v>1650</v>
      </c>
      <c r="CN152" s="80">
        <v>1386</v>
      </c>
      <c r="CO152" s="80">
        <v>264</v>
      </c>
      <c r="CP152" s="80">
        <v>0</v>
      </c>
      <c r="CQ152" s="80">
        <v>106</v>
      </c>
      <c r="CR152" s="80">
        <v>0</v>
      </c>
      <c r="CS152" s="80">
        <v>0</v>
      </c>
      <c r="CT152" s="80">
        <v>106</v>
      </c>
      <c r="CU152" s="80">
        <v>0</v>
      </c>
      <c r="CV152" s="80">
        <v>122</v>
      </c>
      <c r="CW152" s="80">
        <v>0</v>
      </c>
      <c r="CX152" s="80">
        <v>122</v>
      </c>
      <c r="CY152" s="80">
        <v>0</v>
      </c>
      <c r="CZ152" s="80">
        <v>2415</v>
      </c>
      <c r="DA152" s="80">
        <v>0</v>
      </c>
      <c r="DB152" s="80">
        <v>0</v>
      </c>
      <c r="DC152" s="80">
        <v>0</v>
      </c>
      <c r="DD152" s="80">
        <v>0</v>
      </c>
      <c r="DE152" s="80">
        <v>0</v>
      </c>
      <c r="DF152" s="80">
        <v>0</v>
      </c>
      <c r="DG152" s="80">
        <v>637</v>
      </c>
      <c r="DH152" s="80">
        <v>20</v>
      </c>
      <c r="DI152" s="80">
        <v>0</v>
      </c>
      <c r="DJ152" s="80">
        <v>20</v>
      </c>
      <c r="DK152" s="80">
        <v>0</v>
      </c>
      <c r="DL152" s="80">
        <v>0</v>
      </c>
      <c r="DM152" s="80">
        <v>617</v>
      </c>
      <c r="DN152" s="80">
        <v>300</v>
      </c>
      <c r="DO152" s="80">
        <v>0</v>
      </c>
      <c r="DP152" s="80">
        <v>63</v>
      </c>
      <c r="DQ152" s="80">
        <v>254</v>
      </c>
      <c r="DR152" s="80">
        <v>0</v>
      </c>
      <c r="DS152" s="80">
        <v>0</v>
      </c>
      <c r="DT152" s="80">
        <v>0</v>
      </c>
      <c r="DU152" s="80">
        <v>0</v>
      </c>
      <c r="DV152" s="80">
        <v>0</v>
      </c>
      <c r="DW152" s="80">
        <v>1778</v>
      </c>
      <c r="DX152" s="80">
        <v>19109</v>
      </c>
      <c r="DY152" s="80">
        <v>4576</v>
      </c>
      <c r="DZ152" s="80">
        <v>6729</v>
      </c>
      <c r="EA152" s="80">
        <v>0</v>
      </c>
      <c r="EB152" s="80">
        <v>0</v>
      </c>
      <c r="EC152" s="80">
        <v>-1594</v>
      </c>
      <c r="ED152" s="80">
        <v>-559</v>
      </c>
      <c r="EE152" s="80">
        <v>24</v>
      </c>
      <c r="EF152" s="80">
        <v>24</v>
      </c>
      <c r="EG152" s="80">
        <v>0</v>
      </c>
      <c r="EH152" s="80">
        <v>0</v>
      </c>
      <c r="EI152" s="80">
        <v>0</v>
      </c>
      <c r="EJ152" s="80">
        <v>0</v>
      </c>
      <c r="EK152" s="80">
        <v>123</v>
      </c>
      <c r="EL152" s="80">
        <v>0</v>
      </c>
      <c r="EM152" s="80">
        <v>123</v>
      </c>
      <c r="EN152" s="80">
        <v>0</v>
      </c>
      <c r="EO152" s="80">
        <v>14386</v>
      </c>
      <c r="EP152" s="80">
        <v>10149</v>
      </c>
      <c r="EQ152" s="80">
        <v>0</v>
      </c>
      <c r="ER152" s="80">
        <v>9609</v>
      </c>
      <c r="ES152" s="80">
        <v>0</v>
      </c>
      <c r="ET152" s="80">
        <v>8739</v>
      </c>
      <c r="EU152" s="80">
        <v>870</v>
      </c>
      <c r="EV152" s="80">
        <v>0</v>
      </c>
      <c r="EW152" s="80">
        <v>254</v>
      </c>
      <c r="EX152" s="80">
        <v>45</v>
      </c>
      <c r="EY152" s="80">
        <v>0</v>
      </c>
      <c r="EZ152" s="80">
        <v>0</v>
      </c>
      <c r="FA152" s="80">
        <v>241</v>
      </c>
      <c r="FB152" s="80">
        <v>0</v>
      </c>
      <c r="FC152" s="80">
        <v>0</v>
      </c>
      <c r="FD152" s="80">
        <v>4237</v>
      </c>
      <c r="FE152" s="80">
        <v>0</v>
      </c>
      <c r="FF152" s="80">
        <v>1090</v>
      </c>
      <c r="FG152" s="80">
        <v>0</v>
      </c>
      <c r="FH152" s="80">
        <v>933</v>
      </c>
      <c r="FI152" s="80">
        <v>157</v>
      </c>
      <c r="FJ152" s="80">
        <v>0</v>
      </c>
      <c r="FK152" s="80">
        <v>13</v>
      </c>
      <c r="FL152" s="80">
        <v>0</v>
      </c>
      <c r="FM152" s="80">
        <v>5</v>
      </c>
      <c r="FN152" s="80">
        <v>1850</v>
      </c>
      <c r="FO152" s="80">
        <v>135</v>
      </c>
      <c r="FP152" s="80">
        <v>1144</v>
      </c>
      <c r="FQ152" s="80">
        <v>19109</v>
      </c>
      <c r="FR152" s="80">
        <v>0</v>
      </c>
      <c r="FS152" s="80">
        <v>58</v>
      </c>
      <c r="FT152" s="100">
        <v>10199.568742215313</v>
      </c>
      <c r="FU152" s="100"/>
      <c r="FV152" s="100">
        <v>3817</v>
      </c>
      <c r="FW152" s="67">
        <v>762</v>
      </c>
      <c r="FX152" s="100">
        <f t="shared" si="15"/>
        <v>-11335</v>
      </c>
      <c r="FY152" s="100">
        <f t="shared" si="16"/>
        <v>-15851</v>
      </c>
      <c r="FZ152" s="100">
        <v>10423.86162290816</v>
      </c>
      <c r="GA152" s="67">
        <v>4516</v>
      </c>
      <c r="GB152" s="58">
        <f t="shared" si="13"/>
        <v>699</v>
      </c>
      <c r="GC152" s="67">
        <v>770</v>
      </c>
      <c r="GD152" s="100">
        <v>912</v>
      </c>
      <c r="GE152" s="100">
        <v>350</v>
      </c>
      <c r="GF152" s="58">
        <f t="shared" si="14"/>
        <v>562</v>
      </c>
      <c r="GG152" s="100">
        <v>-6399.5740000000005</v>
      </c>
      <c r="GH152" s="100">
        <v>-114.94105000000006</v>
      </c>
      <c r="GI152" s="100">
        <v>-3864.692518524339</v>
      </c>
      <c r="GJ152" s="67">
        <f t="shared" si="17"/>
        <v>8</v>
      </c>
      <c r="GK152" s="67"/>
      <c r="GM152" s="96"/>
    </row>
    <row r="153" spans="1:195" ht="13.5" customHeight="1" x14ac:dyDescent="0.2">
      <c r="A153" s="74">
        <v>475</v>
      </c>
      <c r="B153" s="75" t="s">
        <v>278</v>
      </c>
      <c r="C153" s="82" t="s">
        <v>278</v>
      </c>
      <c r="D153" s="76"/>
      <c r="E153" s="77" t="s">
        <v>248</v>
      </c>
      <c r="F153" s="78">
        <v>3</v>
      </c>
      <c r="G153" s="79">
        <v>5545</v>
      </c>
      <c r="H153" s="80">
        <v>8524</v>
      </c>
      <c r="I153" s="80">
        <v>3959</v>
      </c>
      <c r="J153" s="80">
        <v>2793</v>
      </c>
      <c r="K153" s="80">
        <v>597</v>
      </c>
      <c r="L153" s="80">
        <v>1175</v>
      </c>
      <c r="M153" s="80">
        <v>0</v>
      </c>
      <c r="N153" s="80">
        <v>32</v>
      </c>
      <c r="O153" s="80">
        <v>42125</v>
      </c>
      <c r="P153" s="80">
        <v>22298</v>
      </c>
      <c r="Q153" s="80">
        <v>17371</v>
      </c>
      <c r="R153" s="80">
        <v>4927</v>
      </c>
      <c r="S153" s="80">
        <v>4013</v>
      </c>
      <c r="T153" s="80">
        <v>914</v>
      </c>
      <c r="U153" s="80">
        <v>15054</v>
      </c>
      <c r="V153" s="80">
        <v>2828</v>
      </c>
      <c r="W153" s="80">
        <v>1431</v>
      </c>
      <c r="X153" s="80">
        <v>514</v>
      </c>
      <c r="Y153" s="80">
        <v>-33569</v>
      </c>
      <c r="Z153" s="80">
        <v>19386</v>
      </c>
      <c r="AA153" s="80">
        <v>16988</v>
      </c>
      <c r="AB153" s="80">
        <v>1079</v>
      </c>
      <c r="AC153" s="80">
        <v>1319</v>
      </c>
      <c r="AD153" s="80">
        <v>15659</v>
      </c>
      <c r="AE153" s="80">
        <v>-29</v>
      </c>
      <c r="AF153" s="80">
        <v>16</v>
      </c>
      <c r="AG153" s="80">
        <v>62</v>
      </c>
      <c r="AH153" s="80">
        <v>4</v>
      </c>
      <c r="AI153" s="80">
        <v>88</v>
      </c>
      <c r="AJ153" s="80">
        <v>19</v>
      </c>
      <c r="AK153" s="80">
        <v>1447</v>
      </c>
      <c r="AL153" s="80">
        <v>1421</v>
      </c>
      <c r="AM153" s="80">
        <v>1391</v>
      </c>
      <c r="AN153" s="80">
        <v>30</v>
      </c>
      <c r="AO153" s="80">
        <v>0</v>
      </c>
      <c r="AP153" s="80">
        <v>0</v>
      </c>
      <c r="AQ153" s="80">
        <v>0</v>
      </c>
      <c r="AR153" s="80">
        <v>26</v>
      </c>
      <c r="AS153" s="80">
        <v>23</v>
      </c>
      <c r="AT153" s="80">
        <v>0</v>
      </c>
      <c r="AU153" s="80">
        <v>0</v>
      </c>
      <c r="AV153" s="80">
        <v>49</v>
      </c>
      <c r="AW153" s="81"/>
      <c r="AX153" s="80">
        <v>1447</v>
      </c>
      <c r="AY153" s="80">
        <v>1447</v>
      </c>
      <c r="AZ153" s="80">
        <v>0</v>
      </c>
      <c r="BA153" s="80">
        <v>0</v>
      </c>
      <c r="BB153" s="80">
        <v>-5390</v>
      </c>
      <c r="BC153" s="80">
        <v>6966</v>
      </c>
      <c r="BD153" s="80">
        <v>1576</v>
      </c>
      <c r="BE153" s="80">
        <v>0</v>
      </c>
      <c r="BF153" s="80">
        <v>-3943</v>
      </c>
      <c r="BG153" s="80">
        <v>3956</v>
      </c>
      <c r="BH153" s="80">
        <v>-90</v>
      </c>
      <c r="BI153" s="80">
        <v>224</v>
      </c>
      <c r="BJ153" s="80">
        <v>134</v>
      </c>
      <c r="BK153" s="80">
        <v>3403</v>
      </c>
      <c r="BL153" s="80">
        <v>0</v>
      </c>
      <c r="BM153" s="80">
        <v>597</v>
      </c>
      <c r="BN153" s="80">
        <v>4000</v>
      </c>
      <c r="BO153" s="80">
        <v>0</v>
      </c>
      <c r="BP153" s="80">
        <v>643</v>
      </c>
      <c r="BQ153" s="80">
        <v>0</v>
      </c>
      <c r="BR153" s="80">
        <v>29</v>
      </c>
      <c r="BS153" s="80">
        <v>264</v>
      </c>
      <c r="BT153" s="80">
        <v>350</v>
      </c>
      <c r="BU153" s="80">
        <v>13</v>
      </c>
      <c r="BV153" s="80">
        <v>1146</v>
      </c>
      <c r="BW153" s="80">
        <v>1133</v>
      </c>
      <c r="BX153" s="81"/>
      <c r="BY153" s="80">
        <v>39770</v>
      </c>
      <c r="BZ153" s="80">
        <v>115</v>
      </c>
      <c r="CA153" s="80">
        <v>115</v>
      </c>
      <c r="CB153" s="80">
        <v>0</v>
      </c>
      <c r="CC153" s="80">
        <v>0</v>
      </c>
      <c r="CD153" s="80">
        <v>31303</v>
      </c>
      <c r="CE153" s="80">
        <v>3196</v>
      </c>
      <c r="CF153" s="80">
        <v>15403</v>
      </c>
      <c r="CG153" s="80">
        <v>7157</v>
      </c>
      <c r="CH153" s="80">
        <v>246</v>
      </c>
      <c r="CI153" s="80">
        <v>0</v>
      </c>
      <c r="CJ153" s="80">
        <v>0</v>
      </c>
      <c r="CK153" s="80">
        <v>5301</v>
      </c>
      <c r="CL153" s="80">
        <v>8352</v>
      </c>
      <c r="CM153" s="80">
        <v>6529</v>
      </c>
      <c r="CN153" s="80">
        <v>3850</v>
      </c>
      <c r="CO153" s="80">
        <v>2679</v>
      </c>
      <c r="CP153" s="80">
        <v>0</v>
      </c>
      <c r="CQ153" s="80">
        <v>1823</v>
      </c>
      <c r="CR153" s="80">
        <v>0</v>
      </c>
      <c r="CS153" s="80">
        <v>0</v>
      </c>
      <c r="CT153" s="80">
        <v>1823</v>
      </c>
      <c r="CU153" s="80">
        <v>0</v>
      </c>
      <c r="CV153" s="80">
        <v>773</v>
      </c>
      <c r="CW153" s="80">
        <v>0</v>
      </c>
      <c r="CX153" s="80">
        <v>773</v>
      </c>
      <c r="CY153" s="80">
        <v>0</v>
      </c>
      <c r="CZ153" s="80">
        <v>3040</v>
      </c>
      <c r="DA153" s="80">
        <v>89</v>
      </c>
      <c r="DB153" s="80">
        <v>89</v>
      </c>
      <c r="DC153" s="80">
        <v>0</v>
      </c>
      <c r="DD153" s="80">
        <v>0</v>
      </c>
      <c r="DE153" s="80">
        <v>0</v>
      </c>
      <c r="DF153" s="80">
        <v>0</v>
      </c>
      <c r="DG153" s="80">
        <v>1805</v>
      </c>
      <c r="DH153" s="80">
        <v>0</v>
      </c>
      <c r="DI153" s="80">
        <v>0</v>
      </c>
      <c r="DJ153" s="80">
        <v>0</v>
      </c>
      <c r="DK153" s="80">
        <v>0</v>
      </c>
      <c r="DL153" s="80">
        <v>0</v>
      </c>
      <c r="DM153" s="80">
        <v>1805</v>
      </c>
      <c r="DN153" s="80">
        <v>965</v>
      </c>
      <c r="DO153" s="80">
        <v>0</v>
      </c>
      <c r="DP153" s="80">
        <v>229</v>
      </c>
      <c r="DQ153" s="80">
        <v>611</v>
      </c>
      <c r="DR153" s="80">
        <v>0</v>
      </c>
      <c r="DS153" s="80">
        <v>0</v>
      </c>
      <c r="DT153" s="80">
        <v>0</v>
      </c>
      <c r="DU153" s="80">
        <v>0</v>
      </c>
      <c r="DV153" s="80">
        <v>0</v>
      </c>
      <c r="DW153" s="80">
        <v>1146</v>
      </c>
      <c r="DX153" s="80">
        <v>43583</v>
      </c>
      <c r="DY153" s="80">
        <v>18204</v>
      </c>
      <c r="DZ153" s="80">
        <v>15413</v>
      </c>
      <c r="EA153" s="80">
        <v>0</v>
      </c>
      <c r="EB153" s="80">
        <v>0</v>
      </c>
      <c r="EC153" s="80">
        <v>2742</v>
      </c>
      <c r="ED153" s="80">
        <v>49</v>
      </c>
      <c r="EE153" s="80">
        <v>782</v>
      </c>
      <c r="EF153" s="80">
        <v>782</v>
      </c>
      <c r="EG153" s="80">
        <v>0</v>
      </c>
      <c r="EH153" s="80">
        <v>0</v>
      </c>
      <c r="EI153" s="80">
        <v>0</v>
      </c>
      <c r="EJ153" s="80">
        <v>0</v>
      </c>
      <c r="EK153" s="80">
        <v>773</v>
      </c>
      <c r="EL153" s="80">
        <v>0</v>
      </c>
      <c r="EM153" s="80">
        <v>773</v>
      </c>
      <c r="EN153" s="80">
        <v>0</v>
      </c>
      <c r="EO153" s="80">
        <v>23824</v>
      </c>
      <c r="EP153" s="80">
        <v>4476</v>
      </c>
      <c r="EQ153" s="80">
        <v>0</v>
      </c>
      <c r="ER153" s="80">
        <v>2459</v>
      </c>
      <c r="ES153" s="80">
        <v>320</v>
      </c>
      <c r="ET153" s="80">
        <v>2139</v>
      </c>
      <c r="EU153" s="80">
        <v>0</v>
      </c>
      <c r="EV153" s="80">
        <v>0</v>
      </c>
      <c r="EW153" s="80">
        <v>57</v>
      </c>
      <c r="EX153" s="80">
        <v>0</v>
      </c>
      <c r="EY153" s="80">
        <v>0</v>
      </c>
      <c r="EZ153" s="80">
        <v>0</v>
      </c>
      <c r="FA153" s="80">
        <v>1960</v>
      </c>
      <c r="FB153" s="80">
        <v>0</v>
      </c>
      <c r="FC153" s="80">
        <v>0</v>
      </c>
      <c r="FD153" s="80">
        <v>19348</v>
      </c>
      <c r="FE153" s="80">
        <v>0</v>
      </c>
      <c r="FF153" s="80">
        <v>13493</v>
      </c>
      <c r="FG153" s="80">
        <v>8007</v>
      </c>
      <c r="FH153" s="80">
        <v>5486</v>
      </c>
      <c r="FI153" s="80">
        <v>0</v>
      </c>
      <c r="FJ153" s="80">
        <v>0</v>
      </c>
      <c r="FK153" s="80">
        <v>5</v>
      </c>
      <c r="FL153" s="80">
        <v>0</v>
      </c>
      <c r="FM153" s="80">
        <v>13</v>
      </c>
      <c r="FN153" s="80">
        <v>2650</v>
      </c>
      <c r="FO153" s="80">
        <v>419</v>
      </c>
      <c r="FP153" s="80">
        <v>2768</v>
      </c>
      <c r="FQ153" s="80">
        <v>43583</v>
      </c>
      <c r="FR153" s="80">
        <v>3599</v>
      </c>
      <c r="FS153" s="80">
        <v>1300</v>
      </c>
      <c r="FT153" s="100">
        <v>20255.789792453554</v>
      </c>
      <c r="FU153" s="100"/>
      <c r="FV153" s="100">
        <v>7525</v>
      </c>
      <c r="FW153" s="67">
        <v>1315</v>
      </c>
      <c r="FX153" s="100">
        <f t="shared" si="15"/>
        <v>-19675</v>
      </c>
      <c r="FY153" s="100">
        <f t="shared" si="16"/>
        <v>-32148</v>
      </c>
      <c r="FZ153" s="100">
        <v>21344.953345293248</v>
      </c>
      <c r="GA153" s="67">
        <v>12473</v>
      </c>
      <c r="GB153" s="58">
        <f t="shared" si="13"/>
        <v>4948</v>
      </c>
      <c r="GC153" s="67">
        <v>1421</v>
      </c>
      <c r="GD153" s="100">
        <v>2793</v>
      </c>
      <c r="GE153" s="100">
        <v>761</v>
      </c>
      <c r="GF153" s="58">
        <f t="shared" si="14"/>
        <v>2032</v>
      </c>
      <c r="GG153" s="100">
        <v>-9563.7360000000008</v>
      </c>
      <c r="GH153" s="100">
        <v>-298.2573500000002</v>
      </c>
      <c r="GI153" s="100">
        <v>-11656.219708300274</v>
      </c>
      <c r="GJ153" s="67">
        <f t="shared" si="17"/>
        <v>106</v>
      </c>
      <c r="GK153" s="67"/>
      <c r="GM153" s="96"/>
    </row>
    <row r="154" spans="1:195" ht="13.5" customHeight="1" x14ac:dyDescent="0.2">
      <c r="A154" s="74">
        <v>480</v>
      </c>
      <c r="B154" s="75" t="s">
        <v>102</v>
      </c>
      <c r="C154" s="75" t="s">
        <v>102</v>
      </c>
      <c r="D154" s="76"/>
      <c r="E154" s="77" t="s">
        <v>219</v>
      </c>
      <c r="F154" s="78">
        <v>2</v>
      </c>
      <c r="G154" s="79">
        <v>2028</v>
      </c>
      <c r="H154" s="80">
        <v>2032</v>
      </c>
      <c r="I154" s="80">
        <v>583</v>
      </c>
      <c r="J154" s="80">
        <v>645</v>
      </c>
      <c r="K154" s="80">
        <v>128</v>
      </c>
      <c r="L154" s="80">
        <v>676</v>
      </c>
      <c r="M154" s="80">
        <v>0</v>
      </c>
      <c r="N154" s="80">
        <v>0</v>
      </c>
      <c r="O154" s="80">
        <v>12550</v>
      </c>
      <c r="P154" s="80">
        <v>4016</v>
      </c>
      <c r="Q154" s="80">
        <v>3063</v>
      </c>
      <c r="R154" s="80">
        <v>953</v>
      </c>
      <c r="S154" s="80">
        <v>827</v>
      </c>
      <c r="T154" s="80">
        <v>126</v>
      </c>
      <c r="U154" s="80">
        <v>7012</v>
      </c>
      <c r="V154" s="80">
        <v>626</v>
      </c>
      <c r="W154" s="80">
        <v>636</v>
      </c>
      <c r="X154" s="80">
        <v>260</v>
      </c>
      <c r="Y154" s="80">
        <v>-10518</v>
      </c>
      <c r="Z154" s="80">
        <v>6211</v>
      </c>
      <c r="AA154" s="80">
        <v>5599</v>
      </c>
      <c r="AB154" s="80">
        <v>254</v>
      </c>
      <c r="AC154" s="80">
        <v>358</v>
      </c>
      <c r="AD154" s="80">
        <v>4797</v>
      </c>
      <c r="AE154" s="80">
        <v>-20</v>
      </c>
      <c r="AF154" s="80">
        <v>3</v>
      </c>
      <c r="AG154" s="80">
        <v>4</v>
      </c>
      <c r="AH154" s="80">
        <v>0</v>
      </c>
      <c r="AI154" s="80">
        <v>27</v>
      </c>
      <c r="AJ154" s="80">
        <v>0</v>
      </c>
      <c r="AK154" s="80">
        <v>470</v>
      </c>
      <c r="AL154" s="80">
        <v>424</v>
      </c>
      <c r="AM154" s="80">
        <v>424</v>
      </c>
      <c r="AN154" s="80">
        <v>0</v>
      </c>
      <c r="AO154" s="80">
        <v>0</v>
      </c>
      <c r="AP154" s="80">
        <v>0</v>
      </c>
      <c r="AQ154" s="80">
        <v>0</v>
      </c>
      <c r="AR154" s="80">
        <v>46</v>
      </c>
      <c r="AS154" s="80">
        <v>12</v>
      </c>
      <c r="AT154" s="80">
        <v>0</v>
      </c>
      <c r="AU154" s="80">
        <v>0</v>
      </c>
      <c r="AV154" s="80">
        <v>58</v>
      </c>
      <c r="AW154" s="81"/>
      <c r="AX154" s="80">
        <v>387</v>
      </c>
      <c r="AY154" s="80">
        <v>470</v>
      </c>
      <c r="AZ154" s="80">
        <v>0</v>
      </c>
      <c r="BA154" s="80">
        <v>-83</v>
      </c>
      <c r="BB154" s="80">
        <v>-281</v>
      </c>
      <c r="BC154" s="80">
        <v>374</v>
      </c>
      <c r="BD154" s="80">
        <v>0</v>
      </c>
      <c r="BE154" s="80">
        <v>93</v>
      </c>
      <c r="BF154" s="80">
        <v>106</v>
      </c>
      <c r="BG154" s="80">
        <v>-55</v>
      </c>
      <c r="BH154" s="80">
        <v>0</v>
      </c>
      <c r="BI154" s="80">
        <v>0</v>
      </c>
      <c r="BJ154" s="80">
        <v>0</v>
      </c>
      <c r="BK154" s="80">
        <v>-326</v>
      </c>
      <c r="BL154" s="80">
        <v>0</v>
      </c>
      <c r="BM154" s="80">
        <v>326</v>
      </c>
      <c r="BN154" s="80">
        <v>0</v>
      </c>
      <c r="BO154" s="80">
        <v>0</v>
      </c>
      <c r="BP154" s="80">
        <v>271</v>
      </c>
      <c r="BQ154" s="80">
        <v>147</v>
      </c>
      <c r="BR154" s="80">
        <v>0</v>
      </c>
      <c r="BS154" s="80">
        <v>97</v>
      </c>
      <c r="BT154" s="80">
        <v>27</v>
      </c>
      <c r="BU154" s="80">
        <v>51</v>
      </c>
      <c r="BV154" s="80">
        <v>624</v>
      </c>
      <c r="BW154" s="80">
        <v>573</v>
      </c>
      <c r="BX154" s="81"/>
      <c r="BY154" s="80">
        <v>9958</v>
      </c>
      <c r="BZ154" s="80">
        <v>36</v>
      </c>
      <c r="CA154" s="80">
        <v>0</v>
      </c>
      <c r="CB154" s="80">
        <v>36</v>
      </c>
      <c r="CC154" s="80">
        <v>0</v>
      </c>
      <c r="CD154" s="80">
        <v>8622</v>
      </c>
      <c r="CE154" s="80">
        <v>1041</v>
      </c>
      <c r="CF154" s="80">
        <v>5212</v>
      </c>
      <c r="CG154" s="80">
        <v>2218</v>
      </c>
      <c r="CH154" s="80">
        <v>46</v>
      </c>
      <c r="CI154" s="80">
        <v>0</v>
      </c>
      <c r="CJ154" s="80">
        <v>0</v>
      </c>
      <c r="CK154" s="80">
        <v>105</v>
      </c>
      <c r="CL154" s="80">
        <v>1300</v>
      </c>
      <c r="CM154" s="80">
        <v>1175</v>
      </c>
      <c r="CN154" s="80">
        <v>916</v>
      </c>
      <c r="CO154" s="80">
        <v>259</v>
      </c>
      <c r="CP154" s="80">
        <v>0</v>
      </c>
      <c r="CQ154" s="80">
        <v>103</v>
      </c>
      <c r="CR154" s="80">
        <v>0</v>
      </c>
      <c r="CS154" s="80">
        <v>0</v>
      </c>
      <c r="CT154" s="80">
        <v>103</v>
      </c>
      <c r="CU154" s="80">
        <v>22</v>
      </c>
      <c r="CV154" s="80">
        <v>154</v>
      </c>
      <c r="CW154" s="80">
        <v>0</v>
      </c>
      <c r="CX154" s="80">
        <v>154</v>
      </c>
      <c r="CY154" s="80">
        <v>0</v>
      </c>
      <c r="CZ154" s="80">
        <v>1011</v>
      </c>
      <c r="DA154" s="80">
        <v>0</v>
      </c>
      <c r="DB154" s="80">
        <v>0</v>
      </c>
      <c r="DC154" s="80">
        <v>0</v>
      </c>
      <c r="DD154" s="80">
        <v>0</v>
      </c>
      <c r="DE154" s="80">
        <v>0</v>
      </c>
      <c r="DF154" s="80">
        <v>0</v>
      </c>
      <c r="DG154" s="80">
        <v>387</v>
      </c>
      <c r="DH154" s="80">
        <v>12</v>
      </c>
      <c r="DI154" s="80">
        <v>0</v>
      </c>
      <c r="DJ154" s="80">
        <v>12</v>
      </c>
      <c r="DK154" s="80">
        <v>0</v>
      </c>
      <c r="DL154" s="80">
        <v>0</v>
      </c>
      <c r="DM154" s="80">
        <v>375</v>
      </c>
      <c r="DN154" s="80">
        <v>279</v>
      </c>
      <c r="DO154" s="80">
        <v>2</v>
      </c>
      <c r="DP154" s="80">
        <v>92</v>
      </c>
      <c r="DQ154" s="80">
        <v>2</v>
      </c>
      <c r="DR154" s="80">
        <v>0</v>
      </c>
      <c r="DS154" s="80">
        <v>0</v>
      </c>
      <c r="DT154" s="80">
        <v>0</v>
      </c>
      <c r="DU154" s="80">
        <v>0</v>
      </c>
      <c r="DV154" s="80">
        <v>0</v>
      </c>
      <c r="DW154" s="80">
        <v>624</v>
      </c>
      <c r="DX154" s="80">
        <v>11123</v>
      </c>
      <c r="DY154" s="80">
        <v>7304</v>
      </c>
      <c r="DZ154" s="80">
        <v>4844</v>
      </c>
      <c r="EA154" s="80">
        <v>0</v>
      </c>
      <c r="EB154" s="80">
        <v>21</v>
      </c>
      <c r="EC154" s="80">
        <v>2381</v>
      </c>
      <c r="ED154" s="80">
        <v>58</v>
      </c>
      <c r="EE154" s="80">
        <v>0</v>
      </c>
      <c r="EF154" s="80">
        <v>0</v>
      </c>
      <c r="EG154" s="80">
        <v>0</v>
      </c>
      <c r="EH154" s="80">
        <v>0</v>
      </c>
      <c r="EI154" s="80">
        <v>0</v>
      </c>
      <c r="EJ154" s="80">
        <v>0</v>
      </c>
      <c r="EK154" s="80">
        <v>301</v>
      </c>
      <c r="EL154" s="80">
        <v>0</v>
      </c>
      <c r="EM154" s="80">
        <v>301</v>
      </c>
      <c r="EN154" s="80">
        <v>0</v>
      </c>
      <c r="EO154" s="80">
        <v>3518</v>
      </c>
      <c r="EP154" s="80">
        <v>2241</v>
      </c>
      <c r="EQ154" s="80">
        <v>0</v>
      </c>
      <c r="ER154" s="80">
        <v>818</v>
      </c>
      <c r="ES154" s="80">
        <v>818</v>
      </c>
      <c r="ET154" s="80">
        <v>0</v>
      </c>
      <c r="EU154" s="80">
        <v>0</v>
      </c>
      <c r="EV154" s="80">
        <v>0</v>
      </c>
      <c r="EW154" s="80">
        <v>1050</v>
      </c>
      <c r="EX154" s="80">
        <v>0</v>
      </c>
      <c r="EY154" s="80">
        <v>0</v>
      </c>
      <c r="EZ154" s="80">
        <v>0</v>
      </c>
      <c r="FA154" s="80">
        <v>373</v>
      </c>
      <c r="FB154" s="80">
        <v>0</v>
      </c>
      <c r="FC154" s="80">
        <v>0</v>
      </c>
      <c r="FD154" s="80">
        <v>1277</v>
      </c>
      <c r="FE154" s="80">
        <v>0</v>
      </c>
      <c r="FF154" s="80">
        <v>276</v>
      </c>
      <c r="FG154" s="80">
        <v>276</v>
      </c>
      <c r="FH154" s="80">
        <v>0</v>
      </c>
      <c r="FI154" s="80">
        <v>0</v>
      </c>
      <c r="FJ154" s="80">
        <v>0</v>
      </c>
      <c r="FK154" s="80">
        <v>0</v>
      </c>
      <c r="FL154" s="80">
        <v>0</v>
      </c>
      <c r="FM154" s="80">
        <v>3</v>
      </c>
      <c r="FN154" s="80">
        <v>330</v>
      </c>
      <c r="FO154" s="80">
        <v>104</v>
      </c>
      <c r="FP154" s="80">
        <v>564</v>
      </c>
      <c r="FQ154" s="80">
        <v>11123</v>
      </c>
      <c r="FR154" s="80">
        <v>0</v>
      </c>
      <c r="FS154" s="80">
        <v>0</v>
      </c>
      <c r="FT154" s="100">
        <v>5771.5413620363543</v>
      </c>
      <c r="FU154" s="100"/>
      <c r="FV154" s="100">
        <v>2035</v>
      </c>
      <c r="FW154" s="67">
        <v>370</v>
      </c>
      <c r="FX154" s="100">
        <f t="shared" si="15"/>
        <v>-7297</v>
      </c>
      <c r="FY154" s="100">
        <f t="shared" si="16"/>
        <v>-10094</v>
      </c>
      <c r="FZ154" s="100">
        <v>6760.8749361876799</v>
      </c>
      <c r="GA154" s="67">
        <v>2797</v>
      </c>
      <c r="GB154" s="58">
        <f t="shared" si="13"/>
        <v>762</v>
      </c>
      <c r="GC154" s="67">
        <v>422</v>
      </c>
      <c r="GD154" s="100">
        <v>655</v>
      </c>
      <c r="GE154" s="100">
        <v>219</v>
      </c>
      <c r="GF154" s="58">
        <f t="shared" si="14"/>
        <v>436</v>
      </c>
      <c r="GG154" s="100">
        <v>-3261.1640000000002</v>
      </c>
      <c r="GH154" s="100">
        <v>-84.445350000000033</v>
      </c>
      <c r="GI154" s="100">
        <v>-3593.1290944509542</v>
      </c>
      <c r="GJ154" s="67">
        <f t="shared" si="17"/>
        <v>52</v>
      </c>
      <c r="GK154" s="67"/>
      <c r="GM154" s="96"/>
    </row>
    <row r="155" spans="1:195" ht="13.5" customHeight="1" x14ac:dyDescent="0.2">
      <c r="A155" s="74">
        <v>481</v>
      </c>
      <c r="B155" s="75" t="s">
        <v>103</v>
      </c>
      <c r="C155" s="75" t="s">
        <v>103</v>
      </c>
      <c r="D155" s="76"/>
      <c r="E155" s="77" t="s">
        <v>219</v>
      </c>
      <c r="F155" s="78">
        <v>3</v>
      </c>
      <c r="G155" s="79">
        <v>9706</v>
      </c>
      <c r="H155" s="80">
        <v>8246</v>
      </c>
      <c r="I155" s="80">
        <v>2644</v>
      </c>
      <c r="J155" s="80">
        <v>1319</v>
      </c>
      <c r="K155" s="80">
        <v>452</v>
      </c>
      <c r="L155" s="80">
        <v>3831</v>
      </c>
      <c r="M155" s="80">
        <v>0</v>
      </c>
      <c r="N155" s="80">
        <v>0</v>
      </c>
      <c r="O155" s="80">
        <v>52218</v>
      </c>
      <c r="P155" s="80">
        <v>16276</v>
      </c>
      <c r="Q155" s="80">
        <v>12539</v>
      </c>
      <c r="R155" s="80">
        <v>3737</v>
      </c>
      <c r="S155" s="80">
        <v>3058</v>
      </c>
      <c r="T155" s="80">
        <v>679</v>
      </c>
      <c r="U155" s="80">
        <v>30868</v>
      </c>
      <c r="V155" s="80">
        <v>2397</v>
      </c>
      <c r="W155" s="80">
        <v>1960</v>
      </c>
      <c r="X155" s="80">
        <v>717</v>
      </c>
      <c r="Y155" s="80">
        <v>-43972</v>
      </c>
      <c r="Z155" s="80">
        <v>39478</v>
      </c>
      <c r="AA155" s="80">
        <v>35982</v>
      </c>
      <c r="AB155" s="80">
        <v>1665</v>
      </c>
      <c r="AC155" s="80">
        <v>1831</v>
      </c>
      <c r="AD155" s="80">
        <v>8367</v>
      </c>
      <c r="AE155" s="80">
        <v>-84</v>
      </c>
      <c r="AF155" s="80">
        <v>11</v>
      </c>
      <c r="AG155" s="80">
        <v>41</v>
      </c>
      <c r="AH155" s="80">
        <v>0</v>
      </c>
      <c r="AI155" s="80">
        <v>125</v>
      </c>
      <c r="AJ155" s="80">
        <v>11</v>
      </c>
      <c r="AK155" s="80">
        <v>3789</v>
      </c>
      <c r="AL155" s="80">
        <v>2571</v>
      </c>
      <c r="AM155" s="80">
        <v>2571</v>
      </c>
      <c r="AN155" s="80">
        <v>0</v>
      </c>
      <c r="AO155" s="80">
        <v>5828</v>
      </c>
      <c r="AP155" s="80">
        <v>5828</v>
      </c>
      <c r="AQ155" s="80">
        <v>0</v>
      </c>
      <c r="AR155" s="80">
        <v>7046</v>
      </c>
      <c r="AS155" s="80">
        <v>86</v>
      </c>
      <c r="AT155" s="80">
        <v>0</v>
      </c>
      <c r="AU155" s="80">
        <v>0</v>
      </c>
      <c r="AV155" s="80">
        <v>7132</v>
      </c>
      <c r="AW155" s="81"/>
      <c r="AX155" s="80">
        <v>7784</v>
      </c>
      <c r="AY155" s="80">
        <v>3789</v>
      </c>
      <c r="AZ155" s="80">
        <v>5828</v>
      </c>
      <c r="BA155" s="80">
        <v>-1833</v>
      </c>
      <c r="BB155" s="80">
        <v>1642</v>
      </c>
      <c r="BC155" s="80">
        <v>10138</v>
      </c>
      <c r="BD155" s="80">
        <v>43</v>
      </c>
      <c r="BE155" s="80">
        <v>11737</v>
      </c>
      <c r="BF155" s="80">
        <v>9426</v>
      </c>
      <c r="BG155" s="80">
        <v>-9242</v>
      </c>
      <c r="BH155" s="80">
        <v>-4398</v>
      </c>
      <c r="BI155" s="80">
        <v>4398</v>
      </c>
      <c r="BJ155" s="80">
        <v>0</v>
      </c>
      <c r="BK155" s="80">
        <v>-2224</v>
      </c>
      <c r="BL155" s="80">
        <v>0</v>
      </c>
      <c r="BM155" s="80">
        <v>2224</v>
      </c>
      <c r="BN155" s="80">
        <v>0</v>
      </c>
      <c r="BO155" s="80">
        <v>0</v>
      </c>
      <c r="BP155" s="80">
        <v>-2620</v>
      </c>
      <c r="BQ155" s="80">
        <v>0</v>
      </c>
      <c r="BR155" s="80">
        <v>4</v>
      </c>
      <c r="BS155" s="80">
        <v>37</v>
      </c>
      <c r="BT155" s="80">
        <v>-2661</v>
      </c>
      <c r="BU155" s="80">
        <v>183</v>
      </c>
      <c r="BV155" s="80">
        <v>545</v>
      </c>
      <c r="BW155" s="80">
        <v>362</v>
      </c>
      <c r="BX155" s="81"/>
      <c r="BY155" s="80">
        <v>59367</v>
      </c>
      <c r="BZ155" s="80">
        <v>349</v>
      </c>
      <c r="CA155" s="80">
        <v>116</v>
      </c>
      <c r="CB155" s="80">
        <v>233</v>
      </c>
      <c r="CC155" s="80">
        <v>0</v>
      </c>
      <c r="CD155" s="80">
        <v>42958</v>
      </c>
      <c r="CE155" s="80">
        <v>7704</v>
      </c>
      <c r="CF155" s="80">
        <v>28391</v>
      </c>
      <c r="CG155" s="80">
        <v>6663</v>
      </c>
      <c r="CH155" s="80">
        <v>200</v>
      </c>
      <c r="CI155" s="80">
        <v>0</v>
      </c>
      <c r="CJ155" s="80">
        <v>0</v>
      </c>
      <c r="CK155" s="80">
        <v>0</v>
      </c>
      <c r="CL155" s="80">
        <v>16060</v>
      </c>
      <c r="CM155" s="80">
        <v>11140</v>
      </c>
      <c r="CN155" s="80">
        <v>3362</v>
      </c>
      <c r="CO155" s="80">
        <v>7778</v>
      </c>
      <c r="CP155" s="80">
        <v>0</v>
      </c>
      <c r="CQ155" s="80">
        <v>4590</v>
      </c>
      <c r="CR155" s="80">
        <v>0</v>
      </c>
      <c r="CS155" s="80">
        <v>0</v>
      </c>
      <c r="CT155" s="80">
        <v>4590</v>
      </c>
      <c r="CU155" s="80">
        <v>330</v>
      </c>
      <c r="CV155" s="80">
        <v>2</v>
      </c>
      <c r="CW155" s="80">
        <v>2</v>
      </c>
      <c r="CX155" s="80">
        <v>0</v>
      </c>
      <c r="CY155" s="80">
        <v>0</v>
      </c>
      <c r="CZ155" s="80">
        <v>2878</v>
      </c>
      <c r="DA155" s="80">
        <v>4</v>
      </c>
      <c r="DB155" s="80">
        <v>0</v>
      </c>
      <c r="DC155" s="80">
        <v>0</v>
      </c>
      <c r="DD155" s="80">
        <v>0</v>
      </c>
      <c r="DE155" s="80">
        <v>0</v>
      </c>
      <c r="DF155" s="80">
        <v>4</v>
      </c>
      <c r="DG155" s="80">
        <v>2329</v>
      </c>
      <c r="DH155" s="80">
        <v>218</v>
      </c>
      <c r="DI155" s="80">
        <v>0</v>
      </c>
      <c r="DJ155" s="80">
        <v>0</v>
      </c>
      <c r="DK155" s="80">
        <v>218</v>
      </c>
      <c r="DL155" s="80">
        <v>0</v>
      </c>
      <c r="DM155" s="80">
        <v>2111</v>
      </c>
      <c r="DN155" s="80">
        <v>658</v>
      </c>
      <c r="DO155" s="80">
        <v>0</v>
      </c>
      <c r="DP155" s="80">
        <v>764</v>
      </c>
      <c r="DQ155" s="80">
        <v>689</v>
      </c>
      <c r="DR155" s="80">
        <v>0</v>
      </c>
      <c r="DS155" s="80">
        <v>0</v>
      </c>
      <c r="DT155" s="80">
        <v>0</v>
      </c>
      <c r="DU155" s="80">
        <v>0</v>
      </c>
      <c r="DV155" s="80">
        <v>0</v>
      </c>
      <c r="DW155" s="80">
        <v>545</v>
      </c>
      <c r="DX155" s="80">
        <v>62247</v>
      </c>
      <c r="DY155" s="80">
        <v>23763</v>
      </c>
      <c r="DZ155" s="80">
        <v>20269</v>
      </c>
      <c r="EA155" s="80">
        <v>103</v>
      </c>
      <c r="EB155" s="80">
        <v>0</v>
      </c>
      <c r="EC155" s="80">
        <v>-3740</v>
      </c>
      <c r="ED155" s="80">
        <v>7131</v>
      </c>
      <c r="EE155" s="80">
        <v>2021</v>
      </c>
      <c r="EF155" s="80">
        <v>2021</v>
      </c>
      <c r="EG155" s="80">
        <v>0</v>
      </c>
      <c r="EH155" s="80">
        <v>56</v>
      </c>
      <c r="EI155" s="80">
        <v>0</v>
      </c>
      <c r="EJ155" s="80">
        <v>56</v>
      </c>
      <c r="EK155" s="80">
        <v>13</v>
      </c>
      <c r="EL155" s="80">
        <v>2</v>
      </c>
      <c r="EM155" s="80">
        <v>11</v>
      </c>
      <c r="EN155" s="80">
        <v>0</v>
      </c>
      <c r="EO155" s="80">
        <v>36394</v>
      </c>
      <c r="EP155" s="80">
        <v>9991</v>
      </c>
      <c r="EQ155" s="80">
        <v>0</v>
      </c>
      <c r="ER155" s="80">
        <v>8654</v>
      </c>
      <c r="ES155" s="80">
        <v>1343</v>
      </c>
      <c r="ET155" s="80">
        <v>7311</v>
      </c>
      <c r="EU155" s="80">
        <v>0</v>
      </c>
      <c r="EV155" s="80">
        <v>0</v>
      </c>
      <c r="EW155" s="80">
        <v>1329</v>
      </c>
      <c r="EX155" s="80">
        <v>0</v>
      </c>
      <c r="EY155" s="80">
        <v>8</v>
      </c>
      <c r="EZ155" s="80">
        <v>0</v>
      </c>
      <c r="FA155" s="80">
        <v>0</v>
      </c>
      <c r="FB155" s="80">
        <v>0</v>
      </c>
      <c r="FC155" s="80">
        <v>0</v>
      </c>
      <c r="FD155" s="80">
        <v>26403</v>
      </c>
      <c r="FE155" s="80">
        <v>0</v>
      </c>
      <c r="FF155" s="80">
        <v>20063</v>
      </c>
      <c r="FG155" s="80">
        <v>412</v>
      </c>
      <c r="FH155" s="80">
        <v>19651</v>
      </c>
      <c r="FI155" s="80">
        <v>0</v>
      </c>
      <c r="FJ155" s="80">
        <v>0</v>
      </c>
      <c r="FK155" s="80">
        <v>104</v>
      </c>
      <c r="FL155" s="80">
        <v>0</v>
      </c>
      <c r="FM155" s="80">
        <v>414</v>
      </c>
      <c r="FN155" s="80">
        <v>2884</v>
      </c>
      <c r="FO155" s="80">
        <v>275</v>
      </c>
      <c r="FP155" s="80">
        <v>2663</v>
      </c>
      <c r="FQ155" s="80">
        <v>62247</v>
      </c>
      <c r="FR155" s="80">
        <v>296</v>
      </c>
      <c r="FS155" s="80">
        <v>589</v>
      </c>
      <c r="FT155" s="100">
        <v>26955.582750006335</v>
      </c>
      <c r="FU155" s="100"/>
      <c r="FV155" s="100">
        <v>8360</v>
      </c>
      <c r="FW155" s="67">
        <v>2542</v>
      </c>
      <c r="FX155" s="100">
        <f t="shared" si="15"/>
        <v>-32298</v>
      </c>
      <c r="FY155" s="100">
        <f t="shared" si="16"/>
        <v>-41401</v>
      </c>
      <c r="FZ155" s="100">
        <v>25724.89921260214</v>
      </c>
      <c r="GA155" s="67">
        <v>9103</v>
      </c>
      <c r="GB155" s="58">
        <f t="shared" si="13"/>
        <v>743</v>
      </c>
      <c r="GC155" s="67">
        <v>2569</v>
      </c>
      <c r="GD155" s="100">
        <v>1320</v>
      </c>
      <c r="GE155" s="100">
        <v>1320</v>
      </c>
      <c r="GF155" s="58">
        <f t="shared" si="14"/>
        <v>0</v>
      </c>
      <c r="GG155" s="100">
        <v>-21008.306</v>
      </c>
      <c r="GH155" s="100">
        <v>-470.80600000000027</v>
      </c>
      <c r="GI155" s="100">
        <v>-4362.7318876782365</v>
      </c>
      <c r="GJ155" s="67">
        <f t="shared" si="17"/>
        <v>27</v>
      </c>
      <c r="GK155" s="67"/>
      <c r="GM155" s="96"/>
    </row>
    <row r="156" spans="1:195" ht="13.5" customHeight="1" x14ac:dyDescent="0.2">
      <c r="A156" s="74">
        <v>483</v>
      </c>
      <c r="B156" s="75" t="s">
        <v>104</v>
      </c>
      <c r="C156" s="75" t="s">
        <v>104</v>
      </c>
      <c r="D156" s="76"/>
      <c r="E156" s="77" t="s">
        <v>216</v>
      </c>
      <c r="F156" s="78">
        <v>1</v>
      </c>
      <c r="G156" s="79">
        <v>1134</v>
      </c>
      <c r="H156" s="80">
        <v>1593</v>
      </c>
      <c r="I156" s="80">
        <v>938</v>
      </c>
      <c r="J156" s="80">
        <v>28</v>
      </c>
      <c r="K156" s="80">
        <v>26</v>
      </c>
      <c r="L156" s="80">
        <v>601</v>
      </c>
      <c r="M156" s="80">
        <v>0</v>
      </c>
      <c r="N156" s="80">
        <v>0</v>
      </c>
      <c r="O156" s="80">
        <v>8185</v>
      </c>
      <c r="P156" s="80">
        <v>2147</v>
      </c>
      <c r="Q156" s="80">
        <v>1593</v>
      </c>
      <c r="R156" s="80">
        <v>554</v>
      </c>
      <c r="S156" s="80">
        <v>501</v>
      </c>
      <c r="T156" s="80">
        <v>53</v>
      </c>
      <c r="U156" s="80">
        <v>4907</v>
      </c>
      <c r="V156" s="80">
        <v>1009</v>
      </c>
      <c r="W156" s="80">
        <v>48</v>
      </c>
      <c r="X156" s="80">
        <v>74</v>
      </c>
      <c r="Y156" s="80">
        <v>-6592</v>
      </c>
      <c r="Z156" s="80">
        <v>2782</v>
      </c>
      <c r="AA156" s="80">
        <v>2489</v>
      </c>
      <c r="AB156" s="80">
        <v>104</v>
      </c>
      <c r="AC156" s="80">
        <v>189</v>
      </c>
      <c r="AD156" s="80">
        <v>3917</v>
      </c>
      <c r="AE156" s="80">
        <v>131</v>
      </c>
      <c r="AF156" s="80">
        <v>1</v>
      </c>
      <c r="AG156" s="80">
        <v>174</v>
      </c>
      <c r="AH156" s="80">
        <v>0</v>
      </c>
      <c r="AI156" s="80">
        <v>31</v>
      </c>
      <c r="AJ156" s="80">
        <v>13</v>
      </c>
      <c r="AK156" s="80">
        <v>238</v>
      </c>
      <c r="AL156" s="80">
        <v>400</v>
      </c>
      <c r="AM156" s="80">
        <v>400</v>
      </c>
      <c r="AN156" s="80">
        <v>0</v>
      </c>
      <c r="AO156" s="80">
        <v>0</v>
      </c>
      <c r="AP156" s="80">
        <v>0</v>
      </c>
      <c r="AQ156" s="80">
        <v>0</v>
      </c>
      <c r="AR156" s="80">
        <v>-162</v>
      </c>
      <c r="AS156" s="80">
        <v>0</v>
      </c>
      <c r="AT156" s="80">
        <v>0</v>
      </c>
      <c r="AU156" s="80">
        <v>0</v>
      </c>
      <c r="AV156" s="80">
        <v>-162</v>
      </c>
      <c r="AW156" s="81"/>
      <c r="AX156" s="80">
        <v>238</v>
      </c>
      <c r="AY156" s="80">
        <v>238</v>
      </c>
      <c r="AZ156" s="80">
        <v>0</v>
      </c>
      <c r="BA156" s="80">
        <v>0</v>
      </c>
      <c r="BB156" s="80">
        <v>-105</v>
      </c>
      <c r="BC156" s="80">
        <v>243</v>
      </c>
      <c r="BD156" s="80">
        <v>0</v>
      </c>
      <c r="BE156" s="80">
        <v>138</v>
      </c>
      <c r="BF156" s="80">
        <v>133</v>
      </c>
      <c r="BG156" s="80">
        <v>47</v>
      </c>
      <c r="BH156" s="80">
        <v>1</v>
      </c>
      <c r="BI156" s="80">
        <v>0</v>
      </c>
      <c r="BJ156" s="80">
        <v>1</v>
      </c>
      <c r="BK156" s="80">
        <v>145</v>
      </c>
      <c r="BL156" s="80">
        <v>500</v>
      </c>
      <c r="BM156" s="80">
        <v>276</v>
      </c>
      <c r="BN156" s="80">
        <v>-79</v>
      </c>
      <c r="BO156" s="80">
        <v>0</v>
      </c>
      <c r="BP156" s="80">
        <v>-99</v>
      </c>
      <c r="BQ156" s="80">
        <v>0</v>
      </c>
      <c r="BR156" s="80">
        <v>-6</v>
      </c>
      <c r="BS156" s="80">
        <v>4</v>
      </c>
      <c r="BT156" s="80">
        <v>-97</v>
      </c>
      <c r="BU156" s="80">
        <v>179</v>
      </c>
      <c r="BV156" s="80">
        <v>2630</v>
      </c>
      <c r="BW156" s="80">
        <v>2451</v>
      </c>
      <c r="BX156" s="81"/>
      <c r="BY156" s="80">
        <v>8255</v>
      </c>
      <c r="BZ156" s="80">
        <v>16</v>
      </c>
      <c r="CA156" s="80">
        <v>0</v>
      </c>
      <c r="CB156" s="80">
        <v>16</v>
      </c>
      <c r="CC156" s="80">
        <v>0</v>
      </c>
      <c r="CD156" s="80">
        <v>6368</v>
      </c>
      <c r="CE156" s="80">
        <v>554</v>
      </c>
      <c r="CF156" s="80">
        <v>5054</v>
      </c>
      <c r="CG156" s="80">
        <v>620</v>
      </c>
      <c r="CH156" s="80">
        <v>140</v>
      </c>
      <c r="CI156" s="80">
        <v>0</v>
      </c>
      <c r="CJ156" s="80">
        <v>0</v>
      </c>
      <c r="CK156" s="80">
        <v>0</v>
      </c>
      <c r="CL156" s="80">
        <v>1871</v>
      </c>
      <c r="CM156" s="80">
        <v>1795</v>
      </c>
      <c r="CN156" s="80">
        <v>760</v>
      </c>
      <c r="CO156" s="80">
        <v>1035</v>
      </c>
      <c r="CP156" s="80">
        <v>0</v>
      </c>
      <c r="CQ156" s="80">
        <v>76</v>
      </c>
      <c r="CR156" s="80">
        <v>0</v>
      </c>
      <c r="CS156" s="80">
        <v>0</v>
      </c>
      <c r="CT156" s="80">
        <v>76</v>
      </c>
      <c r="CU156" s="80">
        <v>0</v>
      </c>
      <c r="CV156" s="80">
        <v>0</v>
      </c>
      <c r="CW156" s="80">
        <v>0</v>
      </c>
      <c r="CX156" s="80">
        <v>0</v>
      </c>
      <c r="CY156" s="80">
        <v>0</v>
      </c>
      <c r="CZ156" s="80">
        <v>2794</v>
      </c>
      <c r="DA156" s="80">
        <v>20</v>
      </c>
      <c r="DB156" s="80">
        <v>18</v>
      </c>
      <c r="DC156" s="80">
        <v>0</v>
      </c>
      <c r="DD156" s="80">
        <v>0</v>
      </c>
      <c r="DE156" s="80">
        <v>0</v>
      </c>
      <c r="DF156" s="80">
        <v>2</v>
      </c>
      <c r="DG156" s="80">
        <v>144</v>
      </c>
      <c r="DH156" s="80">
        <v>0</v>
      </c>
      <c r="DI156" s="80">
        <v>0</v>
      </c>
      <c r="DJ156" s="80">
        <v>0</v>
      </c>
      <c r="DK156" s="80">
        <v>0</v>
      </c>
      <c r="DL156" s="80">
        <v>0</v>
      </c>
      <c r="DM156" s="80">
        <v>144</v>
      </c>
      <c r="DN156" s="80">
        <v>84</v>
      </c>
      <c r="DO156" s="80">
        <v>0</v>
      </c>
      <c r="DP156" s="80">
        <v>48</v>
      </c>
      <c r="DQ156" s="80">
        <v>12</v>
      </c>
      <c r="DR156" s="80">
        <v>2488</v>
      </c>
      <c r="DS156" s="80">
        <v>2488</v>
      </c>
      <c r="DT156" s="80">
        <v>0</v>
      </c>
      <c r="DU156" s="80">
        <v>0</v>
      </c>
      <c r="DV156" s="80">
        <v>0</v>
      </c>
      <c r="DW156" s="80">
        <v>142</v>
      </c>
      <c r="DX156" s="80">
        <v>11049</v>
      </c>
      <c r="DY156" s="80">
        <v>7256</v>
      </c>
      <c r="DZ156" s="80">
        <v>4196</v>
      </c>
      <c r="EA156" s="80">
        <v>0</v>
      </c>
      <c r="EB156" s="80">
        <v>0</v>
      </c>
      <c r="EC156" s="80">
        <v>3222</v>
      </c>
      <c r="ED156" s="80">
        <v>-162</v>
      </c>
      <c r="EE156" s="80">
        <v>0</v>
      </c>
      <c r="EF156" s="80">
        <v>0</v>
      </c>
      <c r="EG156" s="80">
        <v>0</v>
      </c>
      <c r="EH156" s="80">
        <v>0</v>
      </c>
      <c r="EI156" s="80">
        <v>0</v>
      </c>
      <c r="EJ156" s="80">
        <v>0</v>
      </c>
      <c r="EK156" s="80">
        <v>0</v>
      </c>
      <c r="EL156" s="80">
        <v>0</v>
      </c>
      <c r="EM156" s="80">
        <v>0</v>
      </c>
      <c r="EN156" s="80">
        <v>0</v>
      </c>
      <c r="EO156" s="80">
        <v>3793</v>
      </c>
      <c r="EP156" s="80">
        <v>2223</v>
      </c>
      <c r="EQ156" s="80">
        <v>0</v>
      </c>
      <c r="ER156" s="80">
        <v>2021</v>
      </c>
      <c r="ES156" s="80">
        <v>0</v>
      </c>
      <c r="ET156" s="80">
        <v>1838</v>
      </c>
      <c r="EU156" s="80">
        <v>183</v>
      </c>
      <c r="EV156" s="80">
        <v>0</v>
      </c>
      <c r="EW156" s="80">
        <v>60</v>
      </c>
      <c r="EX156" s="80">
        <v>0</v>
      </c>
      <c r="EY156" s="80">
        <v>0</v>
      </c>
      <c r="EZ156" s="80">
        <v>0</v>
      </c>
      <c r="FA156" s="80">
        <v>142</v>
      </c>
      <c r="FB156" s="80">
        <v>0</v>
      </c>
      <c r="FC156" s="80">
        <v>0</v>
      </c>
      <c r="FD156" s="80">
        <v>1570</v>
      </c>
      <c r="FE156" s="80">
        <v>0</v>
      </c>
      <c r="FF156" s="80">
        <v>646</v>
      </c>
      <c r="FG156" s="80">
        <v>0</v>
      </c>
      <c r="FH156" s="80">
        <v>613</v>
      </c>
      <c r="FI156" s="80">
        <v>33</v>
      </c>
      <c r="FJ156" s="80">
        <v>0</v>
      </c>
      <c r="FK156" s="80">
        <v>30</v>
      </c>
      <c r="FL156" s="80">
        <v>0</v>
      </c>
      <c r="FM156" s="80">
        <v>6</v>
      </c>
      <c r="FN156" s="80">
        <v>603</v>
      </c>
      <c r="FO156" s="80">
        <v>46</v>
      </c>
      <c r="FP156" s="80">
        <v>239</v>
      </c>
      <c r="FQ156" s="80">
        <v>11049</v>
      </c>
      <c r="FR156" s="80">
        <v>25</v>
      </c>
      <c r="FS156" s="80">
        <v>449</v>
      </c>
      <c r="FT156" s="100">
        <v>4365.5670457713504</v>
      </c>
      <c r="FU156" s="100"/>
      <c r="FV156" s="100">
        <v>1757</v>
      </c>
      <c r="FW156" s="67">
        <v>388</v>
      </c>
      <c r="FX156" s="100">
        <f t="shared" si="15"/>
        <v>-4273</v>
      </c>
      <c r="FY156" s="100">
        <f t="shared" si="16"/>
        <v>-6192</v>
      </c>
      <c r="FZ156" s="100">
        <v>3995.4454858191998</v>
      </c>
      <c r="GA156" s="67">
        <v>1919</v>
      </c>
      <c r="GB156" s="58">
        <f t="shared" si="13"/>
        <v>162</v>
      </c>
      <c r="GC156" s="67">
        <v>388</v>
      </c>
      <c r="GD156" s="100">
        <v>30</v>
      </c>
      <c r="GE156" s="100">
        <v>23</v>
      </c>
      <c r="GF156" s="58">
        <f t="shared" si="14"/>
        <v>7</v>
      </c>
      <c r="GG156" s="100">
        <v>-1344.7339999999999</v>
      </c>
      <c r="GH156" s="100">
        <v>-35.820350000000005</v>
      </c>
      <c r="GI156" s="100">
        <v>-2662.7898845925433</v>
      </c>
      <c r="GJ156" s="67">
        <f t="shared" si="17"/>
        <v>0</v>
      </c>
      <c r="GK156" s="67"/>
      <c r="GM156" s="96"/>
    </row>
    <row r="157" spans="1:195" ht="13.5" customHeight="1" x14ac:dyDescent="0.2">
      <c r="A157" s="74">
        <v>489</v>
      </c>
      <c r="B157" s="75" t="s">
        <v>105</v>
      </c>
      <c r="C157" s="75" t="s">
        <v>105</v>
      </c>
      <c r="D157" s="76"/>
      <c r="E157" s="77" t="s">
        <v>230</v>
      </c>
      <c r="F157" s="78">
        <v>2</v>
      </c>
      <c r="G157" s="79">
        <v>2085</v>
      </c>
      <c r="H157" s="80">
        <v>11570</v>
      </c>
      <c r="I157" s="80">
        <v>8820</v>
      </c>
      <c r="J157" s="80">
        <v>1673</v>
      </c>
      <c r="K157" s="80">
        <v>373</v>
      </c>
      <c r="L157" s="80">
        <v>704</v>
      </c>
      <c r="M157" s="80">
        <v>0</v>
      </c>
      <c r="N157" s="80">
        <v>0</v>
      </c>
      <c r="O157" s="80">
        <v>23696</v>
      </c>
      <c r="P157" s="80">
        <v>9418</v>
      </c>
      <c r="Q157" s="80">
        <v>7377</v>
      </c>
      <c r="R157" s="80">
        <v>2041</v>
      </c>
      <c r="S157" s="80">
        <v>1659</v>
      </c>
      <c r="T157" s="80">
        <v>382</v>
      </c>
      <c r="U157" s="80">
        <v>11425</v>
      </c>
      <c r="V157" s="80">
        <v>1206</v>
      </c>
      <c r="W157" s="80">
        <v>1297</v>
      </c>
      <c r="X157" s="80">
        <v>350</v>
      </c>
      <c r="Y157" s="80">
        <v>-12126</v>
      </c>
      <c r="Z157" s="80">
        <v>6041</v>
      </c>
      <c r="AA157" s="80">
        <v>4886</v>
      </c>
      <c r="AB157" s="80">
        <v>715</v>
      </c>
      <c r="AC157" s="80">
        <v>440</v>
      </c>
      <c r="AD157" s="80">
        <v>7630</v>
      </c>
      <c r="AE157" s="80">
        <v>-77</v>
      </c>
      <c r="AF157" s="80">
        <v>8</v>
      </c>
      <c r="AG157" s="80">
        <v>19</v>
      </c>
      <c r="AH157" s="80">
        <v>0</v>
      </c>
      <c r="AI157" s="80">
        <v>70</v>
      </c>
      <c r="AJ157" s="80">
        <v>34</v>
      </c>
      <c r="AK157" s="80">
        <v>1468</v>
      </c>
      <c r="AL157" s="80">
        <v>666</v>
      </c>
      <c r="AM157" s="80">
        <v>666</v>
      </c>
      <c r="AN157" s="80">
        <v>0</v>
      </c>
      <c r="AO157" s="80">
        <v>0</v>
      </c>
      <c r="AP157" s="80">
        <v>0</v>
      </c>
      <c r="AQ157" s="80">
        <v>0</v>
      </c>
      <c r="AR157" s="80">
        <v>802</v>
      </c>
      <c r="AS157" s="80">
        <v>0</v>
      </c>
      <c r="AT157" s="80">
        <v>0</v>
      </c>
      <c r="AU157" s="80">
        <v>0</v>
      </c>
      <c r="AV157" s="80">
        <v>802</v>
      </c>
      <c r="AW157" s="81"/>
      <c r="AX157" s="80">
        <v>1469</v>
      </c>
      <c r="AY157" s="80">
        <v>1468</v>
      </c>
      <c r="AZ157" s="80">
        <v>0</v>
      </c>
      <c r="BA157" s="80">
        <v>1</v>
      </c>
      <c r="BB157" s="80">
        <v>-3026</v>
      </c>
      <c r="BC157" s="80">
        <v>3648</v>
      </c>
      <c r="BD157" s="80">
        <v>600</v>
      </c>
      <c r="BE157" s="80">
        <v>22</v>
      </c>
      <c r="BF157" s="80">
        <v>-1557</v>
      </c>
      <c r="BG157" s="80">
        <v>1676</v>
      </c>
      <c r="BH157" s="80">
        <v>31</v>
      </c>
      <c r="BI157" s="80">
        <v>0</v>
      </c>
      <c r="BJ157" s="80">
        <v>31</v>
      </c>
      <c r="BK157" s="80">
        <v>1435</v>
      </c>
      <c r="BL157" s="80">
        <v>0</v>
      </c>
      <c r="BM157" s="80">
        <v>565</v>
      </c>
      <c r="BN157" s="80">
        <v>2000</v>
      </c>
      <c r="BO157" s="80">
        <v>0</v>
      </c>
      <c r="BP157" s="80">
        <v>210</v>
      </c>
      <c r="BQ157" s="80">
        <v>0</v>
      </c>
      <c r="BR157" s="80">
        <v>0</v>
      </c>
      <c r="BS157" s="80">
        <v>167</v>
      </c>
      <c r="BT157" s="80">
        <v>43</v>
      </c>
      <c r="BU157" s="80">
        <v>120</v>
      </c>
      <c r="BV157" s="80">
        <v>1620</v>
      </c>
      <c r="BW157" s="80">
        <v>1500</v>
      </c>
      <c r="BX157" s="81"/>
      <c r="BY157" s="80">
        <v>23220</v>
      </c>
      <c r="BZ157" s="80">
        <v>904</v>
      </c>
      <c r="CA157" s="80">
        <v>500</v>
      </c>
      <c r="CB157" s="80">
        <v>404</v>
      </c>
      <c r="CC157" s="80">
        <v>0</v>
      </c>
      <c r="CD157" s="80">
        <v>18102</v>
      </c>
      <c r="CE157" s="80">
        <v>1316</v>
      </c>
      <c r="CF157" s="80">
        <v>13970</v>
      </c>
      <c r="CG157" s="80">
        <v>2675</v>
      </c>
      <c r="CH157" s="80">
        <v>85</v>
      </c>
      <c r="CI157" s="80">
        <v>0</v>
      </c>
      <c r="CJ157" s="80">
        <v>0</v>
      </c>
      <c r="CK157" s="80">
        <v>56</v>
      </c>
      <c r="CL157" s="80">
        <v>4214</v>
      </c>
      <c r="CM157" s="80">
        <v>3814</v>
      </c>
      <c r="CN157" s="80">
        <v>931</v>
      </c>
      <c r="CO157" s="80">
        <v>2883</v>
      </c>
      <c r="CP157" s="80">
        <v>0</v>
      </c>
      <c r="CQ157" s="80">
        <v>400</v>
      </c>
      <c r="CR157" s="80">
        <v>0</v>
      </c>
      <c r="CS157" s="80">
        <v>0</v>
      </c>
      <c r="CT157" s="80">
        <v>400</v>
      </c>
      <c r="CU157" s="80">
        <v>0</v>
      </c>
      <c r="CV157" s="80">
        <v>85</v>
      </c>
      <c r="CW157" s="80">
        <v>0</v>
      </c>
      <c r="CX157" s="80">
        <v>85</v>
      </c>
      <c r="CY157" s="80">
        <v>0</v>
      </c>
      <c r="CZ157" s="80">
        <v>2378</v>
      </c>
      <c r="DA157" s="80">
        <v>0</v>
      </c>
      <c r="DB157" s="80">
        <v>0</v>
      </c>
      <c r="DC157" s="80">
        <v>0</v>
      </c>
      <c r="DD157" s="80">
        <v>0</v>
      </c>
      <c r="DE157" s="80">
        <v>0</v>
      </c>
      <c r="DF157" s="80">
        <v>0</v>
      </c>
      <c r="DG157" s="80">
        <v>758</v>
      </c>
      <c r="DH157" s="80">
        <v>294</v>
      </c>
      <c r="DI157" s="80">
        <v>0</v>
      </c>
      <c r="DJ157" s="80">
        <v>294</v>
      </c>
      <c r="DK157" s="80">
        <v>0</v>
      </c>
      <c r="DL157" s="80">
        <v>0</v>
      </c>
      <c r="DM157" s="80">
        <v>464</v>
      </c>
      <c r="DN157" s="80">
        <v>194</v>
      </c>
      <c r="DO157" s="80">
        <v>70</v>
      </c>
      <c r="DP157" s="80">
        <v>69</v>
      </c>
      <c r="DQ157" s="80">
        <v>131</v>
      </c>
      <c r="DR157" s="80">
        <v>162</v>
      </c>
      <c r="DS157" s="80">
        <v>0</v>
      </c>
      <c r="DT157" s="80">
        <v>162</v>
      </c>
      <c r="DU157" s="80">
        <v>0</v>
      </c>
      <c r="DV157" s="80">
        <v>0</v>
      </c>
      <c r="DW157" s="80">
        <v>1458</v>
      </c>
      <c r="DX157" s="80">
        <v>25683</v>
      </c>
      <c r="DY157" s="80">
        <v>14601</v>
      </c>
      <c r="DZ157" s="80">
        <v>8100</v>
      </c>
      <c r="EA157" s="80">
        <v>0</v>
      </c>
      <c r="EB157" s="80">
        <v>1690</v>
      </c>
      <c r="EC157" s="80">
        <v>4009</v>
      </c>
      <c r="ED157" s="80">
        <v>802</v>
      </c>
      <c r="EE157" s="80">
        <v>0</v>
      </c>
      <c r="EF157" s="80">
        <v>0</v>
      </c>
      <c r="EG157" s="80">
        <v>0</v>
      </c>
      <c r="EH157" s="80">
        <v>296</v>
      </c>
      <c r="EI157" s="80">
        <v>0</v>
      </c>
      <c r="EJ157" s="80">
        <v>296</v>
      </c>
      <c r="EK157" s="80">
        <v>85</v>
      </c>
      <c r="EL157" s="80">
        <v>0</v>
      </c>
      <c r="EM157" s="80">
        <v>85</v>
      </c>
      <c r="EN157" s="80">
        <v>0</v>
      </c>
      <c r="EO157" s="80">
        <v>10701</v>
      </c>
      <c r="EP157" s="80">
        <v>5074</v>
      </c>
      <c r="EQ157" s="80">
        <v>0</v>
      </c>
      <c r="ER157" s="80">
        <v>5074</v>
      </c>
      <c r="ES157" s="80">
        <v>0</v>
      </c>
      <c r="ET157" s="80">
        <v>4092</v>
      </c>
      <c r="EU157" s="80">
        <v>982</v>
      </c>
      <c r="EV157" s="80">
        <v>0</v>
      </c>
      <c r="EW157" s="80">
        <v>0</v>
      </c>
      <c r="EX157" s="80">
        <v>0</v>
      </c>
      <c r="EY157" s="80">
        <v>0</v>
      </c>
      <c r="EZ157" s="80">
        <v>0</v>
      </c>
      <c r="FA157" s="80">
        <v>0</v>
      </c>
      <c r="FB157" s="80">
        <v>0</v>
      </c>
      <c r="FC157" s="80">
        <v>0</v>
      </c>
      <c r="FD157" s="80">
        <v>5627</v>
      </c>
      <c r="FE157" s="80">
        <v>2000</v>
      </c>
      <c r="FF157" s="80">
        <v>564</v>
      </c>
      <c r="FG157" s="80">
        <v>0</v>
      </c>
      <c r="FH157" s="80">
        <v>441</v>
      </c>
      <c r="FI157" s="80">
        <v>123</v>
      </c>
      <c r="FJ157" s="80">
        <v>0</v>
      </c>
      <c r="FK157" s="80">
        <v>0</v>
      </c>
      <c r="FL157" s="80">
        <v>0</v>
      </c>
      <c r="FM157" s="80">
        <v>5</v>
      </c>
      <c r="FN157" s="80">
        <v>1452</v>
      </c>
      <c r="FO157" s="80">
        <v>203</v>
      </c>
      <c r="FP157" s="80">
        <v>1403</v>
      </c>
      <c r="FQ157" s="80">
        <v>25683</v>
      </c>
      <c r="FR157" s="80">
        <v>668</v>
      </c>
      <c r="FS157" s="80">
        <v>346</v>
      </c>
      <c r="FT157" s="100">
        <v>8561.9523489864587</v>
      </c>
      <c r="FU157" s="100"/>
      <c r="FV157" s="100">
        <v>3856</v>
      </c>
      <c r="FW157" s="67">
        <v>661</v>
      </c>
      <c r="FX157" s="100">
        <f t="shared" si="15"/>
        <v>1174</v>
      </c>
      <c r="FY157" s="100">
        <f t="shared" si="16"/>
        <v>-11460</v>
      </c>
      <c r="FZ157" s="100">
        <v>7022.8989419719419</v>
      </c>
      <c r="GA157" s="67">
        <v>12634</v>
      </c>
      <c r="GB157" s="58">
        <f t="shared" si="13"/>
        <v>8778</v>
      </c>
      <c r="GC157" s="67">
        <v>666</v>
      </c>
      <c r="GD157" s="100">
        <v>1672</v>
      </c>
      <c r="GE157" s="100">
        <v>225</v>
      </c>
      <c r="GF157" s="58">
        <f t="shared" si="14"/>
        <v>1447</v>
      </c>
      <c r="GG157" s="100">
        <v>-2851.654</v>
      </c>
      <c r="GH157" s="100">
        <v>-236.64140000000009</v>
      </c>
      <c r="GI157" s="100">
        <v>-4052.0265436578948</v>
      </c>
      <c r="GJ157" s="67">
        <f t="shared" si="17"/>
        <v>5</v>
      </c>
      <c r="GK157" s="67"/>
      <c r="GM157" s="96"/>
    </row>
    <row r="158" spans="1:195" ht="13.5" customHeight="1" x14ac:dyDescent="0.2">
      <c r="A158" s="74">
        <v>494</v>
      </c>
      <c r="B158" s="75" t="s">
        <v>106</v>
      </c>
      <c r="C158" s="75" t="s">
        <v>106</v>
      </c>
      <c r="D158" s="76"/>
      <c r="E158" s="77" t="s">
        <v>216</v>
      </c>
      <c r="F158" s="78">
        <v>3</v>
      </c>
      <c r="G158" s="79">
        <v>9063</v>
      </c>
      <c r="H158" s="80">
        <v>13914</v>
      </c>
      <c r="I158" s="80">
        <v>8143</v>
      </c>
      <c r="J158" s="80">
        <v>3385</v>
      </c>
      <c r="K158" s="80">
        <v>906</v>
      </c>
      <c r="L158" s="80">
        <v>1480</v>
      </c>
      <c r="M158" s="80">
        <v>0</v>
      </c>
      <c r="N158" s="80">
        <v>32</v>
      </c>
      <c r="O158" s="80">
        <v>64298</v>
      </c>
      <c r="P158" s="80">
        <v>31701</v>
      </c>
      <c r="Q158" s="80">
        <v>24363</v>
      </c>
      <c r="R158" s="80">
        <v>7338</v>
      </c>
      <c r="S158" s="80">
        <v>5814</v>
      </c>
      <c r="T158" s="80">
        <v>1524</v>
      </c>
      <c r="U158" s="80">
        <v>24192</v>
      </c>
      <c r="V158" s="80">
        <v>3206</v>
      </c>
      <c r="W158" s="80">
        <v>4544</v>
      </c>
      <c r="X158" s="80">
        <v>655</v>
      </c>
      <c r="Y158" s="80">
        <v>-50352</v>
      </c>
      <c r="Z158" s="80">
        <v>28775</v>
      </c>
      <c r="AA158" s="80">
        <v>24169</v>
      </c>
      <c r="AB158" s="80">
        <v>1243</v>
      </c>
      <c r="AC158" s="80">
        <v>3363</v>
      </c>
      <c r="AD158" s="80">
        <v>23766</v>
      </c>
      <c r="AE158" s="80">
        <v>-367</v>
      </c>
      <c r="AF158" s="80">
        <v>122</v>
      </c>
      <c r="AG158" s="80">
        <v>39</v>
      </c>
      <c r="AH158" s="80">
        <v>29</v>
      </c>
      <c r="AI158" s="80">
        <v>527</v>
      </c>
      <c r="AJ158" s="80">
        <v>1</v>
      </c>
      <c r="AK158" s="80">
        <v>1822</v>
      </c>
      <c r="AL158" s="80">
        <v>2502</v>
      </c>
      <c r="AM158" s="80">
        <v>2502</v>
      </c>
      <c r="AN158" s="80">
        <v>0</v>
      </c>
      <c r="AO158" s="80">
        <v>0</v>
      </c>
      <c r="AP158" s="80">
        <v>0</v>
      </c>
      <c r="AQ158" s="80">
        <v>0</v>
      </c>
      <c r="AR158" s="80">
        <v>-680</v>
      </c>
      <c r="AS158" s="80">
        <v>29</v>
      </c>
      <c r="AT158" s="80">
        <v>0</v>
      </c>
      <c r="AU158" s="80">
        <v>0</v>
      </c>
      <c r="AV158" s="80">
        <v>-651</v>
      </c>
      <c r="AW158" s="81"/>
      <c r="AX158" s="80">
        <v>1560</v>
      </c>
      <c r="AY158" s="80">
        <v>1822</v>
      </c>
      <c r="AZ158" s="80">
        <v>0</v>
      </c>
      <c r="BA158" s="80">
        <v>-262</v>
      </c>
      <c r="BB158" s="80">
        <v>-13933</v>
      </c>
      <c r="BC158" s="80">
        <v>16078</v>
      </c>
      <c r="BD158" s="80">
        <v>1790</v>
      </c>
      <c r="BE158" s="80">
        <v>355</v>
      </c>
      <c r="BF158" s="80">
        <v>-12373</v>
      </c>
      <c r="BG158" s="80">
        <v>11209</v>
      </c>
      <c r="BH158" s="80">
        <v>-23</v>
      </c>
      <c r="BI158" s="80">
        <v>23</v>
      </c>
      <c r="BJ158" s="80">
        <v>0</v>
      </c>
      <c r="BK158" s="80">
        <v>11395</v>
      </c>
      <c r="BL158" s="80">
        <v>8500</v>
      </c>
      <c r="BM158" s="80">
        <v>5605</v>
      </c>
      <c r="BN158" s="80">
        <v>8500</v>
      </c>
      <c r="BO158" s="80">
        <v>0</v>
      </c>
      <c r="BP158" s="80">
        <v>-163</v>
      </c>
      <c r="BQ158" s="80">
        <v>-53</v>
      </c>
      <c r="BR158" s="80">
        <v>13</v>
      </c>
      <c r="BS158" s="80">
        <v>181</v>
      </c>
      <c r="BT158" s="80">
        <v>-304</v>
      </c>
      <c r="BU158" s="80">
        <v>-1164</v>
      </c>
      <c r="BV158" s="80">
        <v>399</v>
      </c>
      <c r="BW158" s="80">
        <v>1563</v>
      </c>
      <c r="BX158" s="81"/>
      <c r="BY158" s="80">
        <v>69280</v>
      </c>
      <c r="BZ158" s="80">
        <v>575</v>
      </c>
      <c r="CA158" s="80">
        <v>135</v>
      </c>
      <c r="CB158" s="80">
        <v>440</v>
      </c>
      <c r="CC158" s="80">
        <v>0</v>
      </c>
      <c r="CD158" s="80">
        <v>59397</v>
      </c>
      <c r="CE158" s="80">
        <v>9557</v>
      </c>
      <c r="CF158" s="80">
        <v>42285</v>
      </c>
      <c r="CG158" s="80">
        <v>5531</v>
      </c>
      <c r="CH158" s="80">
        <v>1864</v>
      </c>
      <c r="CI158" s="80">
        <v>121</v>
      </c>
      <c r="CJ158" s="80">
        <v>121</v>
      </c>
      <c r="CK158" s="80">
        <v>39</v>
      </c>
      <c r="CL158" s="80">
        <v>9308</v>
      </c>
      <c r="CM158" s="80">
        <v>9057</v>
      </c>
      <c r="CN158" s="80">
        <v>6398</v>
      </c>
      <c r="CO158" s="80">
        <v>2659</v>
      </c>
      <c r="CP158" s="80">
        <v>0</v>
      </c>
      <c r="CQ158" s="80">
        <v>0</v>
      </c>
      <c r="CR158" s="80">
        <v>0</v>
      </c>
      <c r="CS158" s="80">
        <v>0</v>
      </c>
      <c r="CT158" s="80">
        <v>0</v>
      </c>
      <c r="CU158" s="80">
        <v>251</v>
      </c>
      <c r="CV158" s="80">
        <v>322</v>
      </c>
      <c r="CW158" s="80">
        <v>3</v>
      </c>
      <c r="CX158" s="80">
        <v>293</v>
      </c>
      <c r="CY158" s="80">
        <v>26</v>
      </c>
      <c r="CZ158" s="80">
        <v>8966</v>
      </c>
      <c r="DA158" s="80">
        <v>54</v>
      </c>
      <c r="DB158" s="80">
        <v>54</v>
      </c>
      <c r="DC158" s="80">
        <v>0</v>
      </c>
      <c r="DD158" s="80">
        <v>0</v>
      </c>
      <c r="DE158" s="80">
        <v>0</v>
      </c>
      <c r="DF158" s="80">
        <v>0</v>
      </c>
      <c r="DG158" s="80">
        <v>8513</v>
      </c>
      <c r="DH158" s="80">
        <v>6351</v>
      </c>
      <c r="DI158" s="80">
        <v>1064</v>
      </c>
      <c r="DJ158" s="80">
        <v>5287</v>
      </c>
      <c r="DK158" s="80">
        <v>0</v>
      </c>
      <c r="DL158" s="80">
        <v>0</v>
      </c>
      <c r="DM158" s="80">
        <v>2162</v>
      </c>
      <c r="DN158" s="80">
        <v>1606</v>
      </c>
      <c r="DO158" s="80">
        <v>120</v>
      </c>
      <c r="DP158" s="80">
        <v>408</v>
      </c>
      <c r="DQ158" s="80">
        <v>28</v>
      </c>
      <c r="DR158" s="80">
        <v>2</v>
      </c>
      <c r="DS158" s="80">
        <v>2</v>
      </c>
      <c r="DT158" s="80">
        <v>0</v>
      </c>
      <c r="DU158" s="80">
        <v>0</v>
      </c>
      <c r="DV158" s="80">
        <v>0</v>
      </c>
      <c r="DW158" s="80">
        <v>397</v>
      </c>
      <c r="DX158" s="80">
        <v>78568</v>
      </c>
      <c r="DY158" s="80">
        <v>29457</v>
      </c>
      <c r="DZ158" s="80">
        <v>27287</v>
      </c>
      <c r="EA158" s="80">
        <v>0</v>
      </c>
      <c r="EB158" s="80">
        <v>0</v>
      </c>
      <c r="EC158" s="80">
        <v>2821</v>
      </c>
      <c r="ED158" s="80">
        <v>-651</v>
      </c>
      <c r="EE158" s="80">
        <v>246</v>
      </c>
      <c r="EF158" s="80">
        <v>246</v>
      </c>
      <c r="EG158" s="80">
        <v>0</v>
      </c>
      <c r="EH158" s="80">
        <v>255</v>
      </c>
      <c r="EI158" s="80">
        <v>0</v>
      </c>
      <c r="EJ158" s="80">
        <v>255</v>
      </c>
      <c r="EK158" s="80">
        <v>433</v>
      </c>
      <c r="EL158" s="80">
        <v>3</v>
      </c>
      <c r="EM158" s="80">
        <v>296</v>
      </c>
      <c r="EN158" s="80">
        <v>134</v>
      </c>
      <c r="EO158" s="80">
        <v>48177</v>
      </c>
      <c r="EP158" s="80">
        <v>25727</v>
      </c>
      <c r="EQ158" s="80">
        <v>0</v>
      </c>
      <c r="ER158" s="80">
        <v>23497</v>
      </c>
      <c r="ES158" s="80">
        <v>4063</v>
      </c>
      <c r="ET158" s="80">
        <v>19434</v>
      </c>
      <c r="EU158" s="80">
        <v>0</v>
      </c>
      <c r="EV158" s="80">
        <v>0</v>
      </c>
      <c r="EW158" s="80">
        <v>2110</v>
      </c>
      <c r="EX158" s="80">
        <v>0</v>
      </c>
      <c r="EY158" s="80">
        <v>120</v>
      </c>
      <c r="EZ158" s="80">
        <v>0</v>
      </c>
      <c r="FA158" s="80">
        <v>0</v>
      </c>
      <c r="FB158" s="80">
        <v>0</v>
      </c>
      <c r="FC158" s="80">
        <v>0</v>
      </c>
      <c r="FD158" s="80">
        <v>22450</v>
      </c>
      <c r="FE158" s="80">
        <v>0</v>
      </c>
      <c r="FF158" s="80">
        <v>13205</v>
      </c>
      <c r="FG158" s="80">
        <v>625</v>
      </c>
      <c r="FH158" s="80">
        <v>12580</v>
      </c>
      <c r="FI158" s="80">
        <v>0</v>
      </c>
      <c r="FJ158" s="80">
        <v>0</v>
      </c>
      <c r="FK158" s="80">
        <v>414</v>
      </c>
      <c r="FL158" s="80">
        <v>0</v>
      </c>
      <c r="FM158" s="80">
        <v>116</v>
      </c>
      <c r="FN158" s="80">
        <v>4183</v>
      </c>
      <c r="FO158" s="80">
        <v>594</v>
      </c>
      <c r="FP158" s="80">
        <v>3938</v>
      </c>
      <c r="FQ158" s="80">
        <v>78568</v>
      </c>
      <c r="FR158" s="80">
        <v>138</v>
      </c>
      <c r="FS158" s="80">
        <v>809</v>
      </c>
      <c r="FT158" s="100">
        <v>38938.113203378169</v>
      </c>
      <c r="FU158" s="100"/>
      <c r="FV158" s="100">
        <v>18530</v>
      </c>
      <c r="FW158" s="67">
        <v>2374</v>
      </c>
      <c r="FX158" s="100">
        <f t="shared" si="15"/>
        <v>-25796</v>
      </c>
      <c r="FY158" s="100">
        <f t="shared" si="16"/>
        <v>-47850</v>
      </c>
      <c r="FZ158" s="100">
        <v>30393.560624354617</v>
      </c>
      <c r="GA158" s="67">
        <v>22054</v>
      </c>
      <c r="GB158" s="58">
        <f t="shared" si="13"/>
        <v>3524</v>
      </c>
      <c r="GC158" s="67">
        <v>2502</v>
      </c>
      <c r="GD158" s="100">
        <v>3411</v>
      </c>
      <c r="GE158" s="100">
        <v>1818</v>
      </c>
      <c r="GF158" s="58">
        <f t="shared" si="14"/>
        <v>1593</v>
      </c>
      <c r="GG158" s="100">
        <v>-14232.724</v>
      </c>
      <c r="GH158" s="100">
        <v>-398.80615000000017</v>
      </c>
      <c r="GI158" s="100">
        <v>-15857.006361023394</v>
      </c>
      <c r="GJ158" s="67">
        <f t="shared" si="17"/>
        <v>128</v>
      </c>
      <c r="GK158" s="67"/>
      <c r="GM158" s="96"/>
    </row>
    <row r="159" spans="1:195" ht="13.5" customHeight="1" x14ac:dyDescent="0.2">
      <c r="A159" s="74">
        <v>495</v>
      </c>
      <c r="B159" s="75" t="s">
        <v>107</v>
      </c>
      <c r="C159" s="75" t="s">
        <v>107</v>
      </c>
      <c r="D159" s="76"/>
      <c r="E159" s="77" t="s">
        <v>231</v>
      </c>
      <c r="F159" s="78">
        <v>1</v>
      </c>
      <c r="G159" s="79">
        <v>1710</v>
      </c>
      <c r="H159" s="80">
        <v>2270</v>
      </c>
      <c r="I159" s="80">
        <v>1122</v>
      </c>
      <c r="J159" s="80">
        <v>446</v>
      </c>
      <c r="K159" s="80">
        <v>206</v>
      </c>
      <c r="L159" s="80">
        <v>496</v>
      </c>
      <c r="M159" s="80">
        <v>0</v>
      </c>
      <c r="N159" s="80">
        <v>0</v>
      </c>
      <c r="O159" s="80">
        <v>13556</v>
      </c>
      <c r="P159" s="80">
        <v>6228</v>
      </c>
      <c r="Q159" s="80">
        <v>4759</v>
      </c>
      <c r="R159" s="80">
        <v>1469</v>
      </c>
      <c r="S159" s="80">
        <v>1291</v>
      </c>
      <c r="T159" s="80">
        <v>178</v>
      </c>
      <c r="U159" s="80">
        <v>5785</v>
      </c>
      <c r="V159" s="80">
        <v>860</v>
      </c>
      <c r="W159" s="80">
        <v>522</v>
      </c>
      <c r="X159" s="80">
        <v>161</v>
      </c>
      <c r="Y159" s="80">
        <v>-11286</v>
      </c>
      <c r="Z159" s="80">
        <v>5357</v>
      </c>
      <c r="AA159" s="80">
        <v>3937</v>
      </c>
      <c r="AB159" s="80">
        <v>1023</v>
      </c>
      <c r="AC159" s="80">
        <v>397</v>
      </c>
      <c r="AD159" s="80">
        <v>6507</v>
      </c>
      <c r="AE159" s="80">
        <v>10</v>
      </c>
      <c r="AF159" s="80">
        <v>1</v>
      </c>
      <c r="AG159" s="80">
        <v>26</v>
      </c>
      <c r="AH159" s="80">
        <v>0</v>
      </c>
      <c r="AI159" s="80">
        <v>17</v>
      </c>
      <c r="AJ159" s="80">
        <v>0</v>
      </c>
      <c r="AK159" s="80">
        <v>588</v>
      </c>
      <c r="AL159" s="80">
        <v>368</v>
      </c>
      <c r="AM159" s="80">
        <v>368</v>
      </c>
      <c r="AN159" s="80">
        <v>0</v>
      </c>
      <c r="AO159" s="80">
        <v>0</v>
      </c>
      <c r="AP159" s="80">
        <v>0</v>
      </c>
      <c r="AQ159" s="80">
        <v>0</v>
      </c>
      <c r="AR159" s="80">
        <v>220</v>
      </c>
      <c r="AS159" s="80">
        <v>0</v>
      </c>
      <c r="AT159" s="80">
        <v>0</v>
      </c>
      <c r="AU159" s="80">
        <v>0</v>
      </c>
      <c r="AV159" s="80">
        <v>220</v>
      </c>
      <c r="AW159" s="81"/>
      <c r="AX159" s="80">
        <v>580</v>
      </c>
      <c r="AY159" s="80">
        <v>588</v>
      </c>
      <c r="AZ159" s="80">
        <v>0</v>
      </c>
      <c r="BA159" s="80">
        <v>-8</v>
      </c>
      <c r="BB159" s="80">
        <v>-368</v>
      </c>
      <c r="BC159" s="80">
        <v>394</v>
      </c>
      <c r="BD159" s="80">
        <v>18</v>
      </c>
      <c r="BE159" s="80">
        <v>8</v>
      </c>
      <c r="BF159" s="80">
        <v>212</v>
      </c>
      <c r="BG159" s="80">
        <v>-438</v>
      </c>
      <c r="BH159" s="80">
        <v>5</v>
      </c>
      <c r="BI159" s="80">
        <v>0</v>
      </c>
      <c r="BJ159" s="80">
        <v>5</v>
      </c>
      <c r="BK159" s="80">
        <v>-475</v>
      </c>
      <c r="BL159" s="80">
        <v>0</v>
      </c>
      <c r="BM159" s="80">
        <v>475</v>
      </c>
      <c r="BN159" s="80">
        <v>0</v>
      </c>
      <c r="BO159" s="80">
        <v>0</v>
      </c>
      <c r="BP159" s="80">
        <v>32</v>
      </c>
      <c r="BQ159" s="80">
        <v>8</v>
      </c>
      <c r="BR159" s="80">
        <v>1</v>
      </c>
      <c r="BS159" s="80">
        <v>-10</v>
      </c>
      <c r="BT159" s="80">
        <v>33</v>
      </c>
      <c r="BU159" s="80">
        <v>-226</v>
      </c>
      <c r="BV159" s="80">
        <v>326</v>
      </c>
      <c r="BW159" s="80">
        <v>552</v>
      </c>
      <c r="BX159" s="81"/>
      <c r="BY159" s="80">
        <v>7157</v>
      </c>
      <c r="BZ159" s="80">
        <v>0</v>
      </c>
      <c r="CA159" s="80">
        <v>0</v>
      </c>
      <c r="CB159" s="80">
        <v>0</v>
      </c>
      <c r="CC159" s="80">
        <v>0</v>
      </c>
      <c r="CD159" s="80">
        <v>5930</v>
      </c>
      <c r="CE159" s="80">
        <v>777</v>
      </c>
      <c r="CF159" s="80">
        <v>2853</v>
      </c>
      <c r="CG159" s="80">
        <v>1994</v>
      </c>
      <c r="CH159" s="80">
        <v>30</v>
      </c>
      <c r="CI159" s="80">
        <v>0</v>
      </c>
      <c r="CJ159" s="80">
        <v>0</v>
      </c>
      <c r="CK159" s="80">
        <v>276</v>
      </c>
      <c r="CL159" s="80">
        <v>1227</v>
      </c>
      <c r="CM159" s="80">
        <v>1174</v>
      </c>
      <c r="CN159" s="80">
        <v>422</v>
      </c>
      <c r="CO159" s="80">
        <v>752</v>
      </c>
      <c r="CP159" s="80">
        <v>0</v>
      </c>
      <c r="CQ159" s="80">
        <v>53</v>
      </c>
      <c r="CR159" s="80">
        <v>0</v>
      </c>
      <c r="CS159" s="80">
        <v>0</v>
      </c>
      <c r="CT159" s="80">
        <v>53</v>
      </c>
      <c r="CU159" s="80">
        <v>0</v>
      </c>
      <c r="CV159" s="80">
        <v>3</v>
      </c>
      <c r="CW159" s="80">
        <v>0</v>
      </c>
      <c r="CX159" s="80">
        <v>0</v>
      </c>
      <c r="CY159" s="80">
        <v>3</v>
      </c>
      <c r="CZ159" s="80">
        <v>828</v>
      </c>
      <c r="DA159" s="80">
        <v>60</v>
      </c>
      <c r="DB159" s="80">
        <v>2</v>
      </c>
      <c r="DC159" s="80">
        <v>0</v>
      </c>
      <c r="DD159" s="80">
        <v>11</v>
      </c>
      <c r="DE159" s="80">
        <v>47</v>
      </c>
      <c r="DF159" s="80">
        <v>0</v>
      </c>
      <c r="DG159" s="80">
        <v>442</v>
      </c>
      <c r="DH159" s="80">
        <v>0</v>
      </c>
      <c r="DI159" s="80">
        <v>0</v>
      </c>
      <c r="DJ159" s="80">
        <v>0</v>
      </c>
      <c r="DK159" s="80">
        <v>0</v>
      </c>
      <c r="DL159" s="80">
        <v>0</v>
      </c>
      <c r="DM159" s="80">
        <v>442</v>
      </c>
      <c r="DN159" s="80">
        <v>232</v>
      </c>
      <c r="DO159" s="80">
        <v>14</v>
      </c>
      <c r="DP159" s="80">
        <v>12</v>
      </c>
      <c r="DQ159" s="80">
        <v>184</v>
      </c>
      <c r="DR159" s="80">
        <v>0</v>
      </c>
      <c r="DS159" s="80">
        <v>0</v>
      </c>
      <c r="DT159" s="80">
        <v>0</v>
      </c>
      <c r="DU159" s="80">
        <v>0</v>
      </c>
      <c r="DV159" s="80">
        <v>0</v>
      </c>
      <c r="DW159" s="80">
        <v>326</v>
      </c>
      <c r="DX159" s="80">
        <v>7988</v>
      </c>
      <c r="DY159" s="80">
        <v>4496</v>
      </c>
      <c r="DZ159" s="80">
        <v>4505</v>
      </c>
      <c r="EA159" s="80">
        <v>25</v>
      </c>
      <c r="EB159" s="80">
        <v>0</v>
      </c>
      <c r="EC159" s="80">
        <v>-254</v>
      </c>
      <c r="ED159" s="80">
        <v>220</v>
      </c>
      <c r="EE159" s="80">
        <v>0</v>
      </c>
      <c r="EF159" s="80">
        <v>0</v>
      </c>
      <c r="EG159" s="80">
        <v>0</v>
      </c>
      <c r="EH159" s="80">
        <v>0</v>
      </c>
      <c r="EI159" s="80">
        <v>0</v>
      </c>
      <c r="EJ159" s="80">
        <v>0</v>
      </c>
      <c r="EK159" s="80">
        <v>89</v>
      </c>
      <c r="EL159" s="80">
        <v>0</v>
      </c>
      <c r="EM159" s="80">
        <v>0</v>
      </c>
      <c r="EN159" s="80">
        <v>89</v>
      </c>
      <c r="EO159" s="80">
        <v>3403</v>
      </c>
      <c r="EP159" s="80">
        <v>1269</v>
      </c>
      <c r="EQ159" s="80">
        <v>0</v>
      </c>
      <c r="ER159" s="80">
        <v>1102</v>
      </c>
      <c r="ES159" s="80">
        <v>256</v>
      </c>
      <c r="ET159" s="80">
        <v>846</v>
      </c>
      <c r="EU159" s="80">
        <v>0</v>
      </c>
      <c r="EV159" s="80">
        <v>0</v>
      </c>
      <c r="EW159" s="80">
        <v>167</v>
      </c>
      <c r="EX159" s="80">
        <v>0</v>
      </c>
      <c r="EY159" s="80">
        <v>0</v>
      </c>
      <c r="EZ159" s="80">
        <v>0</v>
      </c>
      <c r="FA159" s="80">
        <v>0</v>
      </c>
      <c r="FB159" s="80">
        <v>0</v>
      </c>
      <c r="FC159" s="80">
        <v>0</v>
      </c>
      <c r="FD159" s="80">
        <v>2134</v>
      </c>
      <c r="FE159" s="80">
        <v>0</v>
      </c>
      <c r="FF159" s="80">
        <v>558</v>
      </c>
      <c r="FG159" s="80">
        <v>58</v>
      </c>
      <c r="FH159" s="80">
        <v>500</v>
      </c>
      <c r="FI159" s="80">
        <v>0</v>
      </c>
      <c r="FJ159" s="80">
        <v>0</v>
      </c>
      <c r="FK159" s="80">
        <v>29</v>
      </c>
      <c r="FL159" s="80">
        <v>0</v>
      </c>
      <c r="FM159" s="80">
        <v>33</v>
      </c>
      <c r="FN159" s="80">
        <v>899</v>
      </c>
      <c r="FO159" s="80">
        <v>121</v>
      </c>
      <c r="FP159" s="80">
        <v>494</v>
      </c>
      <c r="FQ159" s="80">
        <v>7988</v>
      </c>
      <c r="FR159" s="80">
        <v>0</v>
      </c>
      <c r="FS159" s="80">
        <v>3985</v>
      </c>
      <c r="FT159" s="100">
        <v>5990.2979602984205</v>
      </c>
      <c r="FU159" s="100"/>
      <c r="FV159" s="100">
        <v>2547</v>
      </c>
      <c r="FW159" s="67">
        <v>368</v>
      </c>
      <c r="FX159" s="100">
        <f t="shared" si="15"/>
        <v>-7321</v>
      </c>
      <c r="FY159" s="100">
        <f t="shared" si="16"/>
        <v>-10918</v>
      </c>
      <c r="FZ159" s="100">
        <v>7480.2109562866381</v>
      </c>
      <c r="GA159" s="67">
        <v>3597</v>
      </c>
      <c r="GB159" s="58">
        <f t="shared" si="13"/>
        <v>1050</v>
      </c>
      <c r="GC159" s="67">
        <v>368</v>
      </c>
      <c r="GD159" s="100">
        <v>445</v>
      </c>
      <c r="GE159" s="100">
        <v>76</v>
      </c>
      <c r="GF159" s="58">
        <f t="shared" si="14"/>
        <v>369</v>
      </c>
      <c r="GG159" s="100">
        <v>-2269.279</v>
      </c>
      <c r="GH159" s="100">
        <v>-303.55595000000017</v>
      </c>
      <c r="GI159" s="100">
        <v>-5126.2163795606602</v>
      </c>
      <c r="GJ159" s="67">
        <f t="shared" si="17"/>
        <v>0</v>
      </c>
      <c r="GK159" s="67"/>
      <c r="GM159" s="96"/>
    </row>
    <row r="160" spans="1:195" ht="13.5" customHeight="1" x14ac:dyDescent="0.2">
      <c r="A160" s="74">
        <v>498</v>
      </c>
      <c r="B160" s="75" t="s">
        <v>108</v>
      </c>
      <c r="C160" s="75" t="s">
        <v>108</v>
      </c>
      <c r="D160" s="76"/>
      <c r="E160" s="77" t="s">
        <v>222</v>
      </c>
      <c r="F160" s="78">
        <v>2</v>
      </c>
      <c r="G160" s="79">
        <v>2358</v>
      </c>
      <c r="H160" s="80">
        <v>2555</v>
      </c>
      <c r="I160" s="80">
        <v>1312</v>
      </c>
      <c r="J160" s="80">
        <v>370</v>
      </c>
      <c r="K160" s="80">
        <v>302</v>
      </c>
      <c r="L160" s="80">
        <v>571</v>
      </c>
      <c r="M160" s="80">
        <v>0</v>
      </c>
      <c r="N160" s="80">
        <v>0</v>
      </c>
      <c r="O160" s="80">
        <v>18593</v>
      </c>
      <c r="P160" s="80">
        <v>7361</v>
      </c>
      <c r="Q160" s="80">
        <v>5622</v>
      </c>
      <c r="R160" s="80">
        <v>1739</v>
      </c>
      <c r="S160" s="80">
        <v>1451</v>
      </c>
      <c r="T160" s="80">
        <v>288</v>
      </c>
      <c r="U160" s="80">
        <v>9216</v>
      </c>
      <c r="V160" s="80">
        <v>1095</v>
      </c>
      <c r="W160" s="80">
        <v>575</v>
      </c>
      <c r="X160" s="80">
        <v>346</v>
      </c>
      <c r="Y160" s="80">
        <v>-16038</v>
      </c>
      <c r="Z160" s="80">
        <v>8404</v>
      </c>
      <c r="AA160" s="80">
        <v>6863</v>
      </c>
      <c r="AB160" s="80">
        <v>639</v>
      </c>
      <c r="AC160" s="80">
        <v>902</v>
      </c>
      <c r="AD160" s="80">
        <v>8532</v>
      </c>
      <c r="AE160" s="80">
        <v>-109</v>
      </c>
      <c r="AF160" s="80">
        <v>1</v>
      </c>
      <c r="AG160" s="80">
        <v>17</v>
      </c>
      <c r="AH160" s="80">
        <v>0</v>
      </c>
      <c r="AI160" s="80">
        <v>119</v>
      </c>
      <c r="AJ160" s="80">
        <v>8</v>
      </c>
      <c r="AK160" s="80">
        <v>789</v>
      </c>
      <c r="AL160" s="80">
        <v>692</v>
      </c>
      <c r="AM160" s="80">
        <v>692</v>
      </c>
      <c r="AN160" s="80">
        <v>0</v>
      </c>
      <c r="AO160" s="80">
        <v>0</v>
      </c>
      <c r="AP160" s="80">
        <v>0</v>
      </c>
      <c r="AQ160" s="80">
        <v>0</v>
      </c>
      <c r="AR160" s="80">
        <v>97</v>
      </c>
      <c r="AS160" s="80">
        <v>30</v>
      </c>
      <c r="AT160" s="80">
        <v>0</v>
      </c>
      <c r="AU160" s="80">
        <v>0</v>
      </c>
      <c r="AV160" s="80">
        <v>127</v>
      </c>
      <c r="AW160" s="81"/>
      <c r="AX160" s="80">
        <v>782</v>
      </c>
      <c r="AY160" s="80">
        <v>789</v>
      </c>
      <c r="AZ160" s="80">
        <v>0</v>
      </c>
      <c r="BA160" s="80">
        <v>-7</v>
      </c>
      <c r="BB160" s="80">
        <v>-678</v>
      </c>
      <c r="BC160" s="80">
        <v>716</v>
      </c>
      <c r="BD160" s="80">
        <v>30</v>
      </c>
      <c r="BE160" s="80">
        <v>8</v>
      </c>
      <c r="BF160" s="80">
        <v>104</v>
      </c>
      <c r="BG160" s="80">
        <v>34</v>
      </c>
      <c r="BH160" s="80">
        <v>108</v>
      </c>
      <c r="BI160" s="80">
        <v>42</v>
      </c>
      <c r="BJ160" s="80">
        <v>150</v>
      </c>
      <c r="BK160" s="80">
        <v>126</v>
      </c>
      <c r="BL160" s="80">
        <v>1000</v>
      </c>
      <c r="BM160" s="80">
        <v>1274</v>
      </c>
      <c r="BN160" s="80">
        <v>400</v>
      </c>
      <c r="BO160" s="80">
        <v>0</v>
      </c>
      <c r="BP160" s="80">
        <v>-200</v>
      </c>
      <c r="BQ160" s="80">
        <v>0</v>
      </c>
      <c r="BR160" s="80">
        <v>0</v>
      </c>
      <c r="BS160" s="80">
        <v>-78</v>
      </c>
      <c r="BT160" s="80">
        <v>-122</v>
      </c>
      <c r="BU160" s="80">
        <v>137</v>
      </c>
      <c r="BV160" s="80">
        <v>367</v>
      </c>
      <c r="BW160" s="80">
        <v>230</v>
      </c>
      <c r="BX160" s="81"/>
      <c r="BY160" s="80">
        <v>12207</v>
      </c>
      <c r="BZ160" s="80">
        <v>117</v>
      </c>
      <c r="CA160" s="80">
        <v>0</v>
      </c>
      <c r="CB160" s="80">
        <v>117</v>
      </c>
      <c r="CC160" s="80">
        <v>0</v>
      </c>
      <c r="CD160" s="80">
        <v>10864</v>
      </c>
      <c r="CE160" s="80">
        <v>808</v>
      </c>
      <c r="CF160" s="80">
        <v>7024</v>
      </c>
      <c r="CG160" s="80">
        <v>2420</v>
      </c>
      <c r="CH160" s="80">
        <v>145</v>
      </c>
      <c r="CI160" s="80">
        <v>0</v>
      </c>
      <c r="CJ160" s="80">
        <v>0</v>
      </c>
      <c r="CK160" s="80">
        <v>467</v>
      </c>
      <c r="CL160" s="80">
        <v>1226</v>
      </c>
      <c r="CM160" s="80">
        <v>1068</v>
      </c>
      <c r="CN160" s="80">
        <v>732</v>
      </c>
      <c r="CO160" s="80">
        <v>336</v>
      </c>
      <c r="CP160" s="80">
        <v>0</v>
      </c>
      <c r="CQ160" s="80">
        <v>158</v>
      </c>
      <c r="CR160" s="80">
        <v>0</v>
      </c>
      <c r="CS160" s="80">
        <v>0</v>
      </c>
      <c r="CT160" s="80">
        <v>158</v>
      </c>
      <c r="CU160" s="80">
        <v>0</v>
      </c>
      <c r="CV160" s="80">
        <v>0</v>
      </c>
      <c r="CW160" s="80">
        <v>0</v>
      </c>
      <c r="CX160" s="80">
        <v>0</v>
      </c>
      <c r="CY160" s="80">
        <v>0</v>
      </c>
      <c r="CZ160" s="80">
        <v>1255</v>
      </c>
      <c r="DA160" s="80">
        <v>0</v>
      </c>
      <c r="DB160" s="80">
        <v>0</v>
      </c>
      <c r="DC160" s="80">
        <v>0</v>
      </c>
      <c r="DD160" s="80">
        <v>0</v>
      </c>
      <c r="DE160" s="80">
        <v>0</v>
      </c>
      <c r="DF160" s="80">
        <v>0</v>
      </c>
      <c r="DG160" s="80">
        <v>888</v>
      </c>
      <c r="DH160" s="80">
        <v>0</v>
      </c>
      <c r="DI160" s="80">
        <v>0</v>
      </c>
      <c r="DJ160" s="80">
        <v>0</v>
      </c>
      <c r="DK160" s="80">
        <v>0</v>
      </c>
      <c r="DL160" s="80">
        <v>0</v>
      </c>
      <c r="DM160" s="80">
        <v>888</v>
      </c>
      <c r="DN160" s="80">
        <v>609</v>
      </c>
      <c r="DO160" s="80">
        <v>0</v>
      </c>
      <c r="DP160" s="80">
        <v>138</v>
      </c>
      <c r="DQ160" s="80">
        <v>141</v>
      </c>
      <c r="DR160" s="80">
        <v>0</v>
      </c>
      <c r="DS160" s="80">
        <v>0</v>
      </c>
      <c r="DT160" s="80">
        <v>0</v>
      </c>
      <c r="DU160" s="80">
        <v>0</v>
      </c>
      <c r="DV160" s="80">
        <v>0</v>
      </c>
      <c r="DW160" s="80">
        <v>367</v>
      </c>
      <c r="DX160" s="80">
        <v>13462</v>
      </c>
      <c r="DY160" s="80">
        <v>1715</v>
      </c>
      <c r="DZ160" s="80">
        <v>2879</v>
      </c>
      <c r="EA160" s="80">
        <v>0</v>
      </c>
      <c r="EB160" s="80">
        <v>0</v>
      </c>
      <c r="EC160" s="80">
        <v>-1291</v>
      </c>
      <c r="ED160" s="80">
        <v>127</v>
      </c>
      <c r="EE160" s="80">
        <v>634</v>
      </c>
      <c r="EF160" s="80">
        <v>634</v>
      </c>
      <c r="EG160" s="80">
        <v>0</v>
      </c>
      <c r="EH160" s="80">
        <v>0</v>
      </c>
      <c r="EI160" s="80">
        <v>0</v>
      </c>
      <c r="EJ160" s="80">
        <v>0</v>
      </c>
      <c r="EK160" s="80">
        <v>3</v>
      </c>
      <c r="EL160" s="80">
        <v>0</v>
      </c>
      <c r="EM160" s="80">
        <v>3</v>
      </c>
      <c r="EN160" s="80">
        <v>0</v>
      </c>
      <c r="EO160" s="80">
        <v>11110</v>
      </c>
      <c r="EP160" s="80">
        <v>5517</v>
      </c>
      <c r="EQ160" s="80">
        <v>0</v>
      </c>
      <c r="ER160" s="80">
        <v>4966</v>
      </c>
      <c r="ES160" s="80">
        <v>5</v>
      </c>
      <c r="ET160" s="80">
        <v>4961</v>
      </c>
      <c r="EU160" s="80">
        <v>0</v>
      </c>
      <c r="EV160" s="80">
        <v>0</v>
      </c>
      <c r="EW160" s="80">
        <v>0</v>
      </c>
      <c r="EX160" s="80">
        <v>0</v>
      </c>
      <c r="EY160" s="80">
        <v>0</v>
      </c>
      <c r="EZ160" s="80">
        <v>0</v>
      </c>
      <c r="FA160" s="80">
        <v>551</v>
      </c>
      <c r="FB160" s="80">
        <v>0</v>
      </c>
      <c r="FC160" s="80">
        <v>0</v>
      </c>
      <c r="FD160" s="80">
        <v>5593</v>
      </c>
      <c r="FE160" s="80">
        <v>0</v>
      </c>
      <c r="FF160" s="80">
        <v>4009</v>
      </c>
      <c r="FG160" s="80">
        <v>83</v>
      </c>
      <c r="FH160" s="80">
        <v>3926</v>
      </c>
      <c r="FI160" s="80">
        <v>0</v>
      </c>
      <c r="FJ160" s="80">
        <v>0</v>
      </c>
      <c r="FK160" s="80">
        <v>0</v>
      </c>
      <c r="FL160" s="80">
        <v>0</v>
      </c>
      <c r="FM160" s="80">
        <v>3</v>
      </c>
      <c r="FN160" s="80">
        <v>559</v>
      </c>
      <c r="FO160" s="80">
        <v>139</v>
      </c>
      <c r="FP160" s="80">
        <v>883</v>
      </c>
      <c r="FQ160" s="80">
        <v>13462</v>
      </c>
      <c r="FR160" s="80">
        <v>0</v>
      </c>
      <c r="FS160" s="80">
        <v>0</v>
      </c>
      <c r="FT160" s="100">
        <v>10147.658870135332</v>
      </c>
      <c r="FU160" s="100"/>
      <c r="FV160" s="100">
        <v>4004</v>
      </c>
      <c r="FW160" s="67">
        <v>690</v>
      </c>
      <c r="FX160" s="100">
        <f t="shared" si="15"/>
        <v>-10979</v>
      </c>
      <c r="FY160" s="100">
        <f t="shared" si="16"/>
        <v>-15346</v>
      </c>
      <c r="FZ160" s="100">
        <v>9821.0500215248067</v>
      </c>
      <c r="GA160" s="67">
        <v>4367</v>
      </c>
      <c r="GB160" s="58">
        <f t="shared" si="13"/>
        <v>363</v>
      </c>
      <c r="GC160" s="67">
        <v>692</v>
      </c>
      <c r="GD160" s="100">
        <v>380</v>
      </c>
      <c r="GE160" s="100">
        <v>179</v>
      </c>
      <c r="GF160" s="58">
        <f t="shared" si="14"/>
        <v>201</v>
      </c>
      <c r="GG160" s="100">
        <v>-3986.6910000000003</v>
      </c>
      <c r="GH160" s="100">
        <v>-187.05780000000004</v>
      </c>
      <c r="GI160" s="100">
        <v>-5702.6169813899069</v>
      </c>
      <c r="GJ160" s="67">
        <f t="shared" si="17"/>
        <v>2</v>
      </c>
      <c r="GK160" s="67"/>
      <c r="GM160" s="96"/>
    </row>
    <row r="161" spans="1:195" ht="13.5" customHeight="1" x14ac:dyDescent="0.2">
      <c r="A161" s="74">
        <v>500</v>
      </c>
      <c r="B161" s="75" t="s">
        <v>109</v>
      </c>
      <c r="C161" s="75" t="s">
        <v>109</v>
      </c>
      <c r="D161" s="76"/>
      <c r="E161" s="77" t="s">
        <v>231</v>
      </c>
      <c r="F161" s="78">
        <v>3</v>
      </c>
      <c r="G161" s="79">
        <v>9791</v>
      </c>
      <c r="H161" s="80">
        <v>8313</v>
      </c>
      <c r="I161" s="80">
        <v>2865</v>
      </c>
      <c r="J161" s="80">
        <v>1459</v>
      </c>
      <c r="K161" s="80">
        <v>800</v>
      </c>
      <c r="L161" s="80">
        <v>3189</v>
      </c>
      <c r="M161" s="80">
        <v>0</v>
      </c>
      <c r="N161" s="80">
        <v>350</v>
      </c>
      <c r="O161" s="80">
        <v>50808</v>
      </c>
      <c r="P161" s="80">
        <v>17991</v>
      </c>
      <c r="Q161" s="80">
        <v>13860</v>
      </c>
      <c r="R161" s="80">
        <v>4131</v>
      </c>
      <c r="S161" s="80">
        <v>3369</v>
      </c>
      <c r="T161" s="80">
        <v>762</v>
      </c>
      <c r="U161" s="80">
        <v>24810</v>
      </c>
      <c r="V161" s="80">
        <v>2219</v>
      </c>
      <c r="W161" s="80">
        <v>3997</v>
      </c>
      <c r="X161" s="80">
        <v>1791</v>
      </c>
      <c r="Y161" s="80">
        <v>-42145</v>
      </c>
      <c r="Z161" s="80">
        <v>36838</v>
      </c>
      <c r="AA161" s="80">
        <v>32763</v>
      </c>
      <c r="AB161" s="80">
        <v>2122</v>
      </c>
      <c r="AC161" s="80">
        <v>1953</v>
      </c>
      <c r="AD161" s="80">
        <v>8416</v>
      </c>
      <c r="AE161" s="80">
        <v>92</v>
      </c>
      <c r="AF161" s="80">
        <v>4</v>
      </c>
      <c r="AG161" s="80">
        <v>188</v>
      </c>
      <c r="AH161" s="80">
        <v>149</v>
      </c>
      <c r="AI161" s="80">
        <v>99</v>
      </c>
      <c r="AJ161" s="80">
        <v>1</v>
      </c>
      <c r="AK161" s="80">
        <v>3201</v>
      </c>
      <c r="AL161" s="80">
        <v>3427</v>
      </c>
      <c r="AM161" s="80">
        <v>3427</v>
      </c>
      <c r="AN161" s="80">
        <v>0</v>
      </c>
      <c r="AO161" s="80">
        <v>0</v>
      </c>
      <c r="AP161" s="80">
        <v>0</v>
      </c>
      <c r="AQ161" s="80">
        <v>0</v>
      </c>
      <c r="AR161" s="80">
        <v>-226</v>
      </c>
      <c r="AS161" s="80">
        <v>0</v>
      </c>
      <c r="AT161" s="80">
        <v>0</v>
      </c>
      <c r="AU161" s="80">
        <v>0</v>
      </c>
      <c r="AV161" s="80">
        <v>-226</v>
      </c>
      <c r="AW161" s="81"/>
      <c r="AX161" s="80">
        <v>1756</v>
      </c>
      <c r="AY161" s="80">
        <v>3201</v>
      </c>
      <c r="AZ161" s="80">
        <v>0</v>
      </c>
      <c r="BA161" s="80">
        <v>-1445</v>
      </c>
      <c r="BB161" s="80">
        <v>-7320</v>
      </c>
      <c r="BC161" s="80">
        <v>10607</v>
      </c>
      <c r="BD161" s="80">
        <v>895</v>
      </c>
      <c r="BE161" s="80">
        <v>2392</v>
      </c>
      <c r="BF161" s="80">
        <v>-5564</v>
      </c>
      <c r="BG161" s="80">
        <v>3695</v>
      </c>
      <c r="BH161" s="80">
        <v>41</v>
      </c>
      <c r="BI161" s="80">
        <v>0</v>
      </c>
      <c r="BJ161" s="80">
        <v>41</v>
      </c>
      <c r="BK161" s="80">
        <v>3397</v>
      </c>
      <c r="BL161" s="80">
        <v>0</v>
      </c>
      <c r="BM161" s="80">
        <v>2503</v>
      </c>
      <c r="BN161" s="80">
        <v>5900</v>
      </c>
      <c r="BO161" s="80">
        <v>0</v>
      </c>
      <c r="BP161" s="80">
        <v>257</v>
      </c>
      <c r="BQ161" s="80">
        <v>5</v>
      </c>
      <c r="BR161" s="80">
        <v>0</v>
      </c>
      <c r="BS161" s="80">
        <v>-91</v>
      </c>
      <c r="BT161" s="80">
        <v>343</v>
      </c>
      <c r="BU161" s="80">
        <v>-1869</v>
      </c>
      <c r="BV161" s="80">
        <v>220</v>
      </c>
      <c r="BW161" s="80">
        <v>2089</v>
      </c>
      <c r="BX161" s="81"/>
      <c r="BY161" s="80">
        <v>56568</v>
      </c>
      <c r="BZ161" s="80">
        <v>36</v>
      </c>
      <c r="CA161" s="80">
        <v>36</v>
      </c>
      <c r="CB161" s="80">
        <v>0</v>
      </c>
      <c r="CC161" s="80">
        <v>0</v>
      </c>
      <c r="CD161" s="80">
        <v>52298</v>
      </c>
      <c r="CE161" s="80">
        <v>8075</v>
      </c>
      <c r="CF161" s="80">
        <v>34218</v>
      </c>
      <c r="CG161" s="80">
        <v>9439</v>
      </c>
      <c r="CH161" s="80">
        <v>566</v>
      </c>
      <c r="CI161" s="80">
        <v>0</v>
      </c>
      <c r="CJ161" s="80">
        <v>0</v>
      </c>
      <c r="CK161" s="80">
        <v>0</v>
      </c>
      <c r="CL161" s="80">
        <v>4234</v>
      </c>
      <c r="CM161" s="80">
        <v>3956</v>
      </c>
      <c r="CN161" s="80">
        <v>1646</v>
      </c>
      <c r="CO161" s="80">
        <v>2310</v>
      </c>
      <c r="CP161" s="80">
        <v>0</v>
      </c>
      <c r="CQ161" s="80">
        <v>204</v>
      </c>
      <c r="CR161" s="80">
        <v>0</v>
      </c>
      <c r="CS161" s="80">
        <v>0</v>
      </c>
      <c r="CT161" s="80">
        <v>204</v>
      </c>
      <c r="CU161" s="80">
        <v>74</v>
      </c>
      <c r="CV161" s="80">
        <v>2</v>
      </c>
      <c r="CW161" s="80">
        <v>0</v>
      </c>
      <c r="CX161" s="80">
        <v>2</v>
      </c>
      <c r="CY161" s="80">
        <v>0</v>
      </c>
      <c r="CZ161" s="80">
        <v>3629</v>
      </c>
      <c r="DA161" s="80">
        <v>0</v>
      </c>
      <c r="DB161" s="80">
        <v>0</v>
      </c>
      <c r="DC161" s="80">
        <v>0</v>
      </c>
      <c r="DD161" s="80">
        <v>0</v>
      </c>
      <c r="DE161" s="80">
        <v>0</v>
      </c>
      <c r="DF161" s="80">
        <v>0</v>
      </c>
      <c r="DG161" s="80">
        <v>3409</v>
      </c>
      <c r="DH161" s="80">
        <v>0</v>
      </c>
      <c r="DI161" s="80">
        <v>0</v>
      </c>
      <c r="DJ161" s="80">
        <v>0</v>
      </c>
      <c r="DK161" s="80">
        <v>0</v>
      </c>
      <c r="DL161" s="80">
        <v>0</v>
      </c>
      <c r="DM161" s="80">
        <v>3409</v>
      </c>
      <c r="DN161" s="80">
        <v>1077</v>
      </c>
      <c r="DO161" s="80">
        <v>163</v>
      </c>
      <c r="DP161" s="80">
        <v>749</v>
      </c>
      <c r="DQ161" s="80">
        <v>1420</v>
      </c>
      <c r="DR161" s="80">
        <v>15</v>
      </c>
      <c r="DS161" s="80">
        <v>15</v>
      </c>
      <c r="DT161" s="80">
        <v>0</v>
      </c>
      <c r="DU161" s="80">
        <v>0</v>
      </c>
      <c r="DV161" s="80">
        <v>0</v>
      </c>
      <c r="DW161" s="80">
        <v>205</v>
      </c>
      <c r="DX161" s="80">
        <v>60199</v>
      </c>
      <c r="DY161" s="80">
        <v>27675</v>
      </c>
      <c r="DZ161" s="80">
        <v>18365</v>
      </c>
      <c r="EA161" s="80">
        <v>25</v>
      </c>
      <c r="EB161" s="80">
        <v>1012</v>
      </c>
      <c r="EC161" s="80">
        <v>8499</v>
      </c>
      <c r="ED161" s="80">
        <v>-226</v>
      </c>
      <c r="EE161" s="80">
        <v>0</v>
      </c>
      <c r="EF161" s="80">
        <v>0</v>
      </c>
      <c r="EG161" s="80">
        <v>0</v>
      </c>
      <c r="EH161" s="80">
        <v>0</v>
      </c>
      <c r="EI161" s="80">
        <v>0</v>
      </c>
      <c r="EJ161" s="80">
        <v>0</v>
      </c>
      <c r="EK161" s="80">
        <v>109</v>
      </c>
      <c r="EL161" s="80">
        <v>0</v>
      </c>
      <c r="EM161" s="80">
        <v>2</v>
      </c>
      <c r="EN161" s="80">
        <v>107</v>
      </c>
      <c r="EO161" s="80">
        <v>32415</v>
      </c>
      <c r="EP161" s="80">
        <v>8507</v>
      </c>
      <c r="EQ161" s="80">
        <v>0</v>
      </c>
      <c r="ER161" s="80">
        <v>6780</v>
      </c>
      <c r="ES161" s="80">
        <v>4000</v>
      </c>
      <c r="ET161" s="80">
        <v>2780</v>
      </c>
      <c r="EU161" s="80">
        <v>0</v>
      </c>
      <c r="EV161" s="80">
        <v>0</v>
      </c>
      <c r="EW161" s="80">
        <v>140</v>
      </c>
      <c r="EX161" s="80">
        <v>0</v>
      </c>
      <c r="EY161" s="80">
        <v>0</v>
      </c>
      <c r="EZ161" s="80">
        <v>0</v>
      </c>
      <c r="FA161" s="80">
        <v>1587</v>
      </c>
      <c r="FB161" s="80">
        <v>0</v>
      </c>
      <c r="FC161" s="80">
        <v>0</v>
      </c>
      <c r="FD161" s="80">
        <v>23908</v>
      </c>
      <c r="FE161" s="80">
        <v>0</v>
      </c>
      <c r="FF161" s="80">
        <v>16665</v>
      </c>
      <c r="FG161" s="80">
        <v>500</v>
      </c>
      <c r="FH161" s="80">
        <v>16165</v>
      </c>
      <c r="FI161" s="80">
        <v>0</v>
      </c>
      <c r="FJ161" s="80">
        <v>0</v>
      </c>
      <c r="FK161" s="80">
        <v>140</v>
      </c>
      <c r="FL161" s="80">
        <v>0</v>
      </c>
      <c r="FM161" s="80">
        <v>18</v>
      </c>
      <c r="FN161" s="80">
        <v>3294</v>
      </c>
      <c r="FO161" s="80">
        <v>787</v>
      </c>
      <c r="FP161" s="80">
        <v>3004</v>
      </c>
      <c r="FQ161" s="80">
        <v>60199</v>
      </c>
      <c r="FR161" s="80">
        <v>9659</v>
      </c>
      <c r="FS161" s="80">
        <v>7926</v>
      </c>
      <c r="FT161" s="100">
        <v>34807.734622953249</v>
      </c>
      <c r="FU161" s="100"/>
      <c r="FV161" s="100">
        <v>13897</v>
      </c>
      <c r="FW161" s="67">
        <v>3427</v>
      </c>
      <c r="FX161" s="100">
        <f t="shared" si="15"/>
        <v>-23039</v>
      </c>
      <c r="FY161" s="100">
        <f t="shared" si="16"/>
        <v>-38718</v>
      </c>
      <c r="FZ161" s="100">
        <v>22760.353152862623</v>
      </c>
      <c r="GA161" s="67">
        <v>15679</v>
      </c>
      <c r="GB161" s="58">
        <f t="shared" si="13"/>
        <v>1782</v>
      </c>
      <c r="GC161" s="67">
        <v>3427</v>
      </c>
      <c r="GD161" s="100">
        <v>1459</v>
      </c>
      <c r="GE161" s="100">
        <v>890</v>
      </c>
      <c r="GF161" s="58">
        <f t="shared" si="14"/>
        <v>569</v>
      </c>
      <c r="GG161" s="100">
        <v>-20427.345000000001</v>
      </c>
      <c r="GH161" s="100">
        <v>-620.29955000000029</v>
      </c>
      <c r="GI161" s="100">
        <v>-1429.8652501080664</v>
      </c>
      <c r="GJ161" s="67">
        <f t="shared" si="17"/>
        <v>0</v>
      </c>
      <c r="GK161" s="67"/>
      <c r="GM161" s="96"/>
    </row>
    <row r="162" spans="1:195" ht="13.5" customHeight="1" x14ac:dyDescent="0.2">
      <c r="A162" s="74">
        <v>503</v>
      </c>
      <c r="B162" s="75" t="s">
        <v>110</v>
      </c>
      <c r="C162" s="75" t="s">
        <v>110</v>
      </c>
      <c r="D162" s="76"/>
      <c r="E162" s="77" t="s">
        <v>219</v>
      </c>
      <c r="F162" s="78">
        <v>3</v>
      </c>
      <c r="G162" s="79">
        <v>7859</v>
      </c>
      <c r="H162" s="80">
        <v>5976</v>
      </c>
      <c r="I162" s="80">
        <v>2736</v>
      </c>
      <c r="J162" s="80">
        <v>793</v>
      </c>
      <c r="K162" s="80">
        <v>297</v>
      </c>
      <c r="L162" s="80">
        <v>2150</v>
      </c>
      <c r="M162" s="80">
        <v>0</v>
      </c>
      <c r="N162" s="80">
        <v>0</v>
      </c>
      <c r="O162" s="80">
        <v>48240</v>
      </c>
      <c r="P162" s="80">
        <v>13701</v>
      </c>
      <c r="Q162" s="80">
        <v>10151</v>
      </c>
      <c r="R162" s="80">
        <v>3550</v>
      </c>
      <c r="S162" s="80">
        <v>2958</v>
      </c>
      <c r="T162" s="80">
        <v>592</v>
      </c>
      <c r="U162" s="80">
        <v>30833</v>
      </c>
      <c r="V162" s="80">
        <v>2201</v>
      </c>
      <c r="W162" s="80">
        <v>929</v>
      </c>
      <c r="X162" s="80">
        <v>576</v>
      </c>
      <c r="Y162" s="80">
        <v>-42264</v>
      </c>
      <c r="Z162" s="80">
        <v>25815</v>
      </c>
      <c r="AA162" s="80">
        <v>23585</v>
      </c>
      <c r="AB162" s="80">
        <v>902</v>
      </c>
      <c r="AC162" s="80">
        <v>1328</v>
      </c>
      <c r="AD162" s="80">
        <v>16163</v>
      </c>
      <c r="AE162" s="80">
        <v>-48</v>
      </c>
      <c r="AF162" s="80">
        <v>4</v>
      </c>
      <c r="AG162" s="80">
        <v>34</v>
      </c>
      <c r="AH162" s="80">
        <v>1</v>
      </c>
      <c r="AI162" s="80">
        <v>79</v>
      </c>
      <c r="AJ162" s="80">
        <v>7</v>
      </c>
      <c r="AK162" s="80">
        <v>-334</v>
      </c>
      <c r="AL162" s="80">
        <v>1794</v>
      </c>
      <c r="AM162" s="80">
        <v>1794</v>
      </c>
      <c r="AN162" s="80">
        <v>0</v>
      </c>
      <c r="AO162" s="80">
        <v>0</v>
      </c>
      <c r="AP162" s="80">
        <v>0</v>
      </c>
      <c r="AQ162" s="80">
        <v>0</v>
      </c>
      <c r="AR162" s="80">
        <v>-2128</v>
      </c>
      <c r="AS162" s="80">
        <v>39</v>
      </c>
      <c r="AT162" s="80">
        <v>0</v>
      </c>
      <c r="AU162" s="80">
        <v>0</v>
      </c>
      <c r="AV162" s="80">
        <v>-2089</v>
      </c>
      <c r="AW162" s="81"/>
      <c r="AX162" s="80">
        <v>-870</v>
      </c>
      <c r="AY162" s="80">
        <v>-334</v>
      </c>
      <c r="AZ162" s="80">
        <v>0</v>
      </c>
      <c r="BA162" s="80">
        <v>-536</v>
      </c>
      <c r="BB162" s="80">
        <v>-1746</v>
      </c>
      <c r="BC162" s="80">
        <v>2618</v>
      </c>
      <c r="BD162" s="80">
        <v>135</v>
      </c>
      <c r="BE162" s="80">
        <v>737</v>
      </c>
      <c r="BF162" s="80">
        <v>-2616</v>
      </c>
      <c r="BG162" s="80">
        <v>2657</v>
      </c>
      <c r="BH162" s="80">
        <v>-21</v>
      </c>
      <c r="BI162" s="80">
        <v>21</v>
      </c>
      <c r="BJ162" s="80">
        <v>0</v>
      </c>
      <c r="BK162" s="80">
        <v>2054</v>
      </c>
      <c r="BL162" s="80">
        <v>0</v>
      </c>
      <c r="BM162" s="80">
        <v>1746</v>
      </c>
      <c r="BN162" s="80">
        <v>3800</v>
      </c>
      <c r="BO162" s="80">
        <v>0</v>
      </c>
      <c r="BP162" s="80">
        <v>624</v>
      </c>
      <c r="BQ162" s="80">
        <v>0</v>
      </c>
      <c r="BR162" s="80">
        <v>-3</v>
      </c>
      <c r="BS162" s="80">
        <v>112</v>
      </c>
      <c r="BT162" s="80">
        <v>515</v>
      </c>
      <c r="BU162" s="80">
        <v>41</v>
      </c>
      <c r="BV162" s="80">
        <v>2181</v>
      </c>
      <c r="BW162" s="80">
        <v>2140</v>
      </c>
      <c r="BX162" s="81"/>
      <c r="BY162" s="80">
        <v>44692</v>
      </c>
      <c r="BZ162" s="80">
        <v>88</v>
      </c>
      <c r="CA162" s="80">
        <v>88</v>
      </c>
      <c r="CB162" s="80">
        <v>0</v>
      </c>
      <c r="CC162" s="80">
        <v>0</v>
      </c>
      <c r="CD162" s="80">
        <v>35355</v>
      </c>
      <c r="CE162" s="80">
        <v>3581</v>
      </c>
      <c r="CF162" s="80">
        <v>18199</v>
      </c>
      <c r="CG162" s="80">
        <v>13052</v>
      </c>
      <c r="CH162" s="80">
        <v>348</v>
      </c>
      <c r="CI162" s="80">
        <v>0</v>
      </c>
      <c r="CJ162" s="80">
        <v>0</v>
      </c>
      <c r="CK162" s="80">
        <v>175</v>
      </c>
      <c r="CL162" s="80">
        <v>9249</v>
      </c>
      <c r="CM162" s="80">
        <v>9190</v>
      </c>
      <c r="CN162" s="80">
        <v>5121</v>
      </c>
      <c r="CO162" s="80">
        <v>4069</v>
      </c>
      <c r="CP162" s="80">
        <v>0</v>
      </c>
      <c r="CQ162" s="80">
        <v>59</v>
      </c>
      <c r="CR162" s="80">
        <v>0</v>
      </c>
      <c r="CS162" s="80">
        <v>0</v>
      </c>
      <c r="CT162" s="80">
        <v>59</v>
      </c>
      <c r="CU162" s="80">
        <v>0</v>
      </c>
      <c r="CV162" s="80">
        <v>916</v>
      </c>
      <c r="CW162" s="80">
        <v>0</v>
      </c>
      <c r="CX162" s="80">
        <v>916</v>
      </c>
      <c r="CY162" s="80">
        <v>0</v>
      </c>
      <c r="CZ162" s="80">
        <v>3213</v>
      </c>
      <c r="DA162" s="80">
        <v>35</v>
      </c>
      <c r="DB162" s="80">
        <v>35</v>
      </c>
      <c r="DC162" s="80">
        <v>0</v>
      </c>
      <c r="DD162" s="80">
        <v>0</v>
      </c>
      <c r="DE162" s="80">
        <v>0</v>
      </c>
      <c r="DF162" s="80">
        <v>0</v>
      </c>
      <c r="DG162" s="80">
        <v>997</v>
      </c>
      <c r="DH162" s="80">
        <v>0</v>
      </c>
      <c r="DI162" s="80">
        <v>0</v>
      </c>
      <c r="DJ162" s="80">
        <v>0</v>
      </c>
      <c r="DK162" s="80">
        <v>0</v>
      </c>
      <c r="DL162" s="80">
        <v>0</v>
      </c>
      <c r="DM162" s="80">
        <v>997</v>
      </c>
      <c r="DN162" s="80">
        <v>640</v>
      </c>
      <c r="DO162" s="80">
        <v>48</v>
      </c>
      <c r="DP162" s="80">
        <v>65</v>
      </c>
      <c r="DQ162" s="80">
        <v>244</v>
      </c>
      <c r="DR162" s="80">
        <v>0</v>
      </c>
      <c r="DS162" s="80">
        <v>0</v>
      </c>
      <c r="DT162" s="80">
        <v>0</v>
      </c>
      <c r="DU162" s="80">
        <v>0</v>
      </c>
      <c r="DV162" s="80">
        <v>0</v>
      </c>
      <c r="DW162" s="80">
        <v>2181</v>
      </c>
      <c r="DX162" s="80">
        <v>48821</v>
      </c>
      <c r="DY162" s="80">
        <v>23256</v>
      </c>
      <c r="DZ162" s="80">
        <v>22374</v>
      </c>
      <c r="EA162" s="80">
        <v>0</v>
      </c>
      <c r="EB162" s="80">
        <v>5</v>
      </c>
      <c r="EC162" s="80">
        <v>2966</v>
      </c>
      <c r="ED162" s="80">
        <v>-2089</v>
      </c>
      <c r="EE162" s="80">
        <v>673</v>
      </c>
      <c r="EF162" s="80">
        <v>604</v>
      </c>
      <c r="EG162" s="80">
        <v>69</v>
      </c>
      <c r="EH162" s="80">
        <v>0</v>
      </c>
      <c r="EI162" s="80">
        <v>0</v>
      </c>
      <c r="EJ162" s="80">
        <v>0</v>
      </c>
      <c r="EK162" s="80">
        <v>916</v>
      </c>
      <c r="EL162" s="80">
        <v>0</v>
      </c>
      <c r="EM162" s="80">
        <v>916</v>
      </c>
      <c r="EN162" s="80">
        <v>0</v>
      </c>
      <c r="EO162" s="80">
        <v>23976</v>
      </c>
      <c r="EP162" s="80">
        <v>9626</v>
      </c>
      <c r="EQ162" s="80">
        <v>0</v>
      </c>
      <c r="ER162" s="80">
        <v>7317</v>
      </c>
      <c r="ES162" s="80">
        <v>1325</v>
      </c>
      <c r="ET162" s="80">
        <v>5992</v>
      </c>
      <c r="EU162" s="80">
        <v>0</v>
      </c>
      <c r="EV162" s="80">
        <v>0</v>
      </c>
      <c r="EW162" s="80">
        <v>9</v>
      </c>
      <c r="EX162" s="80">
        <v>0</v>
      </c>
      <c r="EY162" s="80">
        <v>0</v>
      </c>
      <c r="EZ162" s="80">
        <v>0</v>
      </c>
      <c r="FA162" s="80">
        <v>2300</v>
      </c>
      <c r="FB162" s="80">
        <v>0</v>
      </c>
      <c r="FC162" s="80">
        <v>0</v>
      </c>
      <c r="FD162" s="80">
        <v>14350</v>
      </c>
      <c r="FE162" s="80">
        <v>0</v>
      </c>
      <c r="FF162" s="80">
        <v>9095</v>
      </c>
      <c r="FG162" s="80">
        <v>375</v>
      </c>
      <c r="FH162" s="80">
        <v>8720</v>
      </c>
      <c r="FI162" s="80">
        <v>0</v>
      </c>
      <c r="FJ162" s="80">
        <v>0</v>
      </c>
      <c r="FK162" s="80">
        <v>8</v>
      </c>
      <c r="FL162" s="80">
        <v>0</v>
      </c>
      <c r="FM162" s="80">
        <v>338</v>
      </c>
      <c r="FN162" s="80">
        <v>2285</v>
      </c>
      <c r="FO162" s="80">
        <v>280</v>
      </c>
      <c r="FP162" s="80">
        <v>2344</v>
      </c>
      <c r="FQ162" s="80">
        <v>48821</v>
      </c>
      <c r="FR162" s="80">
        <v>496</v>
      </c>
      <c r="FS162" s="80">
        <v>167</v>
      </c>
      <c r="FT162" s="100">
        <v>24351.041105021406</v>
      </c>
      <c r="FU162" s="100"/>
      <c r="FV162" s="100">
        <v>9900</v>
      </c>
      <c r="FW162" s="67">
        <v>1794</v>
      </c>
      <c r="FX162" s="100">
        <f t="shared" si="15"/>
        <v>-30524</v>
      </c>
      <c r="FY162" s="100">
        <f t="shared" si="16"/>
        <v>-40470</v>
      </c>
      <c r="FZ162" s="100">
        <v>27940.897656500747</v>
      </c>
      <c r="GA162" s="67">
        <v>9946</v>
      </c>
      <c r="GB162" s="58">
        <f t="shared" si="13"/>
        <v>46</v>
      </c>
      <c r="GC162" s="67">
        <v>1794</v>
      </c>
      <c r="GD162" s="100">
        <v>792</v>
      </c>
      <c r="GE162" s="100">
        <v>792</v>
      </c>
      <c r="GF162" s="58">
        <f t="shared" si="14"/>
        <v>0</v>
      </c>
      <c r="GG162" s="100">
        <v>-13791.398999999999</v>
      </c>
      <c r="GH162" s="100">
        <v>-292.40375000000012</v>
      </c>
      <c r="GI162" s="100">
        <v>-14004.945991593557</v>
      </c>
      <c r="GJ162" s="67">
        <f t="shared" si="17"/>
        <v>0</v>
      </c>
      <c r="GK162" s="67"/>
      <c r="GM162" s="96"/>
    </row>
    <row r="163" spans="1:195" ht="13.5" customHeight="1" x14ac:dyDescent="0.2">
      <c r="A163" s="74">
        <v>505</v>
      </c>
      <c r="B163" s="75" t="s">
        <v>111</v>
      </c>
      <c r="C163" s="75" t="s">
        <v>111</v>
      </c>
      <c r="D163" s="76"/>
      <c r="E163" s="77" t="s">
        <v>218</v>
      </c>
      <c r="F163" s="78">
        <v>5</v>
      </c>
      <c r="G163" s="79">
        <v>20685</v>
      </c>
      <c r="H163" s="80">
        <v>28194</v>
      </c>
      <c r="I163" s="80">
        <v>18489</v>
      </c>
      <c r="J163" s="80">
        <v>5818</v>
      </c>
      <c r="K163" s="80">
        <v>1522</v>
      </c>
      <c r="L163" s="80">
        <v>2365</v>
      </c>
      <c r="M163" s="80">
        <v>0</v>
      </c>
      <c r="N163" s="80">
        <v>58</v>
      </c>
      <c r="O163" s="80">
        <v>125834</v>
      </c>
      <c r="P163" s="80">
        <v>52260</v>
      </c>
      <c r="Q163" s="80">
        <v>40472</v>
      </c>
      <c r="R163" s="80">
        <v>11788</v>
      </c>
      <c r="S163" s="80">
        <v>9483</v>
      </c>
      <c r="T163" s="80">
        <v>2305</v>
      </c>
      <c r="U163" s="80">
        <v>57236</v>
      </c>
      <c r="V163" s="80">
        <v>5793</v>
      </c>
      <c r="W163" s="80">
        <v>7151</v>
      </c>
      <c r="X163" s="80">
        <v>3394</v>
      </c>
      <c r="Y163" s="80">
        <v>-97582</v>
      </c>
      <c r="Z163" s="80">
        <v>78866</v>
      </c>
      <c r="AA163" s="80">
        <v>69507</v>
      </c>
      <c r="AB163" s="80">
        <v>2560</v>
      </c>
      <c r="AC163" s="80">
        <v>6799</v>
      </c>
      <c r="AD163" s="80">
        <v>26307</v>
      </c>
      <c r="AE163" s="80">
        <v>1456</v>
      </c>
      <c r="AF163" s="80">
        <v>1705</v>
      </c>
      <c r="AG163" s="80">
        <v>295</v>
      </c>
      <c r="AH163" s="80">
        <v>1</v>
      </c>
      <c r="AI163" s="80">
        <v>536</v>
      </c>
      <c r="AJ163" s="80">
        <v>8</v>
      </c>
      <c r="AK163" s="80">
        <v>9047</v>
      </c>
      <c r="AL163" s="80">
        <v>5773</v>
      </c>
      <c r="AM163" s="80">
        <v>5773</v>
      </c>
      <c r="AN163" s="80">
        <v>0</v>
      </c>
      <c r="AO163" s="80">
        <v>0</v>
      </c>
      <c r="AP163" s="80">
        <v>0</v>
      </c>
      <c r="AQ163" s="80">
        <v>0</v>
      </c>
      <c r="AR163" s="80">
        <v>3274</v>
      </c>
      <c r="AS163" s="80">
        <v>22</v>
      </c>
      <c r="AT163" s="80">
        <v>0</v>
      </c>
      <c r="AU163" s="80">
        <v>0</v>
      </c>
      <c r="AV163" s="80">
        <v>3296</v>
      </c>
      <c r="AW163" s="81"/>
      <c r="AX163" s="80">
        <v>8838</v>
      </c>
      <c r="AY163" s="80">
        <v>9047</v>
      </c>
      <c r="AZ163" s="80">
        <v>0</v>
      </c>
      <c r="BA163" s="80">
        <v>-209</v>
      </c>
      <c r="BB163" s="80">
        <v>-15297</v>
      </c>
      <c r="BC163" s="80">
        <v>15718</v>
      </c>
      <c r="BD163" s="80">
        <v>0</v>
      </c>
      <c r="BE163" s="80">
        <v>421</v>
      </c>
      <c r="BF163" s="80">
        <v>-6459</v>
      </c>
      <c r="BG163" s="80">
        <v>6506</v>
      </c>
      <c r="BH163" s="80">
        <v>207</v>
      </c>
      <c r="BI163" s="80">
        <v>5</v>
      </c>
      <c r="BJ163" s="80">
        <v>212</v>
      </c>
      <c r="BK163" s="80">
        <v>6370</v>
      </c>
      <c r="BL163" s="80">
        <v>4793</v>
      </c>
      <c r="BM163" s="80">
        <v>5715</v>
      </c>
      <c r="BN163" s="80">
        <v>7292</v>
      </c>
      <c r="BO163" s="80">
        <v>0</v>
      </c>
      <c r="BP163" s="80">
        <v>-71</v>
      </c>
      <c r="BQ163" s="80">
        <v>18</v>
      </c>
      <c r="BR163" s="80">
        <v>2</v>
      </c>
      <c r="BS163" s="80">
        <v>-199</v>
      </c>
      <c r="BT163" s="80">
        <v>108</v>
      </c>
      <c r="BU163" s="80">
        <v>49</v>
      </c>
      <c r="BV163" s="80">
        <v>68</v>
      </c>
      <c r="BW163" s="80">
        <v>19</v>
      </c>
      <c r="BX163" s="81"/>
      <c r="BY163" s="80">
        <v>188488</v>
      </c>
      <c r="BZ163" s="80">
        <v>5899</v>
      </c>
      <c r="CA163" s="80">
        <v>250</v>
      </c>
      <c r="CB163" s="80">
        <v>5649</v>
      </c>
      <c r="CC163" s="80">
        <v>0</v>
      </c>
      <c r="CD163" s="80">
        <v>108274</v>
      </c>
      <c r="CE163" s="80">
        <v>22619</v>
      </c>
      <c r="CF163" s="80">
        <v>55715</v>
      </c>
      <c r="CG163" s="80">
        <v>17773</v>
      </c>
      <c r="CH163" s="80">
        <v>982</v>
      </c>
      <c r="CI163" s="80">
        <v>62</v>
      </c>
      <c r="CJ163" s="80">
        <v>47</v>
      </c>
      <c r="CK163" s="80">
        <v>11123</v>
      </c>
      <c r="CL163" s="80">
        <v>74315</v>
      </c>
      <c r="CM163" s="80">
        <v>42916</v>
      </c>
      <c r="CN163" s="80">
        <v>5493</v>
      </c>
      <c r="CO163" s="80">
        <v>37423</v>
      </c>
      <c r="CP163" s="80">
        <v>0</v>
      </c>
      <c r="CQ163" s="80">
        <v>29539</v>
      </c>
      <c r="CR163" s="80">
        <v>0</v>
      </c>
      <c r="CS163" s="80">
        <v>0</v>
      </c>
      <c r="CT163" s="80">
        <v>29539</v>
      </c>
      <c r="CU163" s="80">
        <v>1860</v>
      </c>
      <c r="CV163" s="80">
        <v>12</v>
      </c>
      <c r="CW163" s="80">
        <v>0</v>
      </c>
      <c r="CX163" s="80">
        <v>12</v>
      </c>
      <c r="CY163" s="80">
        <v>0</v>
      </c>
      <c r="CZ163" s="80">
        <v>5889</v>
      </c>
      <c r="DA163" s="80">
        <v>31</v>
      </c>
      <c r="DB163" s="80">
        <v>31</v>
      </c>
      <c r="DC163" s="80">
        <v>0</v>
      </c>
      <c r="DD163" s="80">
        <v>0</v>
      </c>
      <c r="DE163" s="80">
        <v>0</v>
      </c>
      <c r="DF163" s="80">
        <v>0</v>
      </c>
      <c r="DG163" s="80">
        <v>5790</v>
      </c>
      <c r="DH163" s="80">
        <v>1143</v>
      </c>
      <c r="DI163" s="80">
        <v>0</v>
      </c>
      <c r="DJ163" s="80">
        <v>0</v>
      </c>
      <c r="DK163" s="80">
        <v>1143</v>
      </c>
      <c r="DL163" s="80">
        <v>0</v>
      </c>
      <c r="DM163" s="80">
        <v>4647</v>
      </c>
      <c r="DN163" s="80">
        <v>2061</v>
      </c>
      <c r="DO163" s="80">
        <v>0</v>
      </c>
      <c r="DP163" s="80">
        <v>883</v>
      </c>
      <c r="DQ163" s="80">
        <v>1703</v>
      </c>
      <c r="DR163" s="80">
        <v>0</v>
      </c>
      <c r="DS163" s="80">
        <v>0</v>
      </c>
      <c r="DT163" s="80">
        <v>0</v>
      </c>
      <c r="DU163" s="80">
        <v>0</v>
      </c>
      <c r="DV163" s="80">
        <v>0</v>
      </c>
      <c r="DW163" s="80">
        <v>68</v>
      </c>
      <c r="DX163" s="80">
        <v>194389</v>
      </c>
      <c r="DY163" s="80">
        <v>122349</v>
      </c>
      <c r="DZ163" s="80">
        <v>53570</v>
      </c>
      <c r="EA163" s="80">
        <v>0</v>
      </c>
      <c r="EB163" s="80">
        <v>0</v>
      </c>
      <c r="EC163" s="80">
        <v>65481</v>
      </c>
      <c r="ED163" s="80">
        <v>3298</v>
      </c>
      <c r="EE163" s="80">
        <v>841</v>
      </c>
      <c r="EF163" s="80">
        <v>841</v>
      </c>
      <c r="EG163" s="80">
        <v>0</v>
      </c>
      <c r="EH163" s="80">
        <v>585</v>
      </c>
      <c r="EI163" s="80">
        <v>0</v>
      </c>
      <c r="EJ163" s="80">
        <v>585</v>
      </c>
      <c r="EK163" s="80">
        <v>164</v>
      </c>
      <c r="EL163" s="80">
        <v>44</v>
      </c>
      <c r="EM163" s="80">
        <v>120</v>
      </c>
      <c r="EN163" s="80">
        <v>0</v>
      </c>
      <c r="EO163" s="80">
        <v>70451</v>
      </c>
      <c r="EP163" s="80">
        <v>18969</v>
      </c>
      <c r="EQ163" s="80">
        <v>0</v>
      </c>
      <c r="ER163" s="80">
        <v>16951</v>
      </c>
      <c r="ES163" s="80">
        <v>0</v>
      </c>
      <c r="ET163" s="80">
        <v>16951</v>
      </c>
      <c r="EU163" s="80">
        <v>0</v>
      </c>
      <c r="EV163" s="80">
        <v>0</v>
      </c>
      <c r="EW163" s="80">
        <v>2000</v>
      </c>
      <c r="EX163" s="80">
        <v>0</v>
      </c>
      <c r="EY163" s="80">
        <v>0</v>
      </c>
      <c r="EZ163" s="80">
        <v>0</v>
      </c>
      <c r="FA163" s="80">
        <v>18</v>
      </c>
      <c r="FB163" s="80">
        <v>0</v>
      </c>
      <c r="FC163" s="80">
        <v>0</v>
      </c>
      <c r="FD163" s="80">
        <v>51482</v>
      </c>
      <c r="FE163" s="80">
        <v>0</v>
      </c>
      <c r="FF163" s="80">
        <v>34983</v>
      </c>
      <c r="FG163" s="80">
        <v>20768</v>
      </c>
      <c r="FH163" s="80">
        <v>13965</v>
      </c>
      <c r="FI163" s="80">
        <v>0</v>
      </c>
      <c r="FJ163" s="80">
        <v>250</v>
      </c>
      <c r="FK163" s="80">
        <v>1000</v>
      </c>
      <c r="FL163" s="80">
        <v>0</v>
      </c>
      <c r="FM163" s="80">
        <v>28</v>
      </c>
      <c r="FN163" s="80">
        <v>4220</v>
      </c>
      <c r="FO163" s="80">
        <v>1138</v>
      </c>
      <c r="FP163" s="80">
        <v>10113</v>
      </c>
      <c r="FQ163" s="80">
        <v>194390</v>
      </c>
      <c r="FR163" s="80">
        <v>57853</v>
      </c>
      <c r="FS163" s="80">
        <v>4562</v>
      </c>
      <c r="FT163" s="100">
        <v>78878.216676331853</v>
      </c>
      <c r="FU163" s="100"/>
      <c r="FV163" s="100">
        <v>35688</v>
      </c>
      <c r="FW163" s="67">
        <v>5532</v>
      </c>
      <c r="FX163" s="100">
        <f t="shared" si="15"/>
        <v>-35361</v>
      </c>
      <c r="FY163" s="100">
        <f t="shared" si="16"/>
        <v>-91809</v>
      </c>
      <c r="FZ163" s="100">
        <v>55978.515529144657</v>
      </c>
      <c r="GA163" s="67">
        <v>56448</v>
      </c>
      <c r="GB163" s="58">
        <f t="shared" si="13"/>
        <v>20760</v>
      </c>
      <c r="GC163" s="67">
        <v>5770</v>
      </c>
      <c r="GD163" s="100">
        <v>5821</v>
      </c>
      <c r="GE163" s="100">
        <v>2367</v>
      </c>
      <c r="GF163" s="58">
        <f t="shared" si="14"/>
        <v>3454</v>
      </c>
      <c r="GG163" s="100">
        <v>-40835.195</v>
      </c>
      <c r="GH163" s="100">
        <v>-819.79780000000017</v>
      </c>
      <c r="GI163" s="100">
        <v>-14235.792683968733</v>
      </c>
      <c r="GJ163" s="67">
        <f t="shared" si="17"/>
        <v>238</v>
      </c>
      <c r="GK163" s="67"/>
      <c r="GM163" s="96"/>
    </row>
    <row r="164" spans="1:195" ht="13.5" customHeight="1" x14ac:dyDescent="0.2">
      <c r="A164" s="74">
        <v>508</v>
      </c>
      <c r="B164" s="75" t="s">
        <v>283</v>
      </c>
      <c r="C164" s="75" t="s">
        <v>283</v>
      </c>
      <c r="D164" s="76"/>
      <c r="E164" s="77" t="s">
        <v>214</v>
      </c>
      <c r="F164" s="78">
        <v>4</v>
      </c>
      <c r="G164" s="79">
        <v>10604</v>
      </c>
      <c r="H164" s="80">
        <v>19360</v>
      </c>
      <c r="I164" s="80">
        <v>10677</v>
      </c>
      <c r="J164" s="80">
        <v>5484</v>
      </c>
      <c r="K164" s="80">
        <v>1601</v>
      </c>
      <c r="L164" s="80">
        <v>1598</v>
      </c>
      <c r="M164" s="80">
        <v>0</v>
      </c>
      <c r="N164" s="80">
        <v>0</v>
      </c>
      <c r="O164" s="80">
        <v>83641</v>
      </c>
      <c r="P164" s="80">
        <v>19555</v>
      </c>
      <c r="Q164" s="80">
        <v>13748</v>
      </c>
      <c r="R164" s="80">
        <v>5807</v>
      </c>
      <c r="S164" s="80">
        <v>5050</v>
      </c>
      <c r="T164" s="80">
        <v>757</v>
      </c>
      <c r="U164" s="80">
        <v>53492</v>
      </c>
      <c r="V164" s="80">
        <v>4712</v>
      </c>
      <c r="W164" s="80">
        <v>4613</v>
      </c>
      <c r="X164" s="80">
        <v>1269</v>
      </c>
      <c r="Y164" s="80">
        <v>-64281</v>
      </c>
      <c r="Z164" s="80">
        <v>41717</v>
      </c>
      <c r="AA164" s="80">
        <v>37316</v>
      </c>
      <c r="AB164" s="80">
        <v>1514</v>
      </c>
      <c r="AC164" s="80">
        <v>2887</v>
      </c>
      <c r="AD164" s="80">
        <v>25371</v>
      </c>
      <c r="AE164" s="80">
        <v>83</v>
      </c>
      <c r="AF164" s="80">
        <v>98</v>
      </c>
      <c r="AG164" s="80">
        <v>281</v>
      </c>
      <c r="AH164" s="80">
        <v>132</v>
      </c>
      <c r="AI164" s="80">
        <v>287</v>
      </c>
      <c r="AJ164" s="80">
        <v>9</v>
      </c>
      <c r="AK164" s="80">
        <v>2890</v>
      </c>
      <c r="AL164" s="80">
        <v>2344</v>
      </c>
      <c r="AM164" s="80">
        <v>2344</v>
      </c>
      <c r="AN164" s="80">
        <v>0</v>
      </c>
      <c r="AO164" s="80">
        <v>0</v>
      </c>
      <c r="AP164" s="80">
        <v>0</v>
      </c>
      <c r="AQ164" s="80">
        <v>0</v>
      </c>
      <c r="AR164" s="80">
        <v>546</v>
      </c>
      <c r="AS164" s="80">
        <v>4</v>
      </c>
      <c r="AT164" s="80">
        <v>0</v>
      </c>
      <c r="AU164" s="80">
        <v>0</v>
      </c>
      <c r="AV164" s="80">
        <v>550</v>
      </c>
      <c r="AW164" s="81"/>
      <c r="AX164" s="80">
        <v>2862</v>
      </c>
      <c r="AY164" s="80">
        <v>2890</v>
      </c>
      <c r="AZ164" s="80">
        <v>0</v>
      </c>
      <c r="BA164" s="80">
        <v>-28</v>
      </c>
      <c r="BB164" s="80">
        <v>-8514</v>
      </c>
      <c r="BC164" s="80">
        <v>9965</v>
      </c>
      <c r="BD164" s="80">
        <v>1379</v>
      </c>
      <c r="BE164" s="80">
        <v>72</v>
      </c>
      <c r="BF164" s="80">
        <v>-5652</v>
      </c>
      <c r="BG164" s="80">
        <v>4472</v>
      </c>
      <c r="BH164" s="80">
        <v>-863</v>
      </c>
      <c r="BI164" s="80">
        <v>863</v>
      </c>
      <c r="BJ164" s="80">
        <v>0</v>
      </c>
      <c r="BK164" s="80">
        <v>9696</v>
      </c>
      <c r="BL164" s="80">
        <v>12500</v>
      </c>
      <c r="BM164" s="80">
        <v>2300</v>
      </c>
      <c r="BN164" s="80">
        <v>-504</v>
      </c>
      <c r="BO164" s="80">
        <v>0</v>
      </c>
      <c r="BP164" s="80">
        <v>-4361</v>
      </c>
      <c r="BQ164" s="80">
        <v>-157</v>
      </c>
      <c r="BR164" s="80">
        <v>0</v>
      </c>
      <c r="BS164" s="80">
        <v>-1522</v>
      </c>
      <c r="BT164" s="80">
        <v>-2682</v>
      </c>
      <c r="BU164" s="80">
        <v>-1179</v>
      </c>
      <c r="BV164" s="80">
        <v>278</v>
      </c>
      <c r="BW164" s="80">
        <v>1457</v>
      </c>
      <c r="BX164" s="81"/>
      <c r="BY164" s="80">
        <v>70551</v>
      </c>
      <c r="BZ164" s="80">
        <v>680</v>
      </c>
      <c r="CA164" s="80">
        <v>349</v>
      </c>
      <c r="CB164" s="80">
        <v>331</v>
      </c>
      <c r="CC164" s="80">
        <v>0</v>
      </c>
      <c r="CD164" s="80">
        <v>36468</v>
      </c>
      <c r="CE164" s="80">
        <v>4379</v>
      </c>
      <c r="CF164" s="80">
        <v>18192</v>
      </c>
      <c r="CG164" s="80">
        <v>8511</v>
      </c>
      <c r="CH164" s="80">
        <v>701</v>
      </c>
      <c r="CI164" s="80">
        <v>82</v>
      </c>
      <c r="CJ164" s="80">
        <v>82</v>
      </c>
      <c r="CK164" s="80">
        <v>4603</v>
      </c>
      <c r="CL164" s="80">
        <v>33403</v>
      </c>
      <c r="CM164" s="80">
        <v>17740</v>
      </c>
      <c r="CN164" s="80">
        <v>9183</v>
      </c>
      <c r="CO164" s="80">
        <v>8557</v>
      </c>
      <c r="CP164" s="80">
        <v>0</v>
      </c>
      <c r="CQ164" s="80">
        <v>15517</v>
      </c>
      <c r="CR164" s="80">
        <v>0</v>
      </c>
      <c r="CS164" s="80">
        <v>0</v>
      </c>
      <c r="CT164" s="80">
        <v>15517</v>
      </c>
      <c r="CU164" s="80">
        <v>146</v>
      </c>
      <c r="CV164" s="80">
        <v>3</v>
      </c>
      <c r="CW164" s="80">
        <v>3</v>
      </c>
      <c r="CX164" s="80">
        <v>0</v>
      </c>
      <c r="CY164" s="80">
        <v>0</v>
      </c>
      <c r="CZ164" s="80">
        <v>7672</v>
      </c>
      <c r="DA164" s="80">
        <v>0</v>
      </c>
      <c r="DB164" s="80">
        <v>0</v>
      </c>
      <c r="DC164" s="80">
        <v>0</v>
      </c>
      <c r="DD164" s="80">
        <v>0</v>
      </c>
      <c r="DE164" s="80">
        <v>0</v>
      </c>
      <c r="DF164" s="80">
        <v>0</v>
      </c>
      <c r="DG164" s="80">
        <v>7394</v>
      </c>
      <c r="DH164" s="80">
        <v>16</v>
      </c>
      <c r="DI164" s="80">
        <v>0</v>
      </c>
      <c r="DJ164" s="80">
        <v>16</v>
      </c>
      <c r="DK164" s="80">
        <v>0</v>
      </c>
      <c r="DL164" s="80">
        <v>0</v>
      </c>
      <c r="DM164" s="80">
        <v>7378</v>
      </c>
      <c r="DN164" s="80">
        <v>1921</v>
      </c>
      <c r="DO164" s="80">
        <v>930</v>
      </c>
      <c r="DP164" s="80">
        <v>1360</v>
      </c>
      <c r="DQ164" s="80">
        <v>3167</v>
      </c>
      <c r="DR164" s="80">
        <v>74</v>
      </c>
      <c r="DS164" s="80">
        <v>74</v>
      </c>
      <c r="DT164" s="80">
        <v>0</v>
      </c>
      <c r="DU164" s="80">
        <v>0</v>
      </c>
      <c r="DV164" s="80">
        <v>0</v>
      </c>
      <c r="DW164" s="80">
        <v>204</v>
      </c>
      <c r="DX164" s="80">
        <v>78226</v>
      </c>
      <c r="DY164" s="80">
        <v>36478</v>
      </c>
      <c r="DZ164" s="80">
        <v>35388</v>
      </c>
      <c r="EA164" s="80">
        <v>442</v>
      </c>
      <c r="EB164" s="80">
        <v>0</v>
      </c>
      <c r="EC164" s="80">
        <v>98</v>
      </c>
      <c r="ED164" s="80">
        <v>550</v>
      </c>
      <c r="EE164" s="80">
        <v>93</v>
      </c>
      <c r="EF164" s="80">
        <v>93</v>
      </c>
      <c r="EG164" s="80">
        <v>0</v>
      </c>
      <c r="EH164" s="80">
        <v>0</v>
      </c>
      <c r="EI164" s="80">
        <v>0</v>
      </c>
      <c r="EJ164" s="80">
        <v>0</v>
      </c>
      <c r="EK164" s="80">
        <v>139</v>
      </c>
      <c r="EL164" s="80">
        <v>1</v>
      </c>
      <c r="EM164" s="80">
        <v>124</v>
      </c>
      <c r="EN164" s="80">
        <v>14</v>
      </c>
      <c r="EO164" s="80">
        <v>41514</v>
      </c>
      <c r="EP164" s="80">
        <v>25693</v>
      </c>
      <c r="EQ164" s="80">
        <v>0</v>
      </c>
      <c r="ER164" s="80">
        <v>25693</v>
      </c>
      <c r="ES164" s="80">
        <v>2443</v>
      </c>
      <c r="ET164" s="80">
        <v>23250</v>
      </c>
      <c r="EU164" s="80">
        <v>0</v>
      </c>
      <c r="EV164" s="80">
        <v>0</v>
      </c>
      <c r="EW164" s="80">
        <v>0</v>
      </c>
      <c r="EX164" s="80">
        <v>0</v>
      </c>
      <c r="EY164" s="80">
        <v>0</v>
      </c>
      <c r="EZ164" s="80">
        <v>0</v>
      </c>
      <c r="FA164" s="80">
        <v>0</v>
      </c>
      <c r="FB164" s="80">
        <v>0</v>
      </c>
      <c r="FC164" s="80">
        <v>0</v>
      </c>
      <c r="FD164" s="80">
        <v>15821</v>
      </c>
      <c r="FE164" s="80">
        <v>0</v>
      </c>
      <c r="FF164" s="80">
        <v>10157</v>
      </c>
      <c r="FG164" s="80">
        <v>0</v>
      </c>
      <c r="FH164" s="80">
        <v>8000</v>
      </c>
      <c r="FI164" s="80">
        <v>2157</v>
      </c>
      <c r="FJ164" s="80">
        <v>0</v>
      </c>
      <c r="FK164" s="80">
        <v>7</v>
      </c>
      <c r="FL164" s="80">
        <v>0</v>
      </c>
      <c r="FM164" s="80">
        <v>0</v>
      </c>
      <c r="FN164" s="80">
        <v>2976</v>
      </c>
      <c r="FO164" s="80">
        <v>338</v>
      </c>
      <c r="FP164" s="80">
        <v>2343</v>
      </c>
      <c r="FQ164" s="80">
        <v>78224</v>
      </c>
      <c r="FR164" s="80">
        <v>13754</v>
      </c>
      <c r="FS164" s="80">
        <v>225</v>
      </c>
      <c r="FT164" s="100">
        <v>32365.25643944386</v>
      </c>
      <c r="FU164" s="100"/>
      <c r="FV164" s="100">
        <v>11107</v>
      </c>
      <c r="FW164" s="67">
        <v>2340</v>
      </c>
      <c r="FX164" s="100">
        <f t="shared" si="15"/>
        <v>-36268</v>
      </c>
      <c r="FY164" s="100">
        <f t="shared" si="16"/>
        <v>-61937</v>
      </c>
      <c r="FZ164" s="100">
        <v>42780.164424313545</v>
      </c>
      <c r="GA164" s="67">
        <v>25669</v>
      </c>
      <c r="GB164" s="58">
        <f t="shared" si="13"/>
        <v>14562</v>
      </c>
      <c r="GC164" s="67">
        <v>2344</v>
      </c>
      <c r="GD164" s="100">
        <v>5483</v>
      </c>
      <c r="GE164" s="100">
        <v>717</v>
      </c>
      <c r="GF164" s="58">
        <f t="shared" si="14"/>
        <v>4766</v>
      </c>
      <c r="GG164" s="100">
        <v>-20338.417000000001</v>
      </c>
      <c r="GH164" s="100">
        <v>-461.13380000000018</v>
      </c>
      <c r="GI164" s="100">
        <v>-22391.427812967257</v>
      </c>
      <c r="GJ164" s="67">
        <f t="shared" si="17"/>
        <v>4</v>
      </c>
      <c r="GK164" s="67"/>
      <c r="GM164" s="96"/>
    </row>
    <row r="165" spans="1:195" ht="13.5" customHeight="1" x14ac:dyDescent="0.2">
      <c r="A165" s="74">
        <v>507</v>
      </c>
      <c r="B165" s="75" t="s">
        <v>112</v>
      </c>
      <c r="C165" s="75" t="s">
        <v>112</v>
      </c>
      <c r="D165" s="76"/>
      <c r="E165" s="77" t="s">
        <v>220</v>
      </c>
      <c r="F165" s="78">
        <v>3</v>
      </c>
      <c r="G165" s="79">
        <v>6159</v>
      </c>
      <c r="H165" s="80">
        <v>7555</v>
      </c>
      <c r="I165" s="80">
        <v>2766</v>
      </c>
      <c r="J165" s="80">
        <v>2628</v>
      </c>
      <c r="K165" s="80">
        <v>1163</v>
      </c>
      <c r="L165" s="80">
        <v>998</v>
      </c>
      <c r="M165" s="80">
        <v>0</v>
      </c>
      <c r="N165" s="80">
        <v>0</v>
      </c>
      <c r="O165" s="80">
        <v>43768</v>
      </c>
      <c r="P165" s="80">
        <v>20022</v>
      </c>
      <c r="Q165" s="80">
        <v>15242</v>
      </c>
      <c r="R165" s="80">
        <v>4780</v>
      </c>
      <c r="S165" s="80">
        <v>3958</v>
      </c>
      <c r="T165" s="80">
        <v>822</v>
      </c>
      <c r="U165" s="80">
        <v>18753</v>
      </c>
      <c r="V165" s="80">
        <v>2444</v>
      </c>
      <c r="W165" s="80">
        <v>1921</v>
      </c>
      <c r="X165" s="80">
        <v>628</v>
      </c>
      <c r="Y165" s="80">
        <v>-36213</v>
      </c>
      <c r="Z165" s="80">
        <v>21219</v>
      </c>
      <c r="AA165" s="80">
        <v>16367</v>
      </c>
      <c r="AB165" s="80">
        <v>2304</v>
      </c>
      <c r="AC165" s="80">
        <v>2548</v>
      </c>
      <c r="AD165" s="80">
        <v>18150</v>
      </c>
      <c r="AE165" s="80">
        <v>-112</v>
      </c>
      <c r="AF165" s="80">
        <v>9</v>
      </c>
      <c r="AG165" s="80">
        <v>174</v>
      </c>
      <c r="AH165" s="80">
        <v>149</v>
      </c>
      <c r="AI165" s="80">
        <v>279</v>
      </c>
      <c r="AJ165" s="80">
        <v>16</v>
      </c>
      <c r="AK165" s="80">
        <v>3044</v>
      </c>
      <c r="AL165" s="80">
        <v>2197</v>
      </c>
      <c r="AM165" s="80">
        <v>1797</v>
      </c>
      <c r="AN165" s="80">
        <v>400</v>
      </c>
      <c r="AO165" s="80">
        <v>20</v>
      </c>
      <c r="AP165" s="80">
        <v>20</v>
      </c>
      <c r="AQ165" s="80">
        <v>0</v>
      </c>
      <c r="AR165" s="80">
        <v>867</v>
      </c>
      <c r="AS165" s="80">
        <v>0</v>
      </c>
      <c r="AT165" s="80">
        <v>0</v>
      </c>
      <c r="AU165" s="80">
        <v>0</v>
      </c>
      <c r="AV165" s="80">
        <v>867</v>
      </c>
      <c r="AW165" s="81"/>
      <c r="AX165" s="80">
        <v>1962</v>
      </c>
      <c r="AY165" s="80">
        <v>3044</v>
      </c>
      <c r="AZ165" s="80">
        <v>20</v>
      </c>
      <c r="BA165" s="80">
        <v>-1102</v>
      </c>
      <c r="BB165" s="80">
        <v>-3181</v>
      </c>
      <c r="BC165" s="80">
        <v>3786</v>
      </c>
      <c r="BD165" s="80">
        <v>225</v>
      </c>
      <c r="BE165" s="80">
        <v>380</v>
      </c>
      <c r="BF165" s="80">
        <v>-1219</v>
      </c>
      <c r="BG165" s="80">
        <v>1647</v>
      </c>
      <c r="BH165" s="80">
        <v>14</v>
      </c>
      <c r="BI165" s="80">
        <v>43</v>
      </c>
      <c r="BJ165" s="80">
        <v>57</v>
      </c>
      <c r="BK165" s="80">
        <v>826</v>
      </c>
      <c r="BL165" s="80">
        <v>4000</v>
      </c>
      <c r="BM165" s="80">
        <v>1174</v>
      </c>
      <c r="BN165" s="80">
        <v>-2000</v>
      </c>
      <c r="BO165" s="80">
        <v>0</v>
      </c>
      <c r="BP165" s="80">
        <v>807</v>
      </c>
      <c r="BQ165" s="80">
        <v>-6</v>
      </c>
      <c r="BR165" s="80">
        <v>8</v>
      </c>
      <c r="BS165" s="80">
        <v>365</v>
      </c>
      <c r="BT165" s="80">
        <v>440</v>
      </c>
      <c r="BU165" s="80">
        <v>428</v>
      </c>
      <c r="BV165" s="80">
        <v>1682</v>
      </c>
      <c r="BW165" s="80">
        <v>1254</v>
      </c>
      <c r="BX165" s="81"/>
      <c r="BY165" s="80">
        <v>35227</v>
      </c>
      <c r="BZ165" s="80">
        <v>247</v>
      </c>
      <c r="CA165" s="80">
        <v>0</v>
      </c>
      <c r="CB165" s="80">
        <v>247</v>
      </c>
      <c r="CC165" s="80">
        <v>0</v>
      </c>
      <c r="CD165" s="80">
        <v>28686</v>
      </c>
      <c r="CE165" s="80">
        <v>4102</v>
      </c>
      <c r="CF165" s="80">
        <v>17801</v>
      </c>
      <c r="CG165" s="80">
        <v>3552</v>
      </c>
      <c r="CH165" s="80">
        <v>452</v>
      </c>
      <c r="CI165" s="80">
        <v>59</v>
      </c>
      <c r="CJ165" s="80">
        <v>59</v>
      </c>
      <c r="CK165" s="80">
        <v>2720</v>
      </c>
      <c r="CL165" s="80">
        <v>6294</v>
      </c>
      <c r="CM165" s="80">
        <v>4683</v>
      </c>
      <c r="CN165" s="80">
        <v>2070</v>
      </c>
      <c r="CO165" s="80">
        <v>2613</v>
      </c>
      <c r="CP165" s="80">
        <v>0</v>
      </c>
      <c r="CQ165" s="80">
        <v>1329</v>
      </c>
      <c r="CR165" s="80">
        <v>0</v>
      </c>
      <c r="CS165" s="80">
        <v>0</v>
      </c>
      <c r="CT165" s="80">
        <v>1329</v>
      </c>
      <c r="CU165" s="80">
        <v>282</v>
      </c>
      <c r="CV165" s="80">
        <v>239</v>
      </c>
      <c r="CW165" s="80">
        <v>0</v>
      </c>
      <c r="CX165" s="80">
        <v>239</v>
      </c>
      <c r="CY165" s="80">
        <v>0</v>
      </c>
      <c r="CZ165" s="80">
        <v>4262</v>
      </c>
      <c r="DA165" s="80">
        <v>42</v>
      </c>
      <c r="DB165" s="80">
        <v>0</v>
      </c>
      <c r="DC165" s="80">
        <v>0</v>
      </c>
      <c r="DD165" s="80">
        <v>0</v>
      </c>
      <c r="DE165" s="80">
        <v>42</v>
      </c>
      <c r="DF165" s="80">
        <v>0</v>
      </c>
      <c r="DG165" s="80">
        <v>2538</v>
      </c>
      <c r="DH165" s="80">
        <v>641</v>
      </c>
      <c r="DI165" s="80">
        <v>70</v>
      </c>
      <c r="DJ165" s="80">
        <v>0</v>
      </c>
      <c r="DK165" s="80">
        <v>571</v>
      </c>
      <c r="DL165" s="80">
        <v>0</v>
      </c>
      <c r="DM165" s="80">
        <v>1897</v>
      </c>
      <c r="DN165" s="80">
        <v>931</v>
      </c>
      <c r="DO165" s="80">
        <v>0</v>
      </c>
      <c r="DP165" s="80">
        <v>825</v>
      </c>
      <c r="DQ165" s="80">
        <v>141</v>
      </c>
      <c r="DR165" s="80">
        <v>0</v>
      </c>
      <c r="DS165" s="80">
        <v>0</v>
      </c>
      <c r="DT165" s="80">
        <v>0</v>
      </c>
      <c r="DU165" s="80">
        <v>0</v>
      </c>
      <c r="DV165" s="80">
        <v>0</v>
      </c>
      <c r="DW165" s="80">
        <v>1682</v>
      </c>
      <c r="DX165" s="80">
        <v>39728</v>
      </c>
      <c r="DY165" s="80">
        <v>20496</v>
      </c>
      <c r="DZ165" s="80">
        <v>15499</v>
      </c>
      <c r="EA165" s="80">
        <v>0</v>
      </c>
      <c r="EB165" s="80">
        <v>0</v>
      </c>
      <c r="EC165" s="80">
        <v>4130</v>
      </c>
      <c r="ED165" s="80">
        <v>867</v>
      </c>
      <c r="EE165" s="80">
        <v>0</v>
      </c>
      <c r="EF165" s="80">
        <v>0</v>
      </c>
      <c r="EG165" s="80">
        <v>0</v>
      </c>
      <c r="EH165" s="80">
        <v>0</v>
      </c>
      <c r="EI165" s="80">
        <v>0</v>
      </c>
      <c r="EJ165" s="80">
        <v>0</v>
      </c>
      <c r="EK165" s="80">
        <v>379</v>
      </c>
      <c r="EL165" s="80">
        <v>0</v>
      </c>
      <c r="EM165" s="80">
        <v>239</v>
      </c>
      <c r="EN165" s="80">
        <v>140</v>
      </c>
      <c r="EO165" s="80">
        <v>18853</v>
      </c>
      <c r="EP165" s="80">
        <v>11392</v>
      </c>
      <c r="EQ165" s="80">
        <v>0</v>
      </c>
      <c r="ER165" s="80">
        <v>10910</v>
      </c>
      <c r="ES165" s="80">
        <v>0</v>
      </c>
      <c r="ET165" s="80">
        <v>10910</v>
      </c>
      <c r="EU165" s="80">
        <v>0</v>
      </c>
      <c r="EV165" s="80">
        <v>0</v>
      </c>
      <c r="EW165" s="80">
        <v>0</v>
      </c>
      <c r="EX165" s="80">
        <v>0</v>
      </c>
      <c r="EY165" s="80">
        <v>0</v>
      </c>
      <c r="EZ165" s="80">
        <v>0</v>
      </c>
      <c r="FA165" s="80">
        <v>482</v>
      </c>
      <c r="FB165" s="80">
        <v>0</v>
      </c>
      <c r="FC165" s="80">
        <v>0</v>
      </c>
      <c r="FD165" s="80">
        <v>7461</v>
      </c>
      <c r="FE165" s="80">
        <v>0</v>
      </c>
      <c r="FF165" s="80">
        <v>1388</v>
      </c>
      <c r="FG165" s="80">
        <v>0</v>
      </c>
      <c r="FH165" s="80">
        <v>1388</v>
      </c>
      <c r="FI165" s="80">
        <v>0</v>
      </c>
      <c r="FJ165" s="80">
        <v>0</v>
      </c>
      <c r="FK165" s="80">
        <v>0</v>
      </c>
      <c r="FL165" s="80">
        <v>0</v>
      </c>
      <c r="FM165" s="80">
        <v>145</v>
      </c>
      <c r="FN165" s="80">
        <v>2968</v>
      </c>
      <c r="FO165" s="80">
        <v>343</v>
      </c>
      <c r="FP165" s="80">
        <v>2617</v>
      </c>
      <c r="FQ165" s="80">
        <v>39728</v>
      </c>
      <c r="FR165" s="80">
        <v>4120</v>
      </c>
      <c r="FS165" s="80">
        <v>1896</v>
      </c>
      <c r="FT165" s="100">
        <v>22246.814507644409</v>
      </c>
      <c r="FU165" s="100"/>
      <c r="FV165" s="100">
        <v>10014</v>
      </c>
      <c r="FW165" s="67">
        <v>2138</v>
      </c>
      <c r="FX165" s="100">
        <f t="shared" si="15"/>
        <v>-20387</v>
      </c>
      <c r="FY165" s="100">
        <f t="shared" si="16"/>
        <v>-34016</v>
      </c>
      <c r="FZ165" s="100">
        <v>24333.555037237384</v>
      </c>
      <c r="GA165" s="67">
        <v>13629</v>
      </c>
      <c r="GB165" s="58">
        <f t="shared" si="13"/>
        <v>3615</v>
      </c>
      <c r="GC165" s="67">
        <v>2197</v>
      </c>
      <c r="GD165" s="100">
        <v>2628</v>
      </c>
      <c r="GE165" s="100">
        <v>391</v>
      </c>
      <c r="GF165" s="58">
        <f t="shared" si="14"/>
        <v>2237</v>
      </c>
      <c r="GG165" s="100">
        <v>-9895.5280000000002</v>
      </c>
      <c r="GH165" s="100">
        <v>-651.75395000000015</v>
      </c>
      <c r="GI165" s="100">
        <v>-14223.119149605356</v>
      </c>
      <c r="GJ165" s="67">
        <f t="shared" si="17"/>
        <v>59</v>
      </c>
      <c r="GK165" s="67"/>
      <c r="GM165" s="96"/>
    </row>
    <row r="166" spans="1:195" ht="13.5" customHeight="1" x14ac:dyDescent="0.2">
      <c r="A166" s="74">
        <v>504</v>
      </c>
      <c r="B166" s="75" t="s">
        <v>282</v>
      </c>
      <c r="C166" s="82" t="s">
        <v>282</v>
      </c>
      <c r="D166" s="76"/>
      <c r="E166" s="77" t="s">
        <v>218</v>
      </c>
      <c r="F166" s="78">
        <v>1</v>
      </c>
      <c r="G166" s="79">
        <v>1969</v>
      </c>
      <c r="H166" s="80">
        <v>1099</v>
      </c>
      <c r="I166" s="80">
        <v>433</v>
      </c>
      <c r="J166" s="80">
        <v>137</v>
      </c>
      <c r="K166" s="80">
        <v>83</v>
      </c>
      <c r="L166" s="80">
        <v>446</v>
      </c>
      <c r="M166" s="80">
        <v>0</v>
      </c>
      <c r="N166" s="80">
        <v>0</v>
      </c>
      <c r="O166" s="80">
        <v>11126</v>
      </c>
      <c r="P166" s="80">
        <v>2112</v>
      </c>
      <c r="Q166" s="80">
        <v>1500</v>
      </c>
      <c r="R166" s="80">
        <v>612</v>
      </c>
      <c r="S166" s="80">
        <v>560</v>
      </c>
      <c r="T166" s="80">
        <v>52</v>
      </c>
      <c r="U166" s="80">
        <v>8348</v>
      </c>
      <c r="V166" s="80">
        <v>430</v>
      </c>
      <c r="W166" s="80">
        <v>181</v>
      </c>
      <c r="X166" s="80">
        <v>55</v>
      </c>
      <c r="Y166" s="80">
        <v>-10027</v>
      </c>
      <c r="Z166" s="80">
        <v>6349</v>
      </c>
      <c r="AA166" s="80">
        <v>5522</v>
      </c>
      <c r="AB166" s="80">
        <v>427</v>
      </c>
      <c r="AC166" s="80">
        <v>400</v>
      </c>
      <c r="AD166" s="80">
        <v>4413</v>
      </c>
      <c r="AE166" s="80">
        <v>255</v>
      </c>
      <c r="AF166" s="80">
        <v>1</v>
      </c>
      <c r="AG166" s="80">
        <v>275</v>
      </c>
      <c r="AH166" s="80">
        <v>275</v>
      </c>
      <c r="AI166" s="80">
        <v>20</v>
      </c>
      <c r="AJ166" s="80">
        <v>1</v>
      </c>
      <c r="AK166" s="80">
        <v>990</v>
      </c>
      <c r="AL166" s="80">
        <v>544</v>
      </c>
      <c r="AM166" s="80">
        <v>478</v>
      </c>
      <c r="AN166" s="80">
        <v>66</v>
      </c>
      <c r="AO166" s="80">
        <v>0</v>
      </c>
      <c r="AP166" s="80">
        <v>0</v>
      </c>
      <c r="AQ166" s="80">
        <v>0</v>
      </c>
      <c r="AR166" s="80">
        <v>446</v>
      </c>
      <c r="AS166" s="80">
        <v>0</v>
      </c>
      <c r="AT166" s="80">
        <v>0</v>
      </c>
      <c r="AU166" s="80">
        <v>0</v>
      </c>
      <c r="AV166" s="80">
        <v>446</v>
      </c>
      <c r="AW166" s="81"/>
      <c r="AX166" s="80">
        <v>1072</v>
      </c>
      <c r="AY166" s="80">
        <v>990</v>
      </c>
      <c r="AZ166" s="80">
        <v>0</v>
      </c>
      <c r="BA166" s="80">
        <v>82</v>
      </c>
      <c r="BB166" s="80">
        <v>-919</v>
      </c>
      <c r="BC166" s="80">
        <v>1723</v>
      </c>
      <c r="BD166" s="80">
        <v>804</v>
      </c>
      <c r="BE166" s="80">
        <v>0</v>
      </c>
      <c r="BF166" s="80">
        <v>153</v>
      </c>
      <c r="BG166" s="80">
        <v>272</v>
      </c>
      <c r="BH166" s="80">
        <v>0</v>
      </c>
      <c r="BI166" s="80">
        <v>0</v>
      </c>
      <c r="BJ166" s="80">
        <v>0</v>
      </c>
      <c r="BK166" s="80">
        <v>-12</v>
      </c>
      <c r="BL166" s="80">
        <v>0</v>
      </c>
      <c r="BM166" s="80">
        <v>40</v>
      </c>
      <c r="BN166" s="80">
        <v>28</v>
      </c>
      <c r="BO166" s="80">
        <v>-82</v>
      </c>
      <c r="BP166" s="80">
        <v>366</v>
      </c>
      <c r="BQ166" s="80">
        <v>0</v>
      </c>
      <c r="BR166" s="80">
        <v>0</v>
      </c>
      <c r="BS166" s="80">
        <v>651</v>
      </c>
      <c r="BT166" s="80">
        <v>-285</v>
      </c>
      <c r="BU166" s="80">
        <v>425</v>
      </c>
      <c r="BV166" s="80">
        <v>605</v>
      </c>
      <c r="BW166" s="80">
        <v>180</v>
      </c>
      <c r="BX166" s="81"/>
      <c r="BY166" s="80">
        <v>12342</v>
      </c>
      <c r="BZ166" s="80">
        <v>94</v>
      </c>
      <c r="CA166" s="80">
        <v>0</v>
      </c>
      <c r="CB166" s="80">
        <v>94</v>
      </c>
      <c r="CC166" s="80">
        <v>0</v>
      </c>
      <c r="CD166" s="80">
        <v>10208</v>
      </c>
      <c r="CE166" s="80">
        <v>1423</v>
      </c>
      <c r="CF166" s="80">
        <v>6319</v>
      </c>
      <c r="CG166" s="80">
        <v>2214</v>
      </c>
      <c r="CH166" s="80">
        <v>194</v>
      </c>
      <c r="CI166" s="80">
        <v>58</v>
      </c>
      <c r="CJ166" s="80">
        <v>58</v>
      </c>
      <c r="CK166" s="80">
        <v>0</v>
      </c>
      <c r="CL166" s="80">
        <v>2040</v>
      </c>
      <c r="CM166" s="80">
        <v>2039</v>
      </c>
      <c r="CN166" s="80">
        <v>1179</v>
      </c>
      <c r="CO166" s="80">
        <v>860</v>
      </c>
      <c r="CP166" s="80">
        <v>0</v>
      </c>
      <c r="CQ166" s="80">
        <v>0</v>
      </c>
      <c r="CR166" s="80">
        <v>0</v>
      </c>
      <c r="CS166" s="80">
        <v>0</v>
      </c>
      <c r="CT166" s="80">
        <v>0</v>
      </c>
      <c r="CU166" s="80">
        <v>1</v>
      </c>
      <c r="CV166" s="80">
        <v>0</v>
      </c>
      <c r="CW166" s="80">
        <v>0</v>
      </c>
      <c r="CX166" s="80">
        <v>0</v>
      </c>
      <c r="CY166" s="80">
        <v>0</v>
      </c>
      <c r="CZ166" s="80">
        <v>964</v>
      </c>
      <c r="DA166" s="80">
        <v>0</v>
      </c>
      <c r="DB166" s="80">
        <v>0</v>
      </c>
      <c r="DC166" s="80">
        <v>0</v>
      </c>
      <c r="DD166" s="80">
        <v>0</v>
      </c>
      <c r="DE166" s="80">
        <v>0</v>
      </c>
      <c r="DF166" s="80">
        <v>0</v>
      </c>
      <c r="DG166" s="80">
        <v>359</v>
      </c>
      <c r="DH166" s="80">
        <v>0</v>
      </c>
      <c r="DI166" s="80">
        <v>0</v>
      </c>
      <c r="DJ166" s="80">
        <v>0</v>
      </c>
      <c r="DK166" s="80">
        <v>0</v>
      </c>
      <c r="DL166" s="80">
        <v>0</v>
      </c>
      <c r="DM166" s="80">
        <v>359</v>
      </c>
      <c r="DN166" s="80">
        <v>83</v>
      </c>
      <c r="DO166" s="80">
        <v>0</v>
      </c>
      <c r="DP166" s="80">
        <v>12</v>
      </c>
      <c r="DQ166" s="80">
        <v>264</v>
      </c>
      <c r="DR166" s="80">
        <v>0</v>
      </c>
      <c r="DS166" s="80">
        <v>0</v>
      </c>
      <c r="DT166" s="80">
        <v>0</v>
      </c>
      <c r="DU166" s="80">
        <v>0</v>
      </c>
      <c r="DV166" s="80">
        <v>0</v>
      </c>
      <c r="DW166" s="80">
        <v>605</v>
      </c>
      <c r="DX166" s="80">
        <v>13306</v>
      </c>
      <c r="DY166" s="80">
        <v>8407</v>
      </c>
      <c r="DZ166" s="80">
        <v>6447</v>
      </c>
      <c r="EA166" s="80">
        <v>174</v>
      </c>
      <c r="EB166" s="80">
        <v>0</v>
      </c>
      <c r="EC166" s="80">
        <v>1340</v>
      </c>
      <c r="ED166" s="80">
        <v>446</v>
      </c>
      <c r="EE166" s="80">
        <v>0</v>
      </c>
      <c r="EF166" s="80">
        <v>0</v>
      </c>
      <c r="EG166" s="80">
        <v>0</v>
      </c>
      <c r="EH166" s="80">
        <v>82</v>
      </c>
      <c r="EI166" s="80">
        <v>0</v>
      </c>
      <c r="EJ166" s="80">
        <v>82</v>
      </c>
      <c r="EK166" s="80">
        <v>7</v>
      </c>
      <c r="EL166" s="80">
        <v>0</v>
      </c>
      <c r="EM166" s="80">
        <v>7</v>
      </c>
      <c r="EN166" s="80">
        <v>0</v>
      </c>
      <c r="EO166" s="80">
        <v>4810</v>
      </c>
      <c r="EP166" s="80">
        <v>1748</v>
      </c>
      <c r="EQ166" s="80">
        <v>0</v>
      </c>
      <c r="ER166" s="80">
        <v>693</v>
      </c>
      <c r="ES166" s="80">
        <v>201</v>
      </c>
      <c r="ET166" s="80">
        <v>492</v>
      </c>
      <c r="EU166" s="80">
        <v>0</v>
      </c>
      <c r="EV166" s="80">
        <v>0</v>
      </c>
      <c r="EW166" s="80">
        <v>110</v>
      </c>
      <c r="EX166" s="80">
        <v>0</v>
      </c>
      <c r="EY166" s="80">
        <v>0</v>
      </c>
      <c r="EZ166" s="80">
        <v>0</v>
      </c>
      <c r="FA166" s="80">
        <v>945</v>
      </c>
      <c r="FB166" s="80">
        <v>0</v>
      </c>
      <c r="FC166" s="80">
        <v>0</v>
      </c>
      <c r="FD166" s="80">
        <v>3062</v>
      </c>
      <c r="FE166" s="80">
        <v>0</v>
      </c>
      <c r="FF166" s="80">
        <v>2220</v>
      </c>
      <c r="FG166" s="80">
        <v>2220</v>
      </c>
      <c r="FH166" s="80">
        <v>0</v>
      </c>
      <c r="FI166" s="80">
        <v>0</v>
      </c>
      <c r="FJ166" s="80">
        <v>0</v>
      </c>
      <c r="FK166" s="80">
        <v>23</v>
      </c>
      <c r="FL166" s="80">
        <v>0</v>
      </c>
      <c r="FM166" s="80">
        <v>3</v>
      </c>
      <c r="FN166" s="80">
        <v>509</v>
      </c>
      <c r="FO166" s="80">
        <v>68</v>
      </c>
      <c r="FP166" s="80">
        <v>239</v>
      </c>
      <c r="FQ166" s="80">
        <v>13306</v>
      </c>
      <c r="FR166" s="80">
        <v>0</v>
      </c>
      <c r="FS166" s="80">
        <v>1135</v>
      </c>
      <c r="FT166" s="100">
        <v>4862.1008308960118</v>
      </c>
      <c r="FU166" s="100"/>
      <c r="FV166" s="100">
        <v>1287</v>
      </c>
      <c r="FW166" s="67">
        <v>545</v>
      </c>
      <c r="FX166" s="100">
        <f t="shared" si="15"/>
        <v>-8196</v>
      </c>
      <c r="FY166" s="100">
        <f t="shared" si="16"/>
        <v>-9483</v>
      </c>
      <c r="FZ166" s="100">
        <v>6197.9576103124318</v>
      </c>
      <c r="GA166" s="67">
        <v>1287</v>
      </c>
      <c r="GB166" s="58">
        <f t="shared" si="13"/>
        <v>0</v>
      </c>
      <c r="GC166" s="67">
        <v>545</v>
      </c>
      <c r="GD166" s="100">
        <v>137</v>
      </c>
      <c r="GE166" s="100">
        <v>137</v>
      </c>
      <c r="GF166" s="58">
        <f t="shared" si="14"/>
        <v>0</v>
      </c>
      <c r="GG166" s="100">
        <v>-3039.0460000000003</v>
      </c>
      <c r="GH166" s="100">
        <v>-132.49620000000004</v>
      </c>
      <c r="GI166" s="100">
        <v>-3062.1558629268925</v>
      </c>
      <c r="GJ166" s="67">
        <f t="shared" si="17"/>
        <v>0</v>
      </c>
      <c r="GK166" s="67"/>
      <c r="GM166" s="96"/>
    </row>
    <row r="167" spans="1:195" ht="13.5" customHeight="1" x14ac:dyDescent="0.2">
      <c r="A167" s="74">
        <v>531</v>
      </c>
      <c r="B167" s="75" t="s">
        <v>113</v>
      </c>
      <c r="C167" s="75" t="s">
        <v>113</v>
      </c>
      <c r="D167" s="76"/>
      <c r="E167" s="77" t="s">
        <v>224</v>
      </c>
      <c r="F167" s="78">
        <v>3</v>
      </c>
      <c r="G167" s="79">
        <v>5651</v>
      </c>
      <c r="H167" s="80">
        <v>3919</v>
      </c>
      <c r="I167" s="80">
        <v>1370</v>
      </c>
      <c r="J167" s="80">
        <v>1386</v>
      </c>
      <c r="K167" s="80">
        <v>672</v>
      </c>
      <c r="L167" s="80">
        <v>491</v>
      </c>
      <c r="M167" s="80">
        <v>0</v>
      </c>
      <c r="N167" s="80">
        <v>0</v>
      </c>
      <c r="O167" s="80">
        <v>32806</v>
      </c>
      <c r="P167" s="80">
        <v>12961</v>
      </c>
      <c r="Q167" s="80">
        <v>9851</v>
      </c>
      <c r="R167" s="80">
        <v>3110</v>
      </c>
      <c r="S167" s="80">
        <v>2487</v>
      </c>
      <c r="T167" s="80">
        <v>623</v>
      </c>
      <c r="U167" s="80">
        <v>16343</v>
      </c>
      <c r="V167" s="80">
        <v>1629</v>
      </c>
      <c r="W167" s="80">
        <v>1460</v>
      </c>
      <c r="X167" s="80">
        <v>413</v>
      </c>
      <c r="Y167" s="80">
        <v>-28887</v>
      </c>
      <c r="Z167" s="80">
        <v>19068</v>
      </c>
      <c r="AA167" s="80">
        <v>17133</v>
      </c>
      <c r="AB167" s="80">
        <v>677</v>
      </c>
      <c r="AC167" s="80">
        <v>1258</v>
      </c>
      <c r="AD167" s="80">
        <v>11026</v>
      </c>
      <c r="AE167" s="80">
        <v>11</v>
      </c>
      <c r="AF167" s="80">
        <v>26</v>
      </c>
      <c r="AG167" s="80">
        <v>45</v>
      </c>
      <c r="AH167" s="80">
        <v>14</v>
      </c>
      <c r="AI167" s="80">
        <v>59</v>
      </c>
      <c r="AJ167" s="80">
        <v>1</v>
      </c>
      <c r="AK167" s="80">
        <v>1218</v>
      </c>
      <c r="AL167" s="80">
        <v>1260</v>
      </c>
      <c r="AM167" s="80">
        <v>1260</v>
      </c>
      <c r="AN167" s="80">
        <v>0</v>
      </c>
      <c r="AO167" s="80">
        <v>0</v>
      </c>
      <c r="AP167" s="80">
        <v>0</v>
      </c>
      <c r="AQ167" s="80">
        <v>0</v>
      </c>
      <c r="AR167" s="80">
        <v>-42</v>
      </c>
      <c r="AS167" s="80">
        <v>33</v>
      </c>
      <c r="AT167" s="80">
        <v>0</v>
      </c>
      <c r="AU167" s="80">
        <v>0</v>
      </c>
      <c r="AV167" s="80">
        <v>-9</v>
      </c>
      <c r="AW167" s="81"/>
      <c r="AX167" s="80">
        <v>1176</v>
      </c>
      <c r="AY167" s="80">
        <v>1218</v>
      </c>
      <c r="AZ167" s="80">
        <v>0</v>
      </c>
      <c r="BA167" s="80">
        <v>-42</v>
      </c>
      <c r="BB167" s="80">
        <v>-781</v>
      </c>
      <c r="BC167" s="80">
        <v>918</v>
      </c>
      <c r="BD167" s="80">
        <v>43</v>
      </c>
      <c r="BE167" s="80">
        <v>94</v>
      </c>
      <c r="BF167" s="80">
        <v>395</v>
      </c>
      <c r="BG167" s="80">
        <v>-628</v>
      </c>
      <c r="BH167" s="80">
        <v>65</v>
      </c>
      <c r="BI167" s="80">
        <v>0</v>
      </c>
      <c r="BJ167" s="80">
        <v>65</v>
      </c>
      <c r="BK167" s="80">
        <v>-900</v>
      </c>
      <c r="BL167" s="80">
        <v>0</v>
      </c>
      <c r="BM167" s="80">
        <v>900</v>
      </c>
      <c r="BN167" s="80">
        <v>0</v>
      </c>
      <c r="BO167" s="80">
        <v>0</v>
      </c>
      <c r="BP167" s="80">
        <v>207</v>
      </c>
      <c r="BQ167" s="80">
        <v>2</v>
      </c>
      <c r="BR167" s="80">
        <v>0</v>
      </c>
      <c r="BS167" s="80">
        <v>112</v>
      </c>
      <c r="BT167" s="80">
        <v>93</v>
      </c>
      <c r="BU167" s="80">
        <v>-231</v>
      </c>
      <c r="BV167" s="80">
        <v>3105</v>
      </c>
      <c r="BW167" s="80">
        <v>3336</v>
      </c>
      <c r="BX167" s="81"/>
      <c r="BY167" s="80">
        <v>20267</v>
      </c>
      <c r="BZ167" s="80">
        <v>174</v>
      </c>
      <c r="CA167" s="80">
        <v>0</v>
      </c>
      <c r="CB167" s="80">
        <v>174</v>
      </c>
      <c r="CC167" s="80">
        <v>0</v>
      </c>
      <c r="CD167" s="80">
        <v>13393</v>
      </c>
      <c r="CE167" s="80">
        <v>3039</v>
      </c>
      <c r="CF167" s="80">
        <v>5900</v>
      </c>
      <c r="CG167" s="80">
        <v>4160</v>
      </c>
      <c r="CH167" s="80">
        <v>191</v>
      </c>
      <c r="CI167" s="80">
        <v>0</v>
      </c>
      <c r="CJ167" s="80">
        <v>0</v>
      </c>
      <c r="CK167" s="80">
        <v>103</v>
      </c>
      <c r="CL167" s="80">
        <v>6700</v>
      </c>
      <c r="CM167" s="80">
        <v>5482</v>
      </c>
      <c r="CN167" s="80">
        <v>4267</v>
      </c>
      <c r="CO167" s="80">
        <v>1215</v>
      </c>
      <c r="CP167" s="80">
        <v>0</v>
      </c>
      <c r="CQ167" s="80">
        <v>1182</v>
      </c>
      <c r="CR167" s="80">
        <v>0</v>
      </c>
      <c r="CS167" s="80">
        <v>1182</v>
      </c>
      <c r="CT167" s="80">
        <v>0</v>
      </c>
      <c r="CU167" s="80">
        <v>36</v>
      </c>
      <c r="CV167" s="80">
        <v>105</v>
      </c>
      <c r="CW167" s="80">
        <v>0</v>
      </c>
      <c r="CX167" s="80">
        <v>105</v>
      </c>
      <c r="CY167" s="80">
        <v>0</v>
      </c>
      <c r="CZ167" s="80">
        <v>4564</v>
      </c>
      <c r="DA167" s="80">
        <v>0</v>
      </c>
      <c r="DB167" s="80">
        <v>0</v>
      </c>
      <c r="DC167" s="80">
        <v>0</v>
      </c>
      <c r="DD167" s="80">
        <v>0</v>
      </c>
      <c r="DE167" s="80">
        <v>0</v>
      </c>
      <c r="DF167" s="80">
        <v>0</v>
      </c>
      <c r="DG167" s="80">
        <v>1459</v>
      </c>
      <c r="DH167" s="80">
        <v>168</v>
      </c>
      <c r="DI167" s="80">
        <v>0</v>
      </c>
      <c r="DJ167" s="80">
        <v>132</v>
      </c>
      <c r="DK167" s="80">
        <v>36</v>
      </c>
      <c r="DL167" s="80">
        <v>0</v>
      </c>
      <c r="DM167" s="80">
        <v>1291</v>
      </c>
      <c r="DN167" s="80">
        <v>692</v>
      </c>
      <c r="DO167" s="80">
        <v>40</v>
      </c>
      <c r="DP167" s="80">
        <v>60</v>
      </c>
      <c r="DQ167" s="80">
        <v>499</v>
      </c>
      <c r="DR167" s="80">
        <v>0</v>
      </c>
      <c r="DS167" s="80">
        <v>0</v>
      </c>
      <c r="DT167" s="80">
        <v>0</v>
      </c>
      <c r="DU167" s="80">
        <v>0</v>
      </c>
      <c r="DV167" s="80">
        <v>0</v>
      </c>
      <c r="DW167" s="80">
        <v>3105</v>
      </c>
      <c r="DX167" s="80">
        <v>24936</v>
      </c>
      <c r="DY167" s="80">
        <v>14359</v>
      </c>
      <c r="DZ167" s="80">
        <v>12441</v>
      </c>
      <c r="EA167" s="80">
        <v>0</v>
      </c>
      <c r="EB167" s="80">
        <v>0</v>
      </c>
      <c r="EC167" s="80">
        <v>1927</v>
      </c>
      <c r="ED167" s="80">
        <v>-9</v>
      </c>
      <c r="EE167" s="80">
        <v>277</v>
      </c>
      <c r="EF167" s="80">
        <v>277</v>
      </c>
      <c r="EG167" s="80">
        <v>0</v>
      </c>
      <c r="EH167" s="80">
        <v>0</v>
      </c>
      <c r="EI167" s="80">
        <v>0</v>
      </c>
      <c r="EJ167" s="80">
        <v>0</v>
      </c>
      <c r="EK167" s="80">
        <v>116</v>
      </c>
      <c r="EL167" s="80">
        <v>0</v>
      </c>
      <c r="EM167" s="80">
        <v>74</v>
      </c>
      <c r="EN167" s="80">
        <v>42</v>
      </c>
      <c r="EO167" s="80">
        <v>10184</v>
      </c>
      <c r="EP167" s="80">
        <v>5424</v>
      </c>
      <c r="EQ167" s="80">
        <v>0</v>
      </c>
      <c r="ER167" s="80">
        <v>4600</v>
      </c>
      <c r="ES167" s="80">
        <v>0</v>
      </c>
      <c r="ET167" s="80">
        <v>4600</v>
      </c>
      <c r="EU167" s="80">
        <v>0</v>
      </c>
      <c r="EV167" s="80">
        <v>0</v>
      </c>
      <c r="EW167" s="80">
        <v>0</v>
      </c>
      <c r="EX167" s="80">
        <v>0</v>
      </c>
      <c r="EY167" s="80">
        <v>0</v>
      </c>
      <c r="EZ167" s="80">
        <v>0</v>
      </c>
      <c r="FA167" s="80">
        <v>824</v>
      </c>
      <c r="FB167" s="80">
        <v>0</v>
      </c>
      <c r="FC167" s="80">
        <v>0</v>
      </c>
      <c r="FD167" s="80">
        <v>4760</v>
      </c>
      <c r="FE167" s="80">
        <v>0</v>
      </c>
      <c r="FF167" s="80">
        <v>850</v>
      </c>
      <c r="FG167" s="80">
        <v>0</v>
      </c>
      <c r="FH167" s="80">
        <v>850</v>
      </c>
      <c r="FI167" s="80">
        <v>0</v>
      </c>
      <c r="FJ167" s="80">
        <v>0</v>
      </c>
      <c r="FK167" s="80">
        <v>0</v>
      </c>
      <c r="FL167" s="80">
        <v>0</v>
      </c>
      <c r="FM167" s="80">
        <v>147</v>
      </c>
      <c r="FN167" s="80">
        <v>1905</v>
      </c>
      <c r="FO167" s="80">
        <v>220</v>
      </c>
      <c r="FP167" s="80">
        <v>1638</v>
      </c>
      <c r="FQ167" s="80">
        <v>24936</v>
      </c>
      <c r="FR167" s="80">
        <v>2682</v>
      </c>
      <c r="FS167" s="80">
        <v>966</v>
      </c>
      <c r="FT167" s="100">
        <v>15799.822826294068</v>
      </c>
      <c r="FU167" s="100"/>
      <c r="FV167" s="100">
        <v>5634</v>
      </c>
      <c r="FW167" s="67">
        <v>1142</v>
      </c>
      <c r="FX167" s="100">
        <f t="shared" si="15"/>
        <v>-20301</v>
      </c>
      <c r="FY167" s="100">
        <f t="shared" si="16"/>
        <v>-27627</v>
      </c>
      <c r="FZ167" s="100">
        <v>18724.348471504702</v>
      </c>
      <c r="GA167" s="67">
        <v>7326</v>
      </c>
      <c r="GB167" s="58">
        <f t="shared" si="13"/>
        <v>1692</v>
      </c>
      <c r="GC167" s="67">
        <v>1260</v>
      </c>
      <c r="GD167" s="100">
        <v>1387</v>
      </c>
      <c r="GE167" s="100">
        <v>332</v>
      </c>
      <c r="GF167" s="58">
        <f t="shared" si="14"/>
        <v>1055</v>
      </c>
      <c r="GG167" s="100">
        <v>-10012.527</v>
      </c>
      <c r="GH167" s="100">
        <v>-216.68860000000009</v>
      </c>
      <c r="GI167" s="100">
        <v>-8600.1348874640316</v>
      </c>
      <c r="GJ167" s="67">
        <f t="shared" si="17"/>
        <v>118</v>
      </c>
      <c r="GK167" s="67"/>
      <c r="GM167" s="96"/>
    </row>
    <row r="168" spans="1:195" ht="13.5" customHeight="1" x14ac:dyDescent="0.2">
      <c r="A168" s="74">
        <v>535</v>
      </c>
      <c r="B168" s="75" t="s">
        <v>114</v>
      </c>
      <c r="C168" s="75" t="s">
        <v>114</v>
      </c>
      <c r="D168" s="76"/>
      <c r="E168" s="77" t="s">
        <v>216</v>
      </c>
      <c r="F168" s="78">
        <v>4</v>
      </c>
      <c r="G168" s="79">
        <v>10876</v>
      </c>
      <c r="H168" s="80">
        <v>12280</v>
      </c>
      <c r="I168" s="80">
        <v>7924</v>
      </c>
      <c r="J168" s="80">
        <v>922</v>
      </c>
      <c r="K168" s="80">
        <v>501</v>
      </c>
      <c r="L168" s="80">
        <v>2933</v>
      </c>
      <c r="M168" s="80">
        <v>0</v>
      </c>
      <c r="N168" s="80">
        <v>32</v>
      </c>
      <c r="O168" s="80">
        <v>74416</v>
      </c>
      <c r="P168" s="80">
        <v>21186</v>
      </c>
      <c r="Q168" s="80">
        <v>15678</v>
      </c>
      <c r="R168" s="80">
        <v>5508</v>
      </c>
      <c r="S168" s="80">
        <v>4590</v>
      </c>
      <c r="T168" s="80">
        <v>918</v>
      </c>
      <c r="U168" s="80">
        <v>48930</v>
      </c>
      <c r="V168" s="80">
        <v>2723</v>
      </c>
      <c r="W168" s="80">
        <v>937</v>
      </c>
      <c r="X168" s="80">
        <v>640</v>
      </c>
      <c r="Y168" s="80">
        <v>-62104</v>
      </c>
      <c r="Z168" s="80">
        <v>31953</v>
      </c>
      <c r="AA168" s="80">
        <v>28234</v>
      </c>
      <c r="AB168" s="80">
        <v>2412</v>
      </c>
      <c r="AC168" s="80">
        <v>1307</v>
      </c>
      <c r="AD168" s="80">
        <v>32260</v>
      </c>
      <c r="AE168" s="80">
        <v>785</v>
      </c>
      <c r="AF168" s="80">
        <v>152</v>
      </c>
      <c r="AG168" s="80">
        <v>956</v>
      </c>
      <c r="AH168" s="80">
        <v>0</v>
      </c>
      <c r="AI168" s="80">
        <v>162</v>
      </c>
      <c r="AJ168" s="80">
        <v>161</v>
      </c>
      <c r="AK168" s="80">
        <v>2894</v>
      </c>
      <c r="AL168" s="80">
        <v>2011</v>
      </c>
      <c r="AM168" s="80">
        <v>2011</v>
      </c>
      <c r="AN168" s="80">
        <v>0</v>
      </c>
      <c r="AO168" s="80">
        <v>0</v>
      </c>
      <c r="AP168" s="80">
        <v>0</v>
      </c>
      <c r="AQ168" s="80">
        <v>0</v>
      </c>
      <c r="AR168" s="80">
        <v>883</v>
      </c>
      <c r="AS168" s="80">
        <v>2</v>
      </c>
      <c r="AT168" s="80">
        <v>125</v>
      </c>
      <c r="AU168" s="80">
        <v>0</v>
      </c>
      <c r="AV168" s="80">
        <v>1010</v>
      </c>
      <c r="AW168" s="81"/>
      <c r="AX168" s="80">
        <v>2745</v>
      </c>
      <c r="AY168" s="80">
        <v>2894</v>
      </c>
      <c r="AZ168" s="80">
        <v>0</v>
      </c>
      <c r="BA168" s="80">
        <v>-149</v>
      </c>
      <c r="BB168" s="80">
        <v>-2538</v>
      </c>
      <c r="BC168" s="80">
        <v>3290</v>
      </c>
      <c r="BD168" s="80">
        <v>25</v>
      </c>
      <c r="BE168" s="80">
        <v>727</v>
      </c>
      <c r="BF168" s="80">
        <v>207</v>
      </c>
      <c r="BG168" s="80">
        <v>-386</v>
      </c>
      <c r="BH168" s="80">
        <v>118</v>
      </c>
      <c r="BI168" s="80">
        <v>0</v>
      </c>
      <c r="BJ168" s="80">
        <v>118</v>
      </c>
      <c r="BK168" s="80">
        <v>-638</v>
      </c>
      <c r="BL168" s="80">
        <v>12900</v>
      </c>
      <c r="BM168" s="80">
        <v>13038</v>
      </c>
      <c r="BN168" s="80">
        <v>-500</v>
      </c>
      <c r="BO168" s="80">
        <v>0</v>
      </c>
      <c r="BP168" s="80">
        <v>134</v>
      </c>
      <c r="BQ168" s="80">
        <v>0</v>
      </c>
      <c r="BR168" s="80">
        <v>19</v>
      </c>
      <c r="BS168" s="80">
        <v>201</v>
      </c>
      <c r="BT168" s="80">
        <v>-86</v>
      </c>
      <c r="BU168" s="80">
        <v>-179</v>
      </c>
      <c r="BV168" s="80">
        <v>15565</v>
      </c>
      <c r="BW168" s="80">
        <v>15744</v>
      </c>
      <c r="BX168" s="81"/>
      <c r="BY168" s="80">
        <v>78266</v>
      </c>
      <c r="BZ168" s="80">
        <v>167</v>
      </c>
      <c r="CA168" s="80">
        <v>24</v>
      </c>
      <c r="CB168" s="80">
        <v>143</v>
      </c>
      <c r="CC168" s="80">
        <v>0</v>
      </c>
      <c r="CD168" s="80">
        <v>47904</v>
      </c>
      <c r="CE168" s="80">
        <v>6464</v>
      </c>
      <c r="CF168" s="80">
        <v>32485</v>
      </c>
      <c r="CG168" s="80">
        <v>7971</v>
      </c>
      <c r="CH168" s="80">
        <v>378</v>
      </c>
      <c r="CI168" s="80">
        <v>0</v>
      </c>
      <c r="CJ168" s="80">
        <v>0</v>
      </c>
      <c r="CK168" s="80">
        <v>606</v>
      </c>
      <c r="CL168" s="80">
        <v>30195</v>
      </c>
      <c r="CM168" s="80">
        <v>28299</v>
      </c>
      <c r="CN168" s="80">
        <v>8125</v>
      </c>
      <c r="CO168" s="80">
        <v>20174</v>
      </c>
      <c r="CP168" s="80">
        <v>0</v>
      </c>
      <c r="CQ168" s="80">
        <v>1798</v>
      </c>
      <c r="CR168" s="80">
        <v>0</v>
      </c>
      <c r="CS168" s="80">
        <v>0</v>
      </c>
      <c r="CT168" s="80">
        <v>1798</v>
      </c>
      <c r="CU168" s="80">
        <v>98</v>
      </c>
      <c r="CV168" s="80">
        <v>0</v>
      </c>
      <c r="CW168" s="80">
        <v>0</v>
      </c>
      <c r="CX168" s="80">
        <v>0</v>
      </c>
      <c r="CY168" s="80">
        <v>0</v>
      </c>
      <c r="CZ168" s="80">
        <v>17968</v>
      </c>
      <c r="DA168" s="80">
        <v>3</v>
      </c>
      <c r="DB168" s="80">
        <v>3</v>
      </c>
      <c r="DC168" s="80">
        <v>0</v>
      </c>
      <c r="DD168" s="80">
        <v>0</v>
      </c>
      <c r="DE168" s="80">
        <v>0</v>
      </c>
      <c r="DF168" s="80">
        <v>0</v>
      </c>
      <c r="DG168" s="80">
        <v>2399</v>
      </c>
      <c r="DH168" s="80">
        <v>222</v>
      </c>
      <c r="DI168" s="80">
        <v>49</v>
      </c>
      <c r="DJ168" s="80">
        <v>0</v>
      </c>
      <c r="DK168" s="80">
        <v>173</v>
      </c>
      <c r="DL168" s="80">
        <v>0</v>
      </c>
      <c r="DM168" s="80">
        <v>2177</v>
      </c>
      <c r="DN168" s="80">
        <v>463</v>
      </c>
      <c r="DO168" s="80">
        <v>781</v>
      </c>
      <c r="DP168" s="80">
        <v>455</v>
      </c>
      <c r="DQ168" s="80">
        <v>478</v>
      </c>
      <c r="DR168" s="80">
        <v>14871</v>
      </c>
      <c r="DS168" s="80">
        <v>3798</v>
      </c>
      <c r="DT168" s="80">
        <v>340</v>
      </c>
      <c r="DU168" s="80">
        <v>10524</v>
      </c>
      <c r="DV168" s="80">
        <v>209</v>
      </c>
      <c r="DW168" s="80">
        <v>695</v>
      </c>
      <c r="DX168" s="80">
        <v>96234</v>
      </c>
      <c r="DY168" s="80">
        <v>40737</v>
      </c>
      <c r="DZ168" s="80">
        <v>35757</v>
      </c>
      <c r="EA168" s="80">
        <v>0</v>
      </c>
      <c r="EB168" s="80">
        <v>2392</v>
      </c>
      <c r="EC168" s="80">
        <v>1578</v>
      </c>
      <c r="ED168" s="80">
        <v>1010</v>
      </c>
      <c r="EE168" s="80">
        <v>41</v>
      </c>
      <c r="EF168" s="80">
        <v>41</v>
      </c>
      <c r="EG168" s="80">
        <v>0</v>
      </c>
      <c r="EH168" s="80">
        <v>0</v>
      </c>
      <c r="EI168" s="80">
        <v>0</v>
      </c>
      <c r="EJ168" s="80">
        <v>0</v>
      </c>
      <c r="EK168" s="80">
        <v>17</v>
      </c>
      <c r="EL168" s="80">
        <v>17</v>
      </c>
      <c r="EM168" s="80">
        <v>0</v>
      </c>
      <c r="EN168" s="80">
        <v>0</v>
      </c>
      <c r="EO168" s="80">
        <v>55438</v>
      </c>
      <c r="EP168" s="80">
        <v>20245</v>
      </c>
      <c r="EQ168" s="80">
        <v>0</v>
      </c>
      <c r="ER168" s="80">
        <v>20241</v>
      </c>
      <c r="ES168" s="80">
        <v>398</v>
      </c>
      <c r="ET168" s="80">
        <v>19843</v>
      </c>
      <c r="EU168" s="80">
        <v>0</v>
      </c>
      <c r="EV168" s="80">
        <v>0</v>
      </c>
      <c r="EW168" s="80">
        <v>0</v>
      </c>
      <c r="EX168" s="80">
        <v>0</v>
      </c>
      <c r="EY168" s="80">
        <v>0</v>
      </c>
      <c r="EZ168" s="80">
        <v>0</v>
      </c>
      <c r="FA168" s="80">
        <v>4</v>
      </c>
      <c r="FB168" s="80">
        <v>0</v>
      </c>
      <c r="FC168" s="80">
        <v>0</v>
      </c>
      <c r="FD168" s="80">
        <v>35193</v>
      </c>
      <c r="FE168" s="80">
        <v>0</v>
      </c>
      <c r="FF168" s="80">
        <v>1523</v>
      </c>
      <c r="FG168" s="80">
        <v>409</v>
      </c>
      <c r="FH168" s="80">
        <v>1114</v>
      </c>
      <c r="FI168" s="80">
        <v>0</v>
      </c>
      <c r="FJ168" s="80">
        <v>0</v>
      </c>
      <c r="FK168" s="80">
        <v>250</v>
      </c>
      <c r="FL168" s="80">
        <v>28000</v>
      </c>
      <c r="FM168" s="80">
        <v>0</v>
      </c>
      <c r="FN168" s="80">
        <v>2206</v>
      </c>
      <c r="FO168" s="80">
        <v>359</v>
      </c>
      <c r="FP168" s="80">
        <v>2855</v>
      </c>
      <c r="FQ168" s="80">
        <v>96233</v>
      </c>
      <c r="FR168" s="80">
        <v>34409</v>
      </c>
      <c r="FS168" s="80">
        <v>2861</v>
      </c>
      <c r="FT168" s="100">
        <v>42062.930101263722</v>
      </c>
      <c r="FU168" s="100"/>
      <c r="FV168" s="100">
        <v>17612</v>
      </c>
      <c r="FW168" s="67">
        <v>2011</v>
      </c>
      <c r="FX168" s="100">
        <f t="shared" si="15"/>
        <v>-42410</v>
      </c>
      <c r="FY168" s="100">
        <f t="shared" si="16"/>
        <v>-60093</v>
      </c>
      <c r="FZ168" s="100">
        <v>38483.748743176693</v>
      </c>
      <c r="GA168" s="67">
        <v>17683</v>
      </c>
      <c r="GB168" s="58">
        <f t="shared" si="13"/>
        <v>71</v>
      </c>
      <c r="GC168" s="67">
        <v>2011</v>
      </c>
      <c r="GD168" s="100">
        <v>921</v>
      </c>
      <c r="GE168" s="100">
        <v>921</v>
      </c>
      <c r="GF168" s="58">
        <f t="shared" si="14"/>
        <v>0</v>
      </c>
      <c r="GG168" s="100">
        <v>-15368.736000000001</v>
      </c>
      <c r="GH168" s="100">
        <v>-330.97735000000011</v>
      </c>
      <c r="GI168" s="100">
        <v>-22950.570705403687</v>
      </c>
      <c r="GJ168" s="67">
        <f t="shared" si="17"/>
        <v>0</v>
      </c>
      <c r="GK168" s="67"/>
      <c r="GM168" s="96"/>
    </row>
    <row r="169" spans="1:195" ht="13.5" customHeight="1" x14ac:dyDescent="0.2">
      <c r="A169" s="74">
        <v>536</v>
      </c>
      <c r="B169" s="75" t="s">
        <v>115</v>
      </c>
      <c r="C169" s="75" t="s">
        <v>115</v>
      </c>
      <c r="D169" s="76"/>
      <c r="E169" s="77" t="s">
        <v>214</v>
      </c>
      <c r="F169" s="78">
        <v>5</v>
      </c>
      <c r="G169" s="79">
        <v>33162</v>
      </c>
      <c r="H169" s="80">
        <v>25189</v>
      </c>
      <c r="I169" s="80">
        <v>4760</v>
      </c>
      <c r="J169" s="80">
        <v>11184</v>
      </c>
      <c r="K169" s="80">
        <v>3426</v>
      </c>
      <c r="L169" s="80">
        <v>5819</v>
      </c>
      <c r="M169" s="80">
        <v>0</v>
      </c>
      <c r="N169" s="80">
        <v>2390</v>
      </c>
      <c r="O169" s="80">
        <v>184658</v>
      </c>
      <c r="P169" s="80">
        <v>89526</v>
      </c>
      <c r="Q169" s="80">
        <v>68959</v>
      </c>
      <c r="R169" s="80">
        <v>20567</v>
      </c>
      <c r="S169" s="80">
        <v>16624</v>
      </c>
      <c r="T169" s="80">
        <v>3943</v>
      </c>
      <c r="U169" s="80">
        <v>68375</v>
      </c>
      <c r="V169" s="80">
        <v>11013</v>
      </c>
      <c r="W169" s="80">
        <v>11544</v>
      </c>
      <c r="X169" s="80">
        <v>4200</v>
      </c>
      <c r="Y169" s="80">
        <v>-157079</v>
      </c>
      <c r="Z169" s="80">
        <v>124582</v>
      </c>
      <c r="AA169" s="80">
        <v>110914</v>
      </c>
      <c r="AB169" s="80">
        <v>6657</v>
      </c>
      <c r="AC169" s="80">
        <v>7011</v>
      </c>
      <c r="AD169" s="80">
        <v>40090</v>
      </c>
      <c r="AE169" s="80">
        <v>396</v>
      </c>
      <c r="AF169" s="80">
        <v>491</v>
      </c>
      <c r="AG169" s="80">
        <v>1115</v>
      </c>
      <c r="AH169" s="80">
        <v>287</v>
      </c>
      <c r="AI169" s="80">
        <v>1098</v>
      </c>
      <c r="AJ169" s="80">
        <v>112</v>
      </c>
      <c r="AK169" s="80">
        <v>7989</v>
      </c>
      <c r="AL169" s="80">
        <v>10603</v>
      </c>
      <c r="AM169" s="80">
        <v>10603</v>
      </c>
      <c r="AN169" s="80">
        <v>0</v>
      </c>
      <c r="AO169" s="80">
        <v>-5200</v>
      </c>
      <c r="AP169" s="80">
        <v>0</v>
      </c>
      <c r="AQ169" s="80">
        <v>5200</v>
      </c>
      <c r="AR169" s="80">
        <v>-7814</v>
      </c>
      <c r="AS169" s="80">
        <v>67</v>
      </c>
      <c r="AT169" s="80">
        <v>0</v>
      </c>
      <c r="AU169" s="80">
        <v>0</v>
      </c>
      <c r="AV169" s="80">
        <v>-7747</v>
      </c>
      <c r="AW169" s="81"/>
      <c r="AX169" s="80">
        <v>-8072</v>
      </c>
      <c r="AY169" s="80">
        <v>7989</v>
      </c>
      <c r="AZ169" s="80">
        <v>-5200</v>
      </c>
      <c r="BA169" s="80">
        <v>-10861</v>
      </c>
      <c r="BB169" s="80">
        <v>-12622</v>
      </c>
      <c r="BC169" s="80">
        <v>14852</v>
      </c>
      <c r="BD169" s="80">
        <v>701</v>
      </c>
      <c r="BE169" s="80">
        <v>1529</v>
      </c>
      <c r="BF169" s="80">
        <v>-20694</v>
      </c>
      <c r="BG169" s="80">
        <v>24418</v>
      </c>
      <c r="BH169" s="80">
        <v>766</v>
      </c>
      <c r="BI169" s="80">
        <v>0</v>
      </c>
      <c r="BJ169" s="80">
        <v>766</v>
      </c>
      <c r="BK169" s="80">
        <v>20196</v>
      </c>
      <c r="BL169" s="80">
        <v>32000</v>
      </c>
      <c r="BM169" s="80">
        <v>11804</v>
      </c>
      <c r="BN169" s="80">
        <v>0</v>
      </c>
      <c r="BO169" s="80">
        <v>0</v>
      </c>
      <c r="BP169" s="80">
        <v>3456</v>
      </c>
      <c r="BQ169" s="80">
        <v>-17</v>
      </c>
      <c r="BR169" s="80">
        <v>-1459</v>
      </c>
      <c r="BS169" s="80">
        <v>-28</v>
      </c>
      <c r="BT169" s="80">
        <v>4960</v>
      </c>
      <c r="BU169" s="80">
        <v>3724</v>
      </c>
      <c r="BV169" s="80">
        <v>17258</v>
      </c>
      <c r="BW169" s="80">
        <v>13534</v>
      </c>
      <c r="BX169" s="81"/>
      <c r="BY169" s="80">
        <v>178497</v>
      </c>
      <c r="BZ169" s="80">
        <v>267</v>
      </c>
      <c r="CA169" s="80">
        <v>30</v>
      </c>
      <c r="CB169" s="80">
        <v>237</v>
      </c>
      <c r="CC169" s="80">
        <v>0</v>
      </c>
      <c r="CD169" s="80">
        <v>128213</v>
      </c>
      <c r="CE169" s="80">
        <v>21560</v>
      </c>
      <c r="CF169" s="80">
        <v>79217</v>
      </c>
      <c r="CG169" s="80">
        <v>23138</v>
      </c>
      <c r="CH169" s="80">
        <v>2516</v>
      </c>
      <c r="CI169" s="80">
        <v>51</v>
      </c>
      <c r="CJ169" s="80">
        <v>51</v>
      </c>
      <c r="CK169" s="80">
        <v>1731</v>
      </c>
      <c r="CL169" s="80">
        <v>50017</v>
      </c>
      <c r="CM169" s="80">
        <v>34760</v>
      </c>
      <c r="CN169" s="80">
        <v>9293</v>
      </c>
      <c r="CO169" s="80">
        <v>25467</v>
      </c>
      <c r="CP169" s="80">
        <v>0</v>
      </c>
      <c r="CQ169" s="80">
        <v>15037</v>
      </c>
      <c r="CR169" s="80">
        <v>0</v>
      </c>
      <c r="CS169" s="80">
        <v>0</v>
      </c>
      <c r="CT169" s="80">
        <v>15037</v>
      </c>
      <c r="CU169" s="80">
        <v>220</v>
      </c>
      <c r="CV169" s="80">
        <v>261</v>
      </c>
      <c r="CW169" s="80">
        <v>43</v>
      </c>
      <c r="CX169" s="80">
        <v>6</v>
      </c>
      <c r="CY169" s="80">
        <v>212</v>
      </c>
      <c r="CZ169" s="80">
        <v>25346</v>
      </c>
      <c r="DA169" s="80">
        <v>1640</v>
      </c>
      <c r="DB169" s="80">
        <v>1640</v>
      </c>
      <c r="DC169" s="80">
        <v>0</v>
      </c>
      <c r="DD169" s="80">
        <v>0</v>
      </c>
      <c r="DE169" s="80">
        <v>0</v>
      </c>
      <c r="DF169" s="80">
        <v>0</v>
      </c>
      <c r="DG169" s="80">
        <v>6447</v>
      </c>
      <c r="DH169" s="80">
        <v>423</v>
      </c>
      <c r="DI169" s="80">
        <v>0</v>
      </c>
      <c r="DJ169" s="80">
        <v>423</v>
      </c>
      <c r="DK169" s="80">
        <v>0</v>
      </c>
      <c r="DL169" s="80">
        <v>0</v>
      </c>
      <c r="DM169" s="80">
        <v>6024</v>
      </c>
      <c r="DN169" s="80">
        <v>2715</v>
      </c>
      <c r="DO169" s="80">
        <v>0</v>
      </c>
      <c r="DP169" s="80">
        <v>2169</v>
      </c>
      <c r="DQ169" s="80">
        <v>1140</v>
      </c>
      <c r="DR169" s="80">
        <v>6982</v>
      </c>
      <c r="DS169" s="80">
        <v>29</v>
      </c>
      <c r="DT169" s="80">
        <v>0</v>
      </c>
      <c r="DU169" s="80">
        <v>0</v>
      </c>
      <c r="DV169" s="80">
        <v>6953</v>
      </c>
      <c r="DW169" s="80">
        <v>10277</v>
      </c>
      <c r="DX169" s="80">
        <v>204104</v>
      </c>
      <c r="DY169" s="80">
        <v>96583</v>
      </c>
      <c r="DZ169" s="80">
        <v>83854</v>
      </c>
      <c r="EA169" s="80">
        <v>0</v>
      </c>
      <c r="EB169" s="80">
        <v>0</v>
      </c>
      <c r="EC169" s="80">
        <v>20476</v>
      </c>
      <c r="ED169" s="80">
        <v>-7747</v>
      </c>
      <c r="EE169" s="80">
        <v>1139</v>
      </c>
      <c r="EF169" s="80">
        <v>1139</v>
      </c>
      <c r="EG169" s="80">
        <v>0</v>
      </c>
      <c r="EH169" s="80">
        <v>6407</v>
      </c>
      <c r="EI169" s="80">
        <v>0</v>
      </c>
      <c r="EJ169" s="80">
        <v>6407</v>
      </c>
      <c r="EK169" s="80">
        <v>407</v>
      </c>
      <c r="EL169" s="80">
        <v>30</v>
      </c>
      <c r="EM169" s="80">
        <v>6</v>
      </c>
      <c r="EN169" s="80">
        <v>371</v>
      </c>
      <c r="EO169" s="80">
        <v>99568</v>
      </c>
      <c r="EP169" s="80">
        <v>55721</v>
      </c>
      <c r="EQ169" s="80">
        <v>0</v>
      </c>
      <c r="ER169" s="80">
        <v>53425</v>
      </c>
      <c r="ES169" s="80">
        <v>28700</v>
      </c>
      <c r="ET169" s="80">
        <v>23225</v>
      </c>
      <c r="EU169" s="80">
        <v>0</v>
      </c>
      <c r="EV169" s="80">
        <v>1500</v>
      </c>
      <c r="EW169" s="80">
        <v>2296</v>
      </c>
      <c r="EX169" s="80">
        <v>0</v>
      </c>
      <c r="EY169" s="80">
        <v>0</v>
      </c>
      <c r="EZ169" s="80">
        <v>0</v>
      </c>
      <c r="FA169" s="80">
        <v>0</v>
      </c>
      <c r="FB169" s="80">
        <v>0</v>
      </c>
      <c r="FC169" s="80">
        <v>0</v>
      </c>
      <c r="FD169" s="80">
        <v>43847</v>
      </c>
      <c r="FE169" s="80">
        <v>0</v>
      </c>
      <c r="FF169" s="80">
        <v>9300</v>
      </c>
      <c r="FG169" s="80">
        <v>3800</v>
      </c>
      <c r="FH169" s="80">
        <v>4650</v>
      </c>
      <c r="FI169" s="80">
        <v>0</v>
      </c>
      <c r="FJ169" s="80">
        <v>850</v>
      </c>
      <c r="FK169" s="80">
        <v>1105</v>
      </c>
      <c r="FL169" s="80">
        <v>0</v>
      </c>
      <c r="FM169" s="80">
        <v>621</v>
      </c>
      <c r="FN169" s="80">
        <v>6472</v>
      </c>
      <c r="FO169" s="80">
        <v>7025</v>
      </c>
      <c r="FP169" s="80">
        <v>19324</v>
      </c>
      <c r="FQ169" s="80">
        <v>204104</v>
      </c>
      <c r="FR169" s="80">
        <v>29626</v>
      </c>
      <c r="FS169" s="80">
        <v>2765</v>
      </c>
      <c r="FT169" s="100">
        <v>110292.88983477866</v>
      </c>
      <c r="FU169" s="100"/>
      <c r="FV169" s="100">
        <v>42423</v>
      </c>
      <c r="FW169" s="67">
        <v>10420</v>
      </c>
      <c r="FX169" s="100">
        <f t="shared" si="15"/>
        <v>-93806</v>
      </c>
      <c r="FY169" s="100">
        <f t="shared" si="16"/>
        <v>-146476</v>
      </c>
      <c r="FZ169" s="100">
        <v>91473.570824253315</v>
      </c>
      <c r="GA169" s="67">
        <v>52670</v>
      </c>
      <c r="GB169" s="58">
        <f t="shared" si="13"/>
        <v>10247</v>
      </c>
      <c r="GC169" s="67">
        <v>10603</v>
      </c>
      <c r="GD169" s="100">
        <v>11220</v>
      </c>
      <c r="GE169" s="100">
        <v>5095</v>
      </c>
      <c r="GF169" s="58">
        <f t="shared" si="14"/>
        <v>6125</v>
      </c>
      <c r="GG169" s="100">
        <v>-68589.710999999996</v>
      </c>
      <c r="GH169" s="100">
        <v>-1779.1354000000003</v>
      </c>
      <c r="GI169" s="100">
        <v>-20246.257144597057</v>
      </c>
      <c r="GJ169" s="67">
        <f t="shared" si="17"/>
        <v>183</v>
      </c>
      <c r="GK169" s="67"/>
      <c r="GM169" s="96"/>
    </row>
    <row r="170" spans="1:195" ht="13.5" customHeight="1" x14ac:dyDescent="0.2">
      <c r="A170" s="74">
        <v>538</v>
      </c>
      <c r="B170" s="75" t="s">
        <v>285</v>
      </c>
      <c r="C170" s="82" t="s">
        <v>285</v>
      </c>
      <c r="D170" s="76"/>
      <c r="E170" s="77" t="s">
        <v>219</v>
      </c>
      <c r="F170" s="78">
        <v>2</v>
      </c>
      <c r="G170" s="79">
        <v>4859</v>
      </c>
      <c r="H170" s="80">
        <v>3287</v>
      </c>
      <c r="I170" s="80">
        <v>1581</v>
      </c>
      <c r="J170" s="80">
        <v>723</v>
      </c>
      <c r="K170" s="80">
        <v>279</v>
      </c>
      <c r="L170" s="80">
        <v>704</v>
      </c>
      <c r="M170" s="80">
        <v>0</v>
      </c>
      <c r="N170" s="80">
        <v>0</v>
      </c>
      <c r="O170" s="80">
        <v>28051</v>
      </c>
      <c r="P170" s="80">
        <v>8935</v>
      </c>
      <c r="Q170" s="80">
        <v>6831</v>
      </c>
      <c r="R170" s="80">
        <v>2104</v>
      </c>
      <c r="S170" s="80">
        <v>1716</v>
      </c>
      <c r="T170" s="80">
        <v>388</v>
      </c>
      <c r="U170" s="80">
        <v>16649</v>
      </c>
      <c r="V170" s="80">
        <v>1488</v>
      </c>
      <c r="W170" s="80">
        <v>625</v>
      </c>
      <c r="X170" s="80">
        <v>354</v>
      </c>
      <c r="Y170" s="80">
        <v>-24764</v>
      </c>
      <c r="Z170" s="80">
        <v>17122</v>
      </c>
      <c r="AA170" s="80">
        <v>15947</v>
      </c>
      <c r="AB170" s="80">
        <v>317</v>
      </c>
      <c r="AC170" s="80">
        <v>858</v>
      </c>
      <c r="AD170" s="80">
        <v>8117</v>
      </c>
      <c r="AE170" s="80">
        <v>-78</v>
      </c>
      <c r="AF170" s="80">
        <v>1</v>
      </c>
      <c r="AG170" s="80">
        <v>63</v>
      </c>
      <c r="AH170" s="80">
        <v>1</v>
      </c>
      <c r="AI170" s="80">
        <v>75</v>
      </c>
      <c r="AJ170" s="80">
        <v>67</v>
      </c>
      <c r="AK170" s="80">
        <v>397</v>
      </c>
      <c r="AL170" s="80">
        <v>899</v>
      </c>
      <c r="AM170" s="80">
        <v>899</v>
      </c>
      <c r="AN170" s="80">
        <v>0</v>
      </c>
      <c r="AO170" s="80">
        <v>615</v>
      </c>
      <c r="AP170" s="80">
        <v>615</v>
      </c>
      <c r="AQ170" s="80">
        <v>0</v>
      </c>
      <c r="AR170" s="80">
        <v>113</v>
      </c>
      <c r="AS170" s="80">
        <v>33</v>
      </c>
      <c r="AT170" s="80">
        <v>0</v>
      </c>
      <c r="AU170" s="80">
        <v>0</v>
      </c>
      <c r="AV170" s="80">
        <v>146</v>
      </c>
      <c r="AW170" s="81"/>
      <c r="AX170" s="80">
        <v>880</v>
      </c>
      <c r="AY170" s="80">
        <v>397</v>
      </c>
      <c r="AZ170" s="80">
        <v>615</v>
      </c>
      <c r="BA170" s="80">
        <v>-132</v>
      </c>
      <c r="BB170" s="80">
        <v>-1212</v>
      </c>
      <c r="BC170" s="80">
        <v>2384</v>
      </c>
      <c r="BD170" s="80">
        <v>711</v>
      </c>
      <c r="BE170" s="80">
        <v>461</v>
      </c>
      <c r="BF170" s="80">
        <v>-332</v>
      </c>
      <c r="BG170" s="80">
        <v>294</v>
      </c>
      <c r="BH170" s="80">
        <v>0</v>
      </c>
      <c r="BI170" s="80">
        <v>0</v>
      </c>
      <c r="BJ170" s="80">
        <v>0</v>
      </c>
      <c r="BK170" s="80">
        <v>755</v>
      </c>
      <c r="BL170" s="80">
        <v>1772</v>
      </c>
      <c r="BM170" s="80">
        <v>928</v>
      </c>
      <c r="BN170" s="80">
        <v>-89</v>
      </c>
      <c r="BO170" s="80">
        <v>0</v>
      </c>
      <c r="BP170" s="80">
        <v>-461</v>
      </c>
      <c r="BQ170" s="80">
        <v>0</v>
      </c>
      <c r="BR170" s="80">
        <v>-6</v>
      </c>
      <c r="BS170" s="80">
        <v>-1102</v>
      </c>
      <c r="BT170" s="80">
        <v>647</v>
      </c>
      <c r="BU170" s="80">
        <v>-38</v>
      </c>
      <c r="BV170" s="80">
        <v>22</v>
      </c>
      <c r="BW170" s="80">
        <v>60</v>
      </c>
      <c r="BX170" s="81"/>
      <c r="BY170" s="80">
        <v>25511</v>
      </c>
      <c r="BZ170" s="80">
        <v>20</v>
      </c>
      <c r="CA170" s="80">
        <v>20</v>
      </c>
      <c r="CB170" s="80">
        <v>0</v>
      </c>
      <c r="CC170" s="80">
        <v>0</v>
      </c>
      <c r="CD170" s="80">
        <v>20248</v>
      </c>
      <c r="CE170" s="80">
        <v>3393</v>
      </c>
      <c r="CF170" s="80">
        <v>13099</v>
      </c>
      <c r="CG170" s="80">
        <v>3642</v>
      </c>
      <c r="CH170" s="80">
        <v>58</v>
      </c>
      <c r="CI170" s="80">
        <v>0</v>
      </c>
      <c r="CJ170" s="80">
        <v>0</v>
      </c>
      <c r="CK170" s="80">
        <v>56</v>
      </c>
      <c r="CL170" s="80">
        <v>5243</v>
      </c>
      <c r="CM170" s="80">
        <v>5098</v>
      </c>
      <c r="CN170" s="80">
        <v>4149</v>
      </c>
      <c r="CO170" s="80">
        <v>949</v>
      </c>
      <c r="CP170" s="80">
        <v>0</v>
      </c>
      <c r="CQ170" s="80">
        <v>145</v>
      </c>
      <c r="CR170" s="80">
        <v>0</v>
      </c>
      <c r="CS170" s="80">
        <v>0</v>
      </c>
      <c r="CT170" s="80">
        <v>145</v>
      </c>
      <c r="CU170" s="80">
        <v>0</v>
      </c>
      <c r="CV170" s="80">
        <v>4</v>
      </c>
      <c r="CW170" s="80">
        <v>4</v>
      </c>
      <c r="CX170" s="80">
        <v>0</v>
      </c>
      <c r="CY170" s="80">
        <v>0</v>
      </c>
      <c r="CZ170" s="80">
        <v>2053</v>
      </c>
      <c r="DA170" s="80">
        <v>69</v>
      </c>
      <c r="DB170" s="80">
        <v>0</v>
      </c>
      <c r="DC170" s="80">
        <v>0</v>
      </c>
      <c r="DD170" s="80">
        <v>69</v>
      </c>
      <c r="DE170" s="80">
        <v>0</v>
      </c>
      <c r="DF170" s="80">
        <v>0</v>
      </c>
      <c r="DG170" s="80">
        <v>1962</v>
      </c>
      <c r="DH170" s="80">
        <v>252</v>
      </c>
      <c r="DI170" s="80">
        <v>0</v>
      </c>
      <c r="DJ170" s="80">
        <v>0</v>
      </c>
      <c r="DK170" s="80">
        <v>252</v>
      </c>
      <c r="DL170" s="80">
        <v>0</v>
      </c>
      <c r="DM170" s="80">
        <v>1710</v>
      </c>
      <c r="DN170" s="80">
        <v>683</v>
      </c>
      <c r="DO170" s="80">
        <v>0</v>
      </c>
      <c r="DP170" s="80">
        <v>27</v>
      </c>
      <c r="DQ170" s="80">
        <v>1000</v>
      </c>
      <c r="DR170" s="80">
        <v>0</v>
      </c>
      <c r="DS170" s="80">
        <v>0</v>
      </c>
      <c r="DT170" s="80">
        <v>0</v>
      </c>
      <c r="DU170" s="80">
        <v>0</v>
      </c>
      <c r="DV170" s="80">
        <v>0</v>
      </c>
      <c r="DW170" s="80">
        <v>22</v>
      </c>
      <c r="DX170" s="80">
        <v>27568</v>
      </c>
      <c r="DY170" s="80">
        <v>12079</v>
      </c>
      <c r="DZ170" s="80">
        <v>12761</v>
      </c>
      <c r="EA170" s="80">
        <v>82</v>
      </c>
      <c r="EB170" s="80">
        <v>0</v>
      </c>
      <c r="EC170" s="80">
        <v>-910</v>
      </c>
      <c r="ED170" s="80">
        <v>146</v>
      </c>
      <c r="EE170" s="80">
        <v>899</v>
      </c>
      <c r="EF170" s="80">
        <v>899</v>
      </c>
      <c r="EG170" s="80">
        <v>0</v>
      </c>
      <c r="EH170" s="80">
        <v>0</v>
      </c>
      <c r="EI170" s="80">
        <v>0</v>
      </c>
      <c r="EJ170" s="80">
        <v>0</v>
      </c>
      <c r="EK170" s="80">
        <v>4</v>
      </c>
      <c r="EL170" s="80">
        <v>4</v>
      </c>
      <c r="EM170" s="80">
        <v>0</v>
      </c>
      <c r="EN170" s="80">
        <v>0</v>
      </c>
      <c r="EO170" s="80">
        <v>14586</v>
      </c>
      <c r="EP170" s="80">
        <v>9068</v>
      </c>
      <c r="EQ170" s="80">
        <v>0</v>
      </c>
      <c r="ER170" s="80">
        <v>7108</v>
      </c>
      <c r="ES170" s="80">
        <v>937</v>
      </c>
      <c r="ET170" s="80">
        <v>6171</v>
      </c>
      <c r="EU170" s="80">
        <v>0</v>
      </c>
      <c r="EV170" s="80">
        <v>0</v>
      </c>
      <c r="EW170" s="80">
        <v>143</v>
      </c>
      <c r="EX170" s="80">
        <v>0</v>
      </c>
      <c r="EY170" s="80">
        <v>0</v>
      </c>
      <c r="EZ170" s="80">
        <v>0</v>
      </c>
      <c r="FA170" s="80">
        <v>1817</v>
      </c>
      <c r="FB170" s="80">
        <v>0</v>
      </c>
      <c r="FC170" s="80">
        <v>0</v>
      </c>
      <c r="FD170" s="80">
        <v>5518</v>
      </c>
      <c r="FE170" s="80">
        <v>0</v>
      </c>
      <c r="FF170" s="80">
        <v>2269</v>
      </c>
      <c r="FG170" s="80">
        <v>160</v>
      </c>
      <c r="FH170" s="80">
        <v>2109</v>
      </c>
      <c r="FI170" s="80">
        <v>0</v>
      </c>
      <c r="FJ170" s="80">
        <v>0</v>
      </c>
      <c r="FK170" s="80">
        <v>202</v>
      </c>
      <c r="FL170" s="80">
        <v>0</v>
      </c>
      <c r="FM170" s="80">
        <v>0</v>
      </c>
      <c r="FN170" s="80">
        <v>1405</v>
      </c>
      <c r="FO170" s="80">
        <v>192</v>
      </c>
      <c r="FP170" s="80">
        <v>1450</v>
      </c>
      <c r="FQ170" s="80">
        <v>27568</v>
      </c>
      <c r="FR170" s="80">
        <v>1091</v>
      </c>
      <c r="FS170" s="80">
        <v>0</v>
      </c>
      <c r="FT170" s="100">
        <v>17579.602080490156</v>
      </c>
      <c r="FU170" s="100"/>
      <c r="FV170" s="100">
        <v>6741</v>
      </c>
      <c r="FW170" s="67">
        <v>879</v>
      </c>
      <c r="FX170" s="100">
        <f t="shared" si="15"/>
        <v>-17094</v>
      </c>
      <c r="FY170" s="100">
        <f t="shared" si="16"/>
        <v>-23865</v>
      </c>
      <c r="FZ170" s="100">
        <v>14396.436019919851</v>
      </c>
      <c r="GA170" s="67">
        <v>6771</v>
      </c>
      <c r="GB170" s="58">
        <f t="shared" si="13"/>
        <v>30</v>
      </c>
      <c r="GC170" s="67">
        <v>897</v>
      </c>
      <c r="GD170" s="100">
        <v>723</v>
      </c>
      <c r="GE170" s="100">
        <v>723</v>
      </c>
      <c r="GF170" s="58">
        <f t="shared" si="14"/>
        <v>0</v>
      </c>
      <c r="GG170" s="100">
        <v>-9142.6839999999993</v>
      </c>
      <c r="GH170" s="100">
        <v>-116.66680000000005</v>
      </c>
      <c r="GI170" s="100">
        <v>-5074.8738037173971</v>
      </c>
      <c r="GJ170" s="67">
        <f t="shared" si="17"/>
        <v>18</v>
      </c>
      <c r="GK170" s="67"/>
      <c r="GM170" s="96"/>
    </row>
    <row r="171" spans="1:195" ht="13.5" customHeight="1" x14ac:dyDescent="0.2">
      <c r="A171" s="74">
        <v>541</v>
      </c>
      <c r="B171" s="75" t="s">
        <v>116</v>
      </c>
      <c r="C171" s="75" t="s">
        <v>116</v>
      </c>
      <c r="D171" s="76"/>
      <c r="E171" s="77" t="s">
        <v>242</v>
      </c>
      <c r="F171" s="78">
        <v>3</v>
      </c>
      <c r="G171" s="79">
        <v>7996</v>
      </c>
      <c r="H171" s="80">
        <v>8213</v>
      </c>
      <c r="I171" s="80">
        <v>3375</v>
      </c>
      <c r="J171" s="80">
        <v>1956</v>
      </c>
      <c r="K171" s="80">
        <v>794</v>
      </c>
      <c r="L171" s="80">
        <v>2088</v>
      </c>
      <c r="M171" s="80">
        <v>0</v>
      </c>
      <c r="N171" s="80">
        <v>76</v>
      </c>
      <c r="O171" s="80">
        <v>56056</v>
      </c>
      <c r="P171" s="80">
        <v>20591</v>
      </c>
      <c r="Q171" s="80">
        <v>15263</v>
      </c>
      <c r="R171" s="80">
        <v>5328</v>
      </c>
      <c r="S171" s="80">
        <v>4535</v>
      </c>
      <c r="T171" s="80">
        <v>793</v>
      </c>
      <c r="U171" s="80">
        <v>27918</v>
      </c>
      <c r="V171" s="80">
        <v>2931</v>
      </c>
      <c r="W171" s="80">
        <v>3688</v>
      </c>
      <c r="X171" s="80">
        <v>928</v>
      </c>
      <c r="Y171" s="80">
        <v>-47767</v>
      </c>
      <c r="Z171" s="80">
        <v>25272</v>
      </c>
      <c r="AA171" s="80">
        <v>21347</v>
      </c>
      <c r="AB171" s="80">
        <v>2246</v>
      </c>
      <c r="AC171" s="80">
        <v>1679</v>
      </c>
      <c r="AD171" s="80">
        <v>27061</v>
      </c>
      <c r="AE171" s="80">
        <v>-230</v>
      </c>
      <c r="AF171" s="80">
        <v>73</v>
      </c>
      <c r="AG171" s="80">
        <v>343</v>
      </c>
      <c r="AH171" s="80">
        <v>311</v>
      </c>
      <c r="AI171" s="80">
        <v>188</v>
      </c>
      <c r="AJ171" s="80">
        <v>458</v>
      </c>
      <c r="AK171" s="80">
        <v>4336</v>
      </c>
      <c r="AL171" s="80">
        <v>3876</v>
      </c>
      <c r="AM171" s="80">
        <v>3876</v>
      </c>
      <c r="AN171" s="80">
        <v>0</v>
      </c>
      <c r="AO171" s="80">
        <v>0</v>
      </c>
      <c r="AP171" s="80">
        <v>0</v>
      </c>
      <c r="AQ171" s="80">
        <v>0</v>
      </c>
      <c r="AR171" s="80">
        <v>460</v>
      </c>
      <c r="AS171" s="80">
        <v>406</v>
      </c>
      <c r="AT171" s="80">
        <v>-450</v>
      </c>
      <c r="AU171" s="80">
        <v>-20</v>
      </c>
      <c r="AV171" s="80">
        <v>396</v>
      </c>
      <c r="AW171" s="81"/>
      <c r="AX171" s="80">
        <v>4311</v>
      </c>
      <c r="AY171" s="80">
        <v>4336</v>
      </c>
      <c r="AZ171" s="80">
        <v>0</v>
      </c>
      <c r="BA171" s="80">
        <v>-25</v>
      </c>
      <c r="BB171" s="80">
        <v>-3992</v>
      </c>
      <c r="BC171" s="80">
        <v>4212</v>
      </c>
      <c r="BD171" s="80">
        <v>190</v>
      </c>
      <c r="BE171" s="80">
        <v>30</v>
      </c>
      <c r="BF171" s="80">
        <v>319</v>
      </c>
      <c r="BG171" s="80">
        <v>593</v>
      </c>
      <c r="BH171" s="80">
        <v>72</v>
      </c>
      <c r="BI171" s="80">
        <v>61</v>
      </c>
      <c r="BJ171" s="80">
        <v>133</v>
      </c>
      <c r="BK171" s="80">
        <v>235</v>
      </c>
      <c r="BL171" s="80">
        <v>2500</v>
      </c>
      <c r="BM171" s="80">
        <v>2265</v>
      </c>
      <c r="BN171" s="80">
        <v>0</v>
      </c>
      <c r="BO171" s="80">
        <v>0</v>
      </c>
      <c r="BP171" s="80">
        <v>286</v>
      </c>
      <c r="BQ171" s="80">
        <v>3</v>
      </c>
      <c r="BR171" s="80">
        <v>3</v>
      </c>
      <c r="BS171" s="80">
        <v>295</v>
      </c>
      <c r="BT171" s="80">
        <v>-15</v>
      </c>
      <c r="BU171" s="80">
        <v>911</v>
      </c>
      <c r="BV171" s="80">
        <v>3095</v>
      </c>
      <c r="BW171" s="80">
        <v>2184</v>
      </c>
      <c r="BX171" s="81"/>
      <c r="BY171" s="80">
        <v>49915</v>
      </c>
      <c r="BZ171" s="80">
        <v>1096</v>
      </c>
      <c r="CA171" s="80">
        <v>0</v>
      </c>
      <c r="CB171" s="80">
        <v>1096</v>
      </c>
      <c r="CC171" s="80">
        <v>0</v>
      </c>
      <c r="CD171" s="80">
        <v>39252</v>
      </c>
      <c r="CE171" s="80">
        <v>5369</v>
      </c>
      <c r="CF171" s="80">
        <v>27319</v>
      </c>
      <c r="CG171" s="80">
        <v>5420</v>
      </c>
      <c r="CH171" s="80">
        <v>245</v>
      </c>
      <c r="CI171" s="80">
        <v>170</v>
      </c>
      <c r="CJ171" s="80">
        <v>170</v>
      </c>
      <c r="CK171" s="80">
        <v>729</v>
      </c>
      <c r="CL171" s="80">
        <v>9567</v>
      </c>
      <c r="CM171" s="80">
        <v>8512</v>
      </c>
      <c r="CN171" s="80">
        <v>6086</v>
      </c>
      <c r="CO171" s="80">
        <v>2426</v>
      </c>
      <c r="CP171" s="80">
        <v>0</v>
      </c>
      <c r="CQ171" s="80">
        <v>351</v>
      </c>
      <c r="CR171" s="80">
        <v>0</v>
      </c>
      <c r="CS171" s="80">
        <v>0</v>
      </c>
      <c r="CT171" s="80">
        <v>351</v>
      </c>
      <c r="CU171" s="80">
        <v>704</v>
      </c>
      <c r="CV171" s="80">
        <v>0</v>
      </c>
      <c r="CW171" s="80">
        <v>0</v>
      </c>
      <c r="CX171" s="80">
        <v>0</v>
      </c>
      <c r="CY171" s="80">
        <v>0</v>
      </c>
      <c r="CZ171" s="80">
        <v>6866</v>
      </c>
      <c r="DA171" s="80">
        <v>180</v>
      </c>
      <c r="DB171" s="80">
        <v>180</v>
      </c>
      <c r="DC171" s="80">
        <v>0</v>
      </c>
      <c r="DD171" s="80">
        <v>0</v>
      </c>
      <c r="DE171" s="80">
        <v>0</v>
      </c>
      <c r="DF171" s="80">
        <v>0</v>
      </c>
      <c r="DG171" s="80">
        <v>3591</v>
      </c>
      <c r="DH171" s="80">
        <v>816</v>
      </c>
      <c r="DI171" s="80">
        <v>0</v>
      </c>
      <c r="DJ171" s="80">
        <v>532</v>
      </c>
      <c r="DK171" s="80">
        <v>284</v>
      </c>
      <c r="DL171" s="80">
        <v>0</v>
      </c>
      <c r="DM171" s="80">
        <v>2775</v>
      </c>
      <c r="DN171" s="80">
        <v>709</v>
      </c>
      <c r="DO171" s="80">
        <v>1187</v>
      </c>
      <c r="DP171" s="80">
        <v>626</v>
      </c>
      <c r="DQ171" s="80">
        <v>253</v>
      </c>
      <c r="DR171" s="80">
        <v>240</v>
      </c>
      <c r="DS171" s="80">
        <v>0</v>
      </c>
      <c r="DT171" s="80">
        <v>0</v>
      </c>
      <c r="DU171" s="80">
        <v>0</v>
      </c>
      <c r="DV171" s="80">
        <v>240</v>
      </c>
      <c r="DW171" s="80">
        <v>2855</v>
      </c>
      <c r="DX171" s="80">
        <v>56781</v>
      </c>
      <c r="DY171" s="80">
        <v>31814</v>
      </c>
      <c r="DZ171" s="80">
        <v>24388</v>
      </c>
      <c r="EA171" s="80">
        <v>0</v>
      </c>
      <c r="EB171" s="80">
        <v>910</v>
      </c>
      <c r="EC171" s="80">
        <v>6119</v>
      </c>
      <c r="ED171" s="80">
        <v>397</v>
      </c>
      <c r="EE171" s="80">
        <v>5966</v>
      </c>
      <c r="EF171" s="80">
        <v>5516</v>
      </c>
      <c r="EG171" s="80">
        <v>450</v>
      </c>
      <c r="EH171" s="80">
        <v>0</v>
      </c>
      <c r="EI171" s="80">
        <v>0</v>
      </c>
      <c r="EJ171" s="80">
        <v>0</v>
      </c>
      <c r="EK171" s="80">
        <v>349</v>
      </c>
      <c r="EL171" s="80">
        <v>0</v>
      </c>
      <c r="EM171" s="80">
        <v>170</v>
      </c>
      <c r="EN171" s="80">
        <v>179</v>
      </c>
      <c r="EO171" s="80">
        <v>18654</v>
      </c>
      <c r="EP171" s="80">
        <v>11158</v>
      </c>
      <c r="EQ171" s="80">
        <v>0</v>
      </c>
      <c r="ER171" s="80">
        <v>11156</v>
      </c>
      <c r="ES171" s="80">
        <v>4831</v>
      </c>
      <c r="ET171" s="80">
        <v>6325</v>
      </c>
      <c r="EU171" s="80">
        <v>0</v>
      </c>
      <c r="EV171" s="80">
        <v>0</v>
      </c>
      <c r="EW171" s="80">
        <v>0</v>
      </c>
      <c r="EX171" s="80">
        <v>0</v>
      </c>
      <c r="EY171" s="80">
        <v>0</v>
      </c>
      <c r="EZ171" s="80">
        <v>0</v>
      </c>
      <c r="FA171" s="80">
        <v>2</v>
      </c>
      <c r="FB171" s="80">
        <v>0</v>
      </c>
      <c r="FC171" s="80">
        <v>0</v>
      </c>
      <c r="FD171" s="80">
        <v>7496</v>
      </c>
      <c r="FE171" s="80">
        <v>0</v>
      </c>
      <c r="FF171" s="80">
        <v>2107</v>
      </c>
      <c r="FG171" s="80">
        <v>1032</v>
      </c>
      <c r="FH171" s="80">
        <v>1075</v>
      </c>
      <c r="FI171" s="80">
        <v>0</v>
      </c>
      <c r="FJ171" s="80">
        <v>0</v>
      </c>
      <c r="FK171" s="80">
        <v>0</v>
      </c>
      <c r="FL171" s="80">
        <v>0</v>
      </c>
      <c r="FM171" s="80">
        <v>0</v>
      </c>
      <c r="FN171" s="80">
        <v>2019</v>
      </c>
      <c r="FO171" s="80">
        <v>386</v>
      </c>
      <c r="FP171" s="80">
        <v>2984</v>
      </c>
      <c r="FQ171" s="80">
        <v>56783</v>
      </c>
      <c r="FR171" s="80">
        <v>1866</v>
      </c>
      <c r="FS171" s="80">
        <v>2248</v>
      </c>
      <c r="FT171" s="100">
        <v>26899.388012356427</v>
      </c>
      <c r="FU171" s="100"/>
      <c r="FV171" s="100">
        <v>10524</v>
      </c>
      <c r="FW171" s="67">
        <v>3876</v>
      </c>
      <c r="FX171" s="100">
        <f t="shared" si="15"/>
        <v>-30493</v>
      </c>
      <c r="FY171" s="100">
        <f t="shared" si="16"/>
        <v>-43891</v>
      </c>
      <c r="FZ171" s="100">
        <v>31597.427808331595</v>
      </c>
      <c r="GA171" s="67">
        <v>13398</v>
      </c>
      <c r="GB171" s="58">
        <f t="shared" si="13"/>
        <v>2874</v>
      </c>
      <c r="GC171" s="67">
        <v>3876</v>
      </c>
      <c r="GD171" s="100">
        <v>1959</v>
      </c>
      <c r="GE171" s="100">
        <v>474</v>
      </c>
      <c r="GF171" s="58">
        <f t="shared" si="14"/>
        <v>1485</v>
      </c>
      <c r="GG171" s="100">
        <v>-12142.674000000001</v>
      </c>
      <c r="GH171" s="100">
        <v>-765.4580000000002</v>
      </c>
      <c r="GI171" s="100">
        <v>-18972.536147440049</v>
      </c>
      <c r="GJ171" s="67">
        <f t="shared" si="17"/>
        <v>0</v>
      </c>
      <c r="GK171" s="67"/>
      <c r="GM171" s="96"/>
    </row>
    <row r="172" spans="1:195" ht="13.5" customHeight="1" x14ac:dyDescent="0.2">
      <c r="A172" s="74">
        <v>543</v>
      </c>
      <c r="B172" s="75" t="s">
        <v>117</v>
      </c>
      <c r="C172" s="75" t="s">
        <v>117</v>
      </c>
      <c r="D172" s="76"/>
      <c r="E172" s="77" t="s">
        <v>218</v>
      </c>
      <c r="F172" s="78">
        <v>5</v>
      </c>
      <c r="G172" s="79">
        <v>41897</v>
      </c>
      <c r="H172" s="80">
        <v>39616</v>
      </c>
      <c r="I172" s="80">
        <v>12558</v>
      </c>
      <c r="J172" s="80">
        <v>15464</v>
      </c>
      <c r="K172" s="80">
        <v>4228</v>
      </c>
      <c r="L172" s="80">
        <v>7366</v>
      </c>
      <c r="M172" s="80">
        <v>0</v>
      </c>
      <c r="N172" s="80">
        <v>0</v>
      </c>
      <c r="O172" s="80">
        <v>230828</v>
      </c>
      <c r="P172" s="80">
        <v>104681</v>
      </c>
      <c r="Q172" s="80">
        <v>81479</v>
      </c>
      <c r="R172" s="80">
        <v>23202</v>
      </c>
      <c r="S172" s="80">
        <v>18683</v>
      </c>
      <c r="T172" s="80">
        <v>4519</v>
      </c>
      <c r="U172" s="80">
        <v>93859</v>
      </c>
      <c r="V172" s="80">
        <v>12919</v>
      </c>
      <c r="W172" s="80">
        <v>14965</v>
      </c>
      <c r="X172" s="80">
        <v>4404</v>
      </c>
      <c r="Y172" s="80">
        <v>-191212</v>
      </c>
      <c r="Z172" s="80">
        <v>177418</v>
      </c>
      <c r="AA172" s="80">
        <v>162221</v>
      </c>
      <c r="AB172" s="80">
        <v>7060</v>
      </c>
      <c r="AC172" s="80">
        <v>8137</v>
      </c>
      <c r="AD172" s="80">
        <v>25775</v>
      </c>
      <c r="AE172" s="80">
        <v>1766</v>
      </c>
      <c r="AF172" s="80">
        <v>40</v>
      </c>
      <c r="AG172" s="80">
        <v>2609</v>
      </c>
      <c r="AH172" s="80">
        <v>2229</v>
      </c>
      <c r="AI172" s="80">
        <v>702</v>
      </c>
      <c r="AJ172" s="80">
        <v>181</v>
      </c>
      <c r="AK172" s="80">
        <v>13747</v>
      </c>
      <c r="AL172" s="80">
        <v>14019</v>
      </c>
      <c r="AM172" s="80">
        <v>13936</v>
      </c>
      <c r="AN172" s="80">
        <v>83</v>
      </c>
      <c r="AO172" s="80">
        <v>0</v>
      </c>
      <c r="AP172" s="80">
        <v>0</v>
      </c>
      <c r="AQ172" s="80">
        <v>0</v>
      </c>
      <c r="AR172" s="80">
        <v>-272</v>
      </c>
      <c r="AS172" s="80">
        <v>12</v>
      </c>
      <c r="AT172" s="80">
        <v>0</v>
      </c>
      <c r="AU172" s="80">
        <v>0</v>
      </c>
      <c r="AV172" s="80">
        <v>-260</v>
      </c>
      <c r="AW172" s="81"/>
      <c r="AX172" s="80">
        <v>10918</v>
      </c>
      <c r="AY172" s="80">
        <v>13747</v>
      </c>
      <c r="AZ172" s="80">
        <v>0</v>
      </c>
      <c r="BA172" s="80">
        <v>-2829</v>
      </c>
      <c r="BB172" s="80">
        <v>-19313</v>
      </c>
      <c r="BC172" s="80">
        <v>24517</v>
      </c>
      <c r="BD172" s="80">
        <v>348</v>
      </c>
      <c r="BE172" s="80">
        <v>4856</v>
      </c>
      <c r="BF172" s="80">
        <v>-8395</v>
      </c>
      <c r="BG172" s="80">
        <v>6547</v>
      </c>
      <c r="BH172" s="80">
        <v>-3630</v>
      </c>
      <c r="BI172" s="80">
        <v>3661</v>
      </c>
      <c r="BJ172" s="80">
        <v>31</v>
      </c>
      <c r="BK172" s="80">
        <v>7953</v>
      </c>
      <c r="BL172" s="80">
        <v>20000</v>
      </c>
      <c r="BM172" s="80">
        <v>357</v>
      </c>
      <c r="BN172" s="80">
        <v>-11690</v>
      </c>
      <c r="BO172" s="80">
        <v>-51</v>
      </c>
      <c r="BP172" s="80">
        <v>2275</v>
      </c>
      <c r="BQ172" s="80">
        <v>-70</v>
      </c>
      <c r="BR172" s="80">
        <v>-40</v>
      </c>
      <c r="BS172" s="80">
        <v>1504</v>
      </c>
      <c r="BT172" s="80">
        <v>881</v>
      </c>
      <c r="BU172" s="80">
        <v>-1849</v>
      </c>
      <c r="BV172" s="80">
        <v>10589</v>
      </c>
      <c r="BW172" s="80">
        <v>12438</v>
      </c>
      <c r="BX172" s="81"/>
      <c r="BY172" s="80">
        <v>281350</v>
      </c>
      <c r="BZ172" s="80">
        <v>348</v>
      </c>
      <c r="CA172" s="80">
        <v>304</v>
      </c>
      <c r="CB172" s="80">
        <v>44</v>
      </c>
      <c r="CC172" s="80">
        <v>0</v>
      </c>
      <c r="CD172" s="80">
        <v>236055</v>
      </c>
      <c r="CE172" s="80">
        <v>57279</v>
      </c>
      <c r="CF172" s="80">
        <v>96574</v>
      </c>
      <c r="CG172" s="80">
        <v>72610</v>
      </c>
      <c r="CH172" s="80">
        <v>3300</v>
      </c>
      <c r="CI172" s="80">
        <v>0</v>
      </c>
      <c r="CJ172" s="80">
        <v>0</v>
      </c>
      <c r="CK172" s="80">
        <v>6292</v>
      </c>
      <c r="CL172" s="80">
        <v>44947</v>
      </c>
      <c r="CM172" s="80">
        <v>30687</v>
      </c>
      <c r="CN172" s="80">
        <v>10135</v>
      </c>
      <c r="CO172" s="80">
        <v>20552</v>
      </c>
      <c r="CP172" s="80">
        <v>0</v>
      </c>
      <c r="CQ172" s="80">
        <v>13829</v>
      </c>
      <c r="CR172" s="80">
        <v>0</v>
      </c>
      <c r="CS172" s="80">
        <v>0</v>
      </c>
      <c r="CT172" s="80">
        <v>13829</v>
      </c>
      <c r="CU172" s="80">
        <v>431</v>
      </c>
      <c r="CV172" s="80">
        <v>2058</v>
      </c>
      <c r="CW172" s="80">
        <v>1535</v>
      </c>
      <c r="CX172" s="80">
        <v>454</v>
      </c>
      <c r="CY172" s="80">
        <v>69</v>
      </c>
      <c r="CZ172" s="80">
        <v>19579</v>
      </c>
      <c r="DA172" s="80">
        <v>508</v>
      </c>
      <c r="DB172" s="80">
        <v>508</v>
      </c>
      <c r="DC172" s="80">
        <v>0</v>
      </c>
      <c r="DD172" s="80">
        <v>0</v>
      </c>
      <c r="DE172" s="80">
        <v>0</v>
      </c>
      <c r="DF172" s="80">
        <v>0</v>
      </c>
      <c r="DG172" s="80">
        <v>8316</v>
      </c>
      <c r="DH172" s="80">
        <v>178</v>
      </c>
      <c r="DI172" s="80">
        <v>0</v>
      </c>
      <c r="DJ172" s="80">
        <v>0</v>
      </c>
      <c r="DK172" s="80">
        <v>178</v>
      </c>
      <c r="DL172" s="80">
        <v>0</v>
      </c>
      <c r="DM172" s="80">
        <v>8138</v>
      </c>
      <c r="DN172" s="80">
        <v>4484</v>
      </c>
      <c r="DO172" s="80">
        <v>0</v>
      </c>
      <c r="DP172" s="80">
        <v>2278</v>
      </c>
      <c r="DQ172" s="80">
        <v>1376</v>
      </c>
      <c r="DR172" s="80">
        <v>165</v>
      </c>
      <c r="DS172" s="80">
        <v>165</v>
      </c>
      <c r="DT172" s="80">
        <v>0</v>
      </c>
      <c r="DU172" s="80">
        <v>0</v>
      </c>
      <c r="DV172" s="80">
        <v>0</v>
      </c>
      <c r="DW172" s="80">
        <v>10590</v>
      </c>
      <c r="DX172" s="80">
        <v>302987</v>
      </c>
      <c r="DY172" s="80">
        <v>138556</v>
      </c>
      <c r="DZ172" s="80">
        <v>84195</v>
      </c>
      <c r="EA172" s="80">
        <v>0</v>
      </c>
      <c r="EB172" s="80">
        <v>0</v>
      </c>
      <c r="EC172" s="80">
        <v>54621</v>
      </c>
      <c r="ED172" s="80">
        <v>-260</v>
      </c>
      <c r="EE172" s="80">
        <v>356</v>
      </c>
      <c r="EF172" s="80">
        <v>356</v>
      </c>
      <c r="EG172" s="80">
        <v>0</v>
      </c>
      <c r="EH172" s="80">
        <v>2923</v>
      </c>
      <c r="EI172" s="80">
        <v>0</v>
      </c>
      <c r="EJ172" s="80">
        <v>2923</v>
      </c>
      <c r="EK172" s="80">
        <v>2039</v>
      </c>
      <c r="EL172" s="80">
        <v>1536</v>
      </c>
      <c r="EM172" s="80">
        <v>454</v>
      </c>
      <c r="EN172" s="80">
        <v>49</v>
      </c>
      <c r="EO172" s="80">
        <v>159113</v>
      </c>
      <c r="EP172" s="80">
        <v>118684</v>
      </c>
      <c r="EQ172" s="80">
        <v>0</v>
      </c>
      <c r="ER172" s="80">
        <v>101028</v>
      </c>
      <c r="ES172" s="80">
        <v>55000</v>
      </c>
      <c r="ET172" s="80">
        <v>46028</v>
      </c>
      <c r="EU172" s="80">
        <v>0</v>
      </c>
      <c r="EV172" s="80">
        <v>0</v>
      </c>
      <c r="EW172" s="80">
        <v>115</v>
      </c>
      <c r="EX172" s="80">
        <v>0</v>
      </c>
      <c r="EY172" s="80">
        <v>4591</v>
      </c>
      <c r="EZ172" s="80">
        <v>0</v>
      </c>
      <c r="FA172" s="80">
        <v>12637</v>
      </c>
      <c r="FB172" s="80">
        <v>0</v>
      </c>
      <c r="FC172" s="80">
        <v>313</v>
      </c>
      <c r="FD172" s="80">
        <v>40429</v>
      </c>
      <c r="FE172" s="80">
        <v>0</v>
      </c>
      <c r="FF172" s="80">
        <v>10343</v>
      </c>
      <c r="FG172" s="80">
        <v>10000</v>
      </c>
      <c r="FH172" s="80">
        <v>343</v>
      </c>
      <c r="FI172" s="80">
        <v>0</v>
      </c>
      <c r="FJ172" s="80">
        <v>0</v>
      </c>
      <c r="FK172" s="80">
        <v>14</v>
      </c>
      <c r="FL172" s="80">
        <v>65</v>
      </c>
      <c r="FM172" s="80">
        <v>2793</v>
      </c>
      <c r="FN172" s="80">
        <v>8953</v>
      </c>
      <c r="FO172" s="80">
        <v>2288</v>
      </c>
      <c r="FP172" s="80">
        <v>15973</v>
      </c>
      <c r="FQ172" s="80">
        <v>302987</v>
      </c>
      <c r="FR172" s="80">
        <v>16483</v>
      </c>
      <c r="FS172" s="80">
        <v>2889</v>
      </c>
      <c r="FT172" s="100">
        <v>157452.87095670286</v>
      </c>
      <c r="FU172" s="100"/>
      <c r="FV172" s="100">
        <v>75305</v>
      </c>
      <c r="FW172" s="67">
        <v>13748</v>
      </c>
      <c r="FX172" s="100">
        <f t="shared" si="15"/>
        <v>-87822</v>
      </c>
      <c r="FY172" s="100">
        <f t="shared" si="16"/>
        <v>-177193</v>
      </c>
      <c r="FZ172" s="100">
        <v>114938.35165903016</v>
      </c>
      <c r="GA172" s="67">
        <v>89371</v>
      </c>
      <c r="GB172" s="58">
        <f t="shared" si="13"/>
        <v>14066</v>
      </c>
      <c r="GC172" s="67">
        <v>14019</v>
      </c>
      <c r="GD172" s="100">
        <v>15499</v>
      </c>
      <c r="GE172" s="100">
        <v>7688</v>
      </c>
      <c r="GF172" s="58">
        <f t="shared" si="14"/>
        <v>7811</v>
      </c>
      <c r="GG172" s="100">
        <v>-100992.26300000001</v>
      </c>
      <c r="GH172" s="100">
        <v>-2079.1822500000007</v>
      </c>
      <c r="GI172" s="100">
        <v>-10991.775743513166</v>
      </c>
      <c r="GJ172" s="67">
        <f t="shared" si="17"/>
        <v>271</v>
      </c>
      <c r="GK172" s="67"/>
      <c r="GM172" s="96"/>
    </row>
    <row r="173" spans="1:195" ht="13.5" customHeight="1" x14ac:dyDescent="0.2">
      <c r="A173" s="74">
        <v>893</v>
      </c>
      <c r="B173" s="75" t="s">
        <v>313</v>
      </c>
      <c r="C173" s="82" t="s">
        <v>313</v>
      </c>
      <c r="D173" s="76"/>
      <c r="E173" s="77" t="s">
        <v>248</v>
      </c>
      <c r="F173" s="78">
        <v>3</v>
      </c>
      <c r="G173" s="79">
        <v>7564</v>
      </c>
      <c r="H173" s="80">
        <v>5708</v>
      </c>
      <c r="I173" s="80">
        <v>1295</v>
      </c>
      <c r="J173" s="80">
        <v>1092</v>
      </c>
      <c r="K173" s="80">
        <v>516</v>
      </c>
      <c r="L173" s="80">
        <v>2805</v>
      </c>
      <c r="M173" s="80">
        <v>0</v>
      </c>
      <c r="N173" s="80">
        <v>76</v>
      </c>
      <c r="O173" s="80">
        <v>49027</v>
      </c>
      <c r="P173" s="80">
        <v>15384</v>
      </c>
      <c r="Q173" s="80">
        <v>11526</v>
      </c>
      <c r="R173" s="80">
        <v>3858</v>
      </c>
      <c r="S173" s="80">
        <v>3187</v>
      </c>
      <c r="T173" s="80">
        <v>671</v>
      </c>
      <c r="U173" s="80">
        <v>29921</v>
      </c>
      <c r="V173" s="80">
        <v>2091</v>
      </c>
      <c r="W173" s="80">
        <v>957</v>
      </c>
      <c r="X173" s="80">
        <v>674</v>
      </c>
      <c r="Y173" s="80">
        <v>-43243</v>
      </c>
      <c r="Z173" s="80">
        <v>27920</v>
      </c>
      <c r="AA173" s="80">
        <v>21085</v>
      </c>
      <c r="AB173" s="80">
        <v>4746</v>
      </c>
      <c r="AC173" s="80">
        <v>2089</v>
      </c>
      <c r="AD173" s="80">
        <v>15816</v>
      </c>
      <c r="AE173" s="80">
        <v>-75</v>
      </c>
      <c r="AF173" s="80">
        <v>30</v>
      </c>
      <c r="AG173" s="80">
        <v>91</v>
      </c>
      <c r="AH173" s="80">
        <v>36</v>
      </c>
      <c r="AI173" s="80">
        <v>188</v>
      </c>
      <c r="AJ173" s="80">
        <v>8</v>
      </c>
      <c r="AK173" s="80">
        <v>418</v>
      </c>
      <c r="AL173" s="80">
        <v>1728</v>
      </c>
      <c r="AM173" s="80">
        <v>1728</v>
      </c>
      <c r="AN173" s="80">
        <v>0</v>
      </c>
      <c r="AO173" s="80">
        <v>0</v>
      </c>
      <c r="AP173" s="80">
        <v>0</v>
      </c>
      <c r="AQ173" s="80">
        <v>0</v>
      </c>
      <c r="AR173" s="80">
        <v>-1310</v>
      </c>
      <c r="AS173" s="80">
        <v>62</v>
      </c>
      <c r="AT173" s="80">
        <v>0</v>
      </c>
      <c r="AU173" s="80">
        <v>0</v>
      </c>
      <c r="AV173" s="80">
        <v>-1248</v>
      </c>
      <c r="AW173" s="81"/>
      <c r="AX173" s="80">
        <v>-39</v>
      </c>
      <c r="AY173" s="80">
        <v>418</v>
      </c>
      <c r="AZ173" s="80">
        <v>0</v>
      </c>
      <c r="BA173" s="80">
        <v>-457</v>
      </c>
      <c r="BB173" s="80">
        <v>-4970</v>
      </c>
      <c r="BC173" s="80">
        <v>6007</v>
      </c>
      <c r="BD173" s="80">
        <v>310</v>
      </c>
      <c r="BE173" s="80">
        <v>727</v>
      </c>
      <c r="BF173" s="80">
        <v>-5009</v>
      </c>
      <c r="BG173" s="80">
        <v>3883</v>
      </c>
      <c r="BH173" s="80">
        <v>0</v>
      </c>
      <c r="BI173" s="80">
        <v>0</v>
      </c>
      <c r="BJ173" s="80">
        <v>0</v>
      </c>
      <c r="BK173" s="80">
        <v>3388</v>
      </c>
      <c r="BL173" s="80">
        <v>5300</v>
      </c>
      <c r="BM173" s="80">
        <v>1812</v>
      </c>
      <c r="BN173" s="80">
        <v>-100</v>
      </c>
      <c r="BO173" s="80">
        <v>0</v>
      </c>
      <c r="BP173" s="80">
        <v>495</v>
      </c>
      <c r="BQ173" s="80">
        <v>0</v>
      </c>
      <c r="BR173" s="80">
        <v>2</v>
      </c>
      <c r="BS173" s="80">
        <v>230</v>
      </c>
      <c r="BT173" s="80">
        <v>263</v>
      </c>
      <c r="BU173" s="80">
        <v>-1126</v>
      </c>
      <c r="BV173" s="80">
        <v>1613</v>
      </c>
      <c r="BW173" s="80">
        <v>2739</v>
      </c>
      <c r="BX173" s="81"/>
      <c r="BY173" s="80">
        <v>59622</v>
      </c>
      <c r="BZ173" s="80">
        <v>0</v>
      </c>
      <c r="CA173" s="80">
        <v>0</v>
      </c>
      <c r="CB173" s="80">
        <v>0</v>
      </c>
      <c r="CC173" s="80">
        <v>0</v>
      </c>
      <c r="CD173" s="80">
        <v>40983</v>
      </c>
      <c r="CE173" s="80">
        <v>10436</v>
      </c>
      <c r="CF173" s="80">
        <v>18184</v>
      </c>
      <c r="CG173" s="80">
        <v>6067</v>
      </c>
      <c r="CH173" s="80">
        <v>1279</v>
      </c>
      <c r="CI173" s="80">
        <v>0</v>
      </c>
      <c r="CJ173" s="80">
        <v>0</v>
      </c>
      <c r="CK173" s="80">
        <v>5017</v>
      </c>
      <c r="CL173" s="80">
        <v>18639</v>
      </c>
      <c r="CM173" s="80">
        <v>15404</v>
      </c>
      <c r="CN173" s="80">
        <v>2997</v>
      </c>
      <c r="CO173" s="80">
        <v>12407</v>
      </c>
      <c r="CP173" s="80">
        <v>0</v>
      </c>
      <c r="CQ173" s="80">
        <v>3014</v>
      </c>
      <c r="CR173" s="80">
        <v>0</v>
      </c>
      <c r="CS173" s="80">
        <v>0</v>
      </c>
      <c r="CT173" s="80">
        <v>3014</v>
      </c>
      <c r="CU173" s="80">
        <v>221</v>
      </c>
      <c r="CV173" s="80">
        <v>446</v>
      </c>
      <c r="CW173" s="80">
        <v>0</v>
      </c>
      <c r="CX173" s="80">
        <v>446</v>
      </c>
      <c r="CY173" s="80">
        <v>0</v>
      </c>
      <c r="CZ173" s="80">
        <v>3498</v>
      </c>
      <c r="DA173" s="80">
        <v>23</v>
      </c>
      <c r="DB173" s="80">
        <v>23</v>
      </c>
      <c r="DC173" s="80">
        <v>0</v>
      </c>
      <c r="DD173" s="80">
        <v>0</v>
      </c>
      <c r="DE173" s="80">
        <v>0</v>
      </c>
      <c r="DF173" s="80">
        <v>0</v>
      </c>
      <c r="DG173" s="80">
        <v>1862</v>
      </c>
      <c r="DH173" s="80">
        <v>0</v>
      </c>
      <c r="DI173" s="80">
        <v>0</v>
      </c>
      <c r="DJ173" s="80">
        <v>0</v>
      </c>
      <c r="DK173" s="80">
        <v>0</v>
      </c>
      <c r="DL173" s="80">
        <v>0</v>
      </c>
      <c r="DM173" s="80">
        <v>1862</v>
      </c>
      <c r="DN173" s="80">
        <v>584</v>
      </c>
      <c r="DO173" s="80">
        <v>725</v>
      </c>
      <c r="DP173" s="80">
        <v>319</v>
      </c>
      <c r="DQ173" s="80">
        <v>234</v>
      </c>
      <c r="DR173" s="80">
        <v>806</v>
      </c>
      <c r="DS173" s="80">
        <v>0</v>
      </c>
      <c r="DT173" s="80">
        <v>806</v>
      </c>
      <c r="DU173" s="80">
        <v>0</v>
      </c>
      <c r="DV173" s="80">
        <v>0</v>
      </c>
      <c r="DW173" s="80">
        <v>807</v>
      </c>
      <c r="DX173" s="80">
        <v>63566</v>
      </c>
      <c r="DY173" s="80">
        <v>37650</v>
      </c>
      <c r="DZ173" s="80">
        <v>21295</v>
      </c>
      <c r="EA173" s="80">
        <v>6399</v>
      </c>
      <c r="EB173" s="80">
        <v>0</v>
      </c>
      <c r="EC173" s="80">
        <v>11204</v>
      </c>
      <c r="ED173" s="80">
        <v>-1248</v>
      </c>
      <c r="EE173" s="80">
        <v>327</v>
      </c>
      <c r="EF173" s="80">
        <v>327</v>
      </c>
      <c r="EG173" s="80">
        <v>0</v>
      </c>
      <c r="EH173" s="80">
        <v>0</v>
      </c>
      <c r="EI173" s="80">
        <v>0</v>
      </c>
      <c r="EJ173" s="80">
        <v>0</v>
      </c>
      <c r="EK173" s="80">
        <v>446</v>
      </c>
      <c r="EL173" s="80">
        <v>0</v>
      </c>
      <c r="EM173" s="80">
        <v>445</v>
      </c>
      <c r="EN173" s="80">
        <v>1</v>
      </c>
      <c r="EO173" s="80">
        <v>25143</v>
      </c>
      <c r="EP173" s="80">
        <v>11608</v>
      </c>
      <c r="EQ173" s="80">
        <v>0</v>
      </c>
      <c r="ER173" s="80">
        <v>11592</v>
      </c>
      <c r="ES173" s="80">
        <v>8775</v>
      </c>
      <c r="ET173" s="80">
        <v>2817</v>
      </c>
      <c r="EU173" s="80">
        <v>0</v>
      </c>
      <c r="EV173" s="80">
        <v>0</v>
      </c>
      <c r="EW173" s="80">
        <v>0</v>
      </c>
      <c r="EX173" s="80">
        <v>0</v>
      </c>
      <c r="EY173" s="80">
        <v>0</v>
      </c>
      <c r="EZ173" s="80">
        <v>0</v>
      </c>
      <c r="FA173" s="80">
        <v>16</v>
      </c>
      <c r="FB173" s="80">
        <v>0</v>
      </c>
      <c r="FC173" s="80">
        <v>0</v>
      </c>
      <c r="FD173" s="80">
        <v>13535</v>
      </c>
      <c r="FE173" s="80">
        <v>0</v>
      </c>
      <c r="FF173" s="80">
        <v>8277</v>
      </c>
      <c r="FG173" s="80">
        <v>7310</v>
      </c>
      <c r="FH173" s="80">
        <v>967</v>
      </c>
      <c r="FI173" s="80">
        <v>0</v>
      </c>
      <c r="FJ173" s="80">
        <v>0</v>
      </c>
      <c r="FK173" s="80">
        <v>0</v>
      </c>
      <c r="FL173" s="80">
        <v>0</v>
      </c>
      <c r="FM173" s="80">
        <v>0</v>
      </c>
      <c r="FN173" s="80">
        <v>3318</v>
      </c>
      <c r="FO173" s="80">
        <v>290</v>
      </c>
      <c r="FP173" s="80">
        <v>1650</v>
      </c>
      <c r="FQ173" s="80">
        <v>63566</v>
      </c>
      <c r="FR173" s="80">
        <v>8539</v>
      </c>
      <c r="FS173" s="80">
        <v>25</v>
      </c>
      <c r="FT173" s="100">
        <v>25361.032661610545</v>
      </c>
      <c r="FU173" s="100"/>
      <c r="FV173" s="100">
        <v>7807</v>
      </c>
      <c r="FW173" s="67">
        <v>1676</v>
      </c>
      <c r="FX173" s="100">
        <f t="shared" si="15"/>
        <v>-33381</v>
      </c>
      <c r="FY173" s="100">
        <f t="shared" si="16"/>
        <v>-41515</v>
      </c>
      <c r="FZ173" s="100">
        <v>26050.235099110971</v>
      </c>
      <c r="GA173" s="67">
        <v>8134</v>
      </c>
      <c r="GB173" s="58">
        <f t="shared" si="13"/>
        <v>327</v>
      </c>
      <c r="GC173" s="67">
        <v>1725</v>
      </c>
      <c r="GD173" s="100">
        <v>856</v>
      </c>
      <c r="GE173" s="100">
        <v>856</v>
      </c>
      <c r="GF173" s="58">
        <f t="shared" si="14"/>
        <v>0</v>
      </c>
      <c r="GG173" s="100">
        <v>-12474.171</v>
      </c>
      <c r="GH173" s="100">
        <v>-1234.2622000000001</v>
      </c>
      <c r="GI173" s="100">
        <v>-12231.114082183965</v>
      </c>
      <c r="GJ173" s="67">
        <f t="shared" si="17"/>
        <v>49</v>
      </c>
      <c r="GK173" s="67"/>
      <c r="GM173" s="96"/>
    </row>
    <row r="174" spans="1:195" ht="13.5" customHeight="1" x14ac:dyDescent="0.2">
      <c r="A174" s="198">
        <v>740</v>
      </c>
      <c r="B174" s="199" t="s">
        <v>303</v>
      </c>
      <c r="C174" s="200" t="s">
        <v>303</v>
      </c>
      <c r="D174" s="201"/>
      <c r="E174" s="202" t="s">
        <v>220</v>
      </c>
      <c r="F174" s="203">
        <v>5</v>
      </c>
      <c r="G174" s="204">
        <v>35523</v>
      </c>
      <c r="H174" s="205">
        <v>30866</v>
      </c>
      <c r="I174" s="205">
        <v>11140</v>
      </c>
      <c r="J174" s="205">
        <v>3057</v>
      </c>
      <c r="K174" s="205">
        <v>6218</v>
      </c>
      <c r="L174" s="205">
        <v>10451</v>
      </c>
      <c r="M174" s="205">
        <v>0</v>
      </c>
      <c r="N174" s="205">
        <v>0</v>
      </c>
      <c r="O174" s="205">
        <v>232703</v>
      </c>
      <c r="P174" s="205">
        <v>59368</v>
      </c>
      <c r="Q174" s="205">
        <v>43167</v>
      </c>
      <c r="R174" s="205">
        <v>16201</v>
      </c>
      <c r="S174" s="205">
        <v>13874</v>
      </c>
      <c r="T174" s="205">
        <v>2327</v>
      </c>
      <c r="U174" s="205">
        <v>148860</v>
      </c>
      <c r="V174" s="205">
        <v>7110</v>
      </c>
      <c r="W174" s="205">
        <v>15179</v>
      </c>
      <c r="X174" s="205">
        <v>2186</v>
      </c>
      <c r="Y174" s="205">
        <v>-201837</v>
      </c>
      <c r="Z174" s="205">
        <v>136047</v>
      </c>
      <c r="AA174" s="205">
        <v>114616</v>
      </c>
      <c r="AB174" s="205">
        <v>9193</v>
      </c>
      <c r="AC174" s="205">
        <v>12238</v>
      </c>
      <c r="AD174" s="205">
        <v>75539</v>
      </c>
      <c r="AE174" s="205">
        <v>-628</v>
      </c>
      <c r="AF174" s="205">
        <v>69</v>
      </c>
      <c r="AG174" s="205">
        <v>853</v>
      </c>
      <c r="AH174" s="205">
        <v>740</v>
      </c>
      <c r="AI174" s="205">
        <v>1546</v>
      </c>
      <c r="AJ174" s="205">
        <v>4</v>
      </c>
      <c r="AK174" s="205">
        <v>9121</v>
      </c>
      <c r="AL174" s="205">
        <v>8926</v>
      </c>
      <c r="AM174" s="205">
        <v>8926</v>
      </c>
      <c r="AN174" s="205">
        <v>0</v>
      </c>
      <c r="AO174" s="205">
        <v>0</v>
      </c>
      <c r="AP174" s="205">
        <v>0</v>
      </c>
      <c r="AQ174" s="205">
        <v>0</v>
      </c>
      <c r="AR174" s="205">
        <v>195</v>
      </c>
      <c r="AS174" s="205">
        <v>26</v>
      </c>
      <c r="AT174" s="205">
        <v>0</v>
      </c>
      <c r="AU174" s="205">
        <v>798</v>
      </c>
      <c r="AV174" s="205">
        <v>1019</v>
      </c>
      <c r="AW174" s="206"/>
      <c r="AX174" s="205">
        <v>7655</v>
      </c>
      <c r="AY174" s="205">
        <v>9121</v>
      </c>
      <c r="AZ174" s="205">
        <v>0</v>
      </c>
      <c r="BA174" s="205">
        <v>-1466</v>
      </c>
      <c r="BB174" s="205">
        <v>-7570</v>
      </c>
      <c r="BC174" s="205">
        <v>10281</v>
      </c>
      <c r="BD174" s="205">
        <v>818</v>
      </c>
      <c r="BE174" s="205">
        <v>1893</v>
      </c>
      <c r="BF174" s="205">
        <v>85</v>
      </c>
      <c r="BG174" s="205">
        <v>-89</v>
      </c>
      <c r="BH174" s="205">
        <v>8</v>
      </c>
      <c r="BI174" s="205">
        <v>0</v>
      </c>
      <c r="BJ174" s="205">
        <v>8</v>
      </c>
      <c r="BK174" s="205">
        <v>-4174</v>
      </c>
      <c r="BL174" s="205">
        <v>10000</v>
      </c>
      <c r="BM174" s="205">
        <v>13724</v>
      </c>
      <c r="BN174" s="205">
        <v>-450</v>
      </c>
      <c r="BO174" s="205">
        <v>0</v>
      </c>
      <c r="BP174" s="205">
        <v>4077</v>
      </c>
      <c r="BQ174" s="205">
        <v>70</v>
      </c>
      <c r="BR174" s="205">
        <v>4</v>
      </c>
      <c r="BS174" s="205">
        <v>3586</v>
      </c>
      <c r="BT174" s="205">
        <v>417</v>
      </c>
      <c r="BU174" s="205">
        <v>-4</v>
      </c>
      <c r="BV174" s="205">
        <v>185</v>
      </c>
      <c r="BW174" s="205">
        <v>189</v>
      </c>
      <c r="BX174" s="206"/>
      <c r="BY174" s="205">
        <v>261685</v>
      </c>
      <c r="BZ174" s="205">
        <v>625</v>
      </c>
      <c r="CA174" s="205">
        <v>28</v>
      </c>
      <c r="CB174" s="205">
        <v>597</v>
      </c>
      <c r="CC174" s="205">
        <v>0</v>
      </c>
      <c r="CD174" s="205">
        <v>184050</v>
      </c>
      <c r="CE174" s="205">
        <v>58056</v>
      </c>
      <c r="CF174" s="205">
        <v>85219</v>
      </c>
      <c r="CG174" s="205">
        <v>32993</v>
      </c>
      <c r="CH174" s="205">
        <v>1881</v>
      </c>
      <c r="CI174" s="205">
        <v>0</v>
      </c>
      <c r="CJ174" s="205">
        <v>0</v>
      </c>
      <c r="CK174" s="205">
        <v>5901</v>
      </c>
      <c r="CL174" s="205">
        <v>77010</v>
      </c>
      <c r="CM174" s="205">
        <v>68156</v>
      </c>
      <c r="CN174" s="205">
        <v>16711</v>
      </c>
      <c r="CO174" s="205">
        <v>51445</v>
      </c>
      <c r="CP174" s="205">
        <v>0</v>
      </c>
      <c r="CQ174" s="205">
        <v>8516</v>
      </c>
      <c r="CR174" s="205">
        <v>0</v>
      </c>
      <c r="CS174" s="205">
        <v>0</v>
      </c>
      <c r="CT174" s="205">
        <v>8516</v>
      </c>
      <c r="CU174" s="205">
        <v>338</v>
      </c>
      <c r="CV174" s="205">
        <v>636</v>
      </c>
      <c r="CW174" s="205">
        <v>1</v>
      </c>
      <c r="CX174" s="205">
        <v>635</v>
      </c>
      <c r="CY174" s="205">
        <v>0</v>
      </c>
      <c r="CZ174" s="205">
        <v>9999</v>
      </c>
      <c r="DA174" s="205">
        <v>79</v>
      </c>
      <c r="DB174" s="205">
        <v>79</v>
      </c>
      <c r="DC174" s="205">
        <v>0</v>
      </c>
      <c r="DD174" s="205">
        <v>0</v>
      </c>
      <c r="DE174" s="205">
        <v>0</v>
      </c>
      <c r="DF174" s="205">
        <v>0</v>
      </c>
      <c r="DG174" s="205">
        <v>9735</v>
      </c>
      <c r="DH174" s="205">
        <v>2024</v>
      </c>
      <c r="DI174" s="205">
        <v>107</v>
      </c>
      <c r="DJ174" s="205">
        <v>0</v>
      </c>
      <c r="DK174" s="205">
        <v>1917</v>
      </c>
      <c r="DL174" s="205">
        <v>0</v>
      </c>
      <c r="DM174" s="205">
        <v>7711</v>
      </c>
      <c r="DN174" s="205">
        <v>2775</v>
      </c>
      <c r="DO174" s="205">
        <v>303</v>
      </c>
      <c r="DP174" s="205">
        <v>4629</v>
      </c>
      <c r="DQ174" s="205">
        <v>4</v>
      </c>
      <c r="DR174" s="205">
        <v>120</v>
      </c>
      <c r="DS174" s="205">
        <v>120</v>
      </c>
      <c r="DT174" s="205">
        <v>0</v>
      </c>
      <c r="DU174" s="205">
        <v>0</v>
      </c>
      <c r="DV174" s="205">
        <v>0</v>
      </c>
      <c r="DW174" s="205">
        <v>65</v>
      </c>
      <c r="DX174" s="205">
        <v>272320</v>
      </c>
      <c r="DY174" s="205">
        <v>139480</v>
      </c>
      <c r="DZ174" s="205">
        <v>131126</v>
      </c>
      <c r="EA174" s="205">
        <v>17019</v>
      </c>
      <c r="EB174" s="205">
        <v>0</v>
      </c>
      <c r="EC174" s="205">
        <v>-9684</v>
      </c>
      <c r="ED174" s="205">
        <v>1019</v>
      </c>
      <c r="EE174" s="205">
        <v>375</v>
      </c>
      <c r="EF174" s="205">
        <v>375</v>
      </c>
      <c r="EG174" s="205">
        <v>0</v>
      </c>
      <c r="EH174" s="205">
        <v>183</v>
      </c>
      <c r="EI174" s="205">
        <v>0</v>
      </c>
      <c r="EJ174" s="205">
        <v>183</v>
      </c>
      <c r="EK174" s="205">
        <v>1440</v>
      </c>
      <c r="EL174" s="205">
        <v>260</v>
      </c>
      <c r="EM174" s="205">
        <v>635</v>
      </c>
      <c r="EN174" s="205">
        <v>545</v>
      </c>
      <c r="EO174" s="205">
        <v>130842</v>
      </c>
      <c r="EP174" s="205">
        <v>66824</v>
      </c>
      <c r="EQ174" s="205">
        <v>0</v>
      </c>
      <c r="ER174" s="205">
        <v>64876</v>
      </c>
      <c r="ES174" s="205">
        <v>20050</v>
      </c>
      <c r="ET174" s="205">
        <v>44826</v>
      </c>
      <c r="EU174" s="205">
        <v>0</v>
      </c>
      <c r="EV174" s="205">
        <v>0</v>
      </c>
      <c r="EW174" s="205">
        <v>121</v>
      </c>
      <c r="EX174" s="205">
        <v>0</v>
      </c>
      <c r="EY174" s="205">
        <v>0</v>
      </c>
      <c r="EZ174" s="205">
        <v>0</v>
      </c>
      <c r="FA174" s="205">
        <v>1827</v>
      </c>
      <c r="FB174" s="205">
        <v>0</v>
      </c>
      <c r="FC174" s="205">
        <v>0</v>
      </c>
      <c r="FD174" s="205">
        <v>64018</v>
      </c>
      <c r="FE174" s="205">
        <v>0</v>
      </c>
      <c r="FF174" s="205">
        <v>38033</v>
      </c>
      <c r="FG174" s="205">
        <v>25791</v>
      </c>
      <c r="FH174" s="205">
        <v>12242</v>
      </c>
      <c r="FI174" s="205">
        <v>0</v>
      </c>
      <c r="FJ174" s="205">
        <v>0</v>
      </c>
      <c r="FK174" s="205">
        <v>121</v>
      </c>
      <c r="FL174" s="205">
        <v>0</v>
      </c>
      <c r="FM174" s="205">
        <v>26</v>
      </c>
      <c r="FN174" s="205">
        <v>16158</v>
      </c>
      <c r="FO174" s="205">
        <v>1327</v>
      </c>
      <c r="FP174" s="205">
        <v>8353</v>
      </c>
      <c r="FQ174" s="205">
        <v>272320</v>
      </c>
      <c r="FR174" s="205">
        <v>25083</v>
      </c>
      <c r="FS174" s="205">
        <v>2510</v>
      </c>
      <c r="FT174" s="207">
        <v>109511.45502885185</v>
      </c>
      <c r="FU174" s="207"/>
      <c r="FV174" s="207">
        <v>49207</v>
      </c>
      <c r="FW174" s="208">
        <v>8911</v>
      </c>
      <c r="FX174" s="207">
        <f t="shared" si="15"/>
        <v>-139433</v>
      </c>
      <c r="FY174" s="207">
        <f t="shared" si="16"/>
        <v>-192911</v>
      </c>
      <c r="FZ174" s="207">
        <v>141383.41293146909</v>
      </c>
      <c r="GA174" s="208">
        <v>53478</v>
      </c>
      <c r="GB174" s="209">
        <f t="shared" si="13"/>
        <v>4271</v>
      </c>
      <c r="GC174" s="208">
        <v>8926</v>
      </c>
      <c r="GD174" s="207">
        <v>3087</v>
      </c>
      <c r="GE174" s="207">
        <v>2682</v>
      </c>
      <c r="GF174" s="209">
        <f t="shared" si="14"/>
        <v>405</v>
      </c>
      <c r="GG174" s="207">
        <v>-62457.59599999999</v>
      </c>
      <c r="GH174" s="207">
        <v>-2523.2843000000007</v>
      </c>
      <c r="GI174" s="207">
        <v>-77828.191761357244</v>
      </c>
      <c r="GJ174" s="208">
        <f t="shared" si="17"/>
        <v>15</v>
      </c>
      <c r="GK174" s="67"/>
      <c r="GM174" s="96"/>
    </row>
    <row r="175" spans="1:195" ht="13.5" customHeight="1" x14ac:dyDescent="0.2">
      <c r="A175" s="74">
        <v>895</v>
      </c>
      <c r="B175" s="75" t="s">
        <v>314</v>
      </c>
      <c r="C175" s="82" t="s">
        <v>314</v>
      </c>
      <c r="D175" s="76"/>
      <c r="E175" s="77" t="s">
        <v>219</v>
      </c>
      <c r="F175" s="78">
        <v>4</v>
      </c>
      <c r="G175" s="79">
        <v>15510</v>
      </c>
      <c r="H175" s="80">
        <v>27246</v>
      </c>
      <c r="I175" s="80">
        <v>15280</v>
      </c>
      <c r="J175" s="80">
        <v>6239</v>
      </c>
      <c r="K175" s="80">
        <v>1338</v>
      </c>
      <c r="L175" s="80">
        <v>4389</v>
      </c>
      <c r="M175" s="80">
        <v>0</v>
      </c>
      <c r="N175" s="80">
        <v>448</v>
      </c>
      <c r="O175" s="80">
        <v>105660</v>
      </c>
      <c r="P175" s="80">
        <v>46489</v>
      </c>
      <c r="Q175" s="80">
        <v>35023</v>
      </c>
      <c r="R175" s="80">
        <v>11466</v>
      </c>
      <c r="S175" s="80">
        <v>9494</v>
      </c>
      <c r="T175" s="80">
        <v>1972</v>
      </c>
      <c r="U175" s="80">
        <v>45344</v>
      </c>
      <c r="V175" s="80">
        <v>6570</v>
      </c>
      <c r="W175" s="80">
        <v>5487</v>
      </c>
      <c r="X175" s="80">
        <v>1770</v>
      </c>
      <c r="Y175" s="80">
        <v>-77966</v>
      </c>
      <c r="Z175" s="80">
        <v>61894</v>
      </c>
      <c r="AA175" s="80">
        <v>53532</v>
      </c>
      <c r="AB175" s="80">
        <v>3928</v>
      </c>
      <c r="AC175" s="80">
        <v>4434</v>
      </c>
      <c r="AD175" s="80">
        <v>24317</v>
      </c>
      <c r="AE175" s="80">
        <v>237</v>
      </c>
      <c r="AF175" s="80">
        <v>156</v>
      </c>
      <c r="AG175" s="80">
        <v>701</v>
      </c>
      <c r="AH175" s="80">
        <v>238</v>
      </c>
      <c r="AI175" s="80">
        <v>512</v>
      </c>
      <c r="AJ175" s="80">
        <v>108</v>
      </c>
      <c r="AK175" s="80">
        <v>8482</v>
      </c>
      <c r="AL175" s="80">
        <v>5510</v>
      </c>
      <c r="AM175" s="80">
        <v>5260</v>
      </c>
      <c r="AN175" s="80">
        <v>250</v>
      </c>
      <c r="AO175" s="80">
        <v>162</v>
      </c>
      <c r="AP175" s="80">
        <v>162</v>
      </c>
      <c r="AQ175" s="80">
        <v>0</v>
      </c>
      <c r="AR175" s="80">
        <v>3134</v>
      </c>
      <c r="AS175" s="80">
        <v>405</v>
      </c>
      <c r="AT175" s="80">
        <v>0</v>
      </c>
      <c r="AU175" s="80">
        <v>-20</v>
      </c>
      <c r="AV175" s="80">
        <v>3519</v>
      </c>
      <c r="AW175" s="81"/>
      <c r="AX175" s="80">
        <v>7737</v>
      </c>
      <c r="AY175" s="80">
        <v>8482</v>
      </c>
      <c r="AZ175" s="80">
        <v>162</v>
      </c>
      <c r="BA175" s="80">
        <v>-907</v>
      </c>
      <c r="BB175" s="80">
        <v>-4506</v>
      </c>
      <c r="BC175" s="80">
        <v>7165</v>
      </c>
      <c r="BD175" s="80">
        <v>1746</v>
      </c>
      <c r="BE175" s="80">
        <v>913</v>
      </c>
      <c r="BF175" s="80">
        <v>3231</v>
      </c>
      <c r="BG175" s="80">
        <v>1</v>
      </c>
      <c r="BH175" s="80">
        <v>10</v>
      </c>
      <c r="BI175" s="80">
        <v>0</v>
      </c>
      <c r="BJ175" s="80">
        <v>10</v>
      </c>
      <c r="BK175" s="80">
        <v>-1381</v>
      </c>
      <c r="BL175" s="80">
        <v>5000</v>
      </c>
      <c r="BM175" s="80">
        <v>4309</v>
      </c>
      <c r="BN175" s="80">
        <v>-2072</v>
      </c>
      <c r="BO175" s="80">
        <v>17</v>
      </c>
      <c r="BP175" s="80">
        <v>1355</v>
      </c>
      <c r="BQ175" s="80">
        <v>12</v>
      </c>
      <c r="BR175" s="80">
        <v>12</v>
      </c>
      <c r="BS175" s="80">
        <v>249</v>
      </c>
      <c r="BT175" s="80">
        <v>1082</v>
      </c>
      <c r="BU175" s="80">
        <v>3232</v>
      </c>
      <c r="BV175" s="80">
        <v>11849</v>
      </c>
      <c r="BW175" s="80">
        <v>8617</v>
      </c>
      <c r="BX175" s="81"/>
      <c r="BY175" s="80">
        <v>110372</v>
      </c>
      <c r="BZ175" s="80">
        <v>759</v>
      </c>
      <c r="CA175" s="80">
        <v>473</v>
      </c>
      <c r="CB175" s="80">
        <v>286</v>
      </c>
      <c r="CC175" s="80">
        <v>0</v>
      </c>
      <c r="CD175" s="80">
        <v>76173</v>
      </c>
      <c r="CE175" s="80">
        <v>8553</v>
      </c>
      <c r="CF175" s="80">
        <v>35680</v>
      </c>
      <c r="CG175" s="80">
        <v>28768</v>
      </c>
      <c r="CH175" s="80">
        <v>1252</v>
      </c>
      <c r="CI175" s="80">
        <v>86</v>
      </c>
      <c r="CJ175" s="80">
        <v>86</v>
      </c>
      <c r="CK175" s="80">
        <v>1834</v>
      </c>
      <c r="CL175" s="80">
        <v>33440</v>
      </c>
      <c r="CM175" s="80">
        <v>32716</v>
      </c>
      <c r="CN175" s="80">
        <v>11151</v>
      </c>
      <c r="CO175" s="80">
        <v>21565</v>
      </c>
      <c r="CP175" s="80">
        <v>0</v>
      </c>
      <c r="CQ175" s="80">
        <v>336</v>
      </c>
      <c r="CR175" s="80">
        <v>0</v>
      </c>
      <c r="CS175" s="80">
        <v>0</v>
      </c>
      <c r="CT175" s="80">
        <v>336</v>
      </c>
      <c r="CU175" s="80">
        <v>388</v>
      </c>
      <c r="CV175" s="80">
        <v>3079</v>
      </c>
      <c r="CW175" s="80">
        <v>2074</v>
      </c>
      <c r="CX175" s="80">
        <v>1005</v>
      </c>
      <c r="CY175" s="80">
        <v>0</v>
      </c>
      <c r="CZ175" s="80">
        <v>19915</v>
      </c>
      <c r="DA175" s="80">
        <v>283</v>
      </c>
      <c r="DB175" s="80">
        <v>283</v>
      </c>
      <c r="DC175" s="80">
        <v>0</v>
      </c>
      <c r="DD175" s="80">
        <v>0</v>
      </c>
      <c r="DE175" s="80">
        <v>0</v>
      </c>
      <c r="DF175" s="80">
        <v>0</v>
      </c>
      <c r="DG175" s="80">
        <v>7784</v>
      </c>
      <c r="DH175" s="80">
        <v>2119</v>
      </c>
      <c r="DI175" s="80">
        <v>0</v>
      </c>
      <c r="DJ175" s="80">
        <v>2119</v>
      </c>
      <c r="DK175" s="80">
        <v>0</v>
      </c>
      <c r="DL175" s="80">
        <v>0</v>
      </c>
      <c r="DM175" s="80">
        <v>5665</v>
      </c>
      <c r="DN175" s="80">
        <v>2253</v>
      </c>
      <c r="DO175" s="80">
        <v>1240</v>
      </c>
      <c r="DP175" s="80">
        <v>672</v>
      </c>
      <c r="DQ175" s="80">
        <v>1500</v>
      </c>
      <c r="DR175" s="80">
        <v>6322</v>
      </c>
      <c r="DS175" s="80">
        <v>109</v>
      </c>
      <c r="DT175" s="80">
        <v>6213</v>
      </c>
      <c r="DU175" s="80">
        <v>0</v>
      </c>
      <c r="DV175" s="80">
        <v>0</v>
      </c>
      <c r="DW175" s="80">
        <v>5526</v>
      </c>
      <c r="DX175" s="80">
        <v>133366</v>
      </c>
      <c r="DY175" s="80">
        <v>76133</v>
      </c>
      <c r="DZ175" s="80">
        <v>71173</v>
      </c>
      <c r="EA175" s="80">
        <v>0</v>
      </c>
      <c r="EB175" s="80">
        <v>944</v>
      </c>
      <c r="EC175" s="80">
        <v>498</v>
      </c>
      <c r="ED175" s="80">
        <v>3518</v>
      </c>
      <c r="EE175" s="80">
        <v>8642</v>
      </c>
      <c r="EF175" s="80">
        <v>7100</v>
      </c>
      <c r="EG175" s="80">
        <v>1542</v>
      </c>
      <c r="EH175" s="80">
        <v>176</v>
      </c>
      <c r="EI175" s="80">
        <v>0</v>
      </c>
      <c r="EJ175" s="80">
        <v>176</v>
      </c>
      <c r="EK175" s="80">
        <v>3257</v>
      </c>
      <c r="EL175" s="80">
        <v>2223</v>
      </c>
      <c r="EM175" s="80">
        <v>1003</v>
      </c>
      <c r="EN175" s="80">
        <v>31</v>
      </c>
      <c r="EO175" s="80">
        <v>45158</v>
      </c>
      <c r="EP175" s="80">
        <v>21836</v>
      </c>
      <c r="EQ175" s="80">
        <v>0</v>
      </c>
      <c r="ER175" s="80">
        <v>19544</v>
      </c>
      <c r="ES175" s="80">
        <v>10902</v>
      </c>
      <c r="ET175" s="80">
        <v>8642</v>
      </c>
      <c r="EU175" s="80">
        <v>0</v>
      </c>
      <c r="EV175" s="80">
        <v>0</v>
      </c>
      <c r="EW175" s="80">
        <v>1106</v>
      </c>
      <c r="EX175" s="80">
        <v>0</v>
      </c>
      <c r="EY175" s="80">
        <v>0</v>
      </c>
      <c r="EZ175" s="80">
        <v>0</v>
      </c>
      <c r="FA175" s="80">
        <v>1186</v>
      </c>
      <c r="FB175" s="80">
        <v>0</v>
      </c>
      <c r="FC175" s="80">
        <v>0</v>
      </c>
      <c r="FD175" s="80">
        <v>23322</v>
      </c>
      <c r="FE175" s="80">
        <v>0</v>
      </c>
      <c r="FF175" s="80">
        <v>9733</v>
      </c>
      <c r="FG175" s="80">
        <v>7581</v>
      </c>
      <c r="FH175" s="80">
        <v>2152</v>
      </c>
      <c r="FI175" s="80">
        <v>0</v>
      </c>
      <c r="FJ175" s="80">
        <v>0</v>
      </c>
      <c r="FK175" s="80">
        <v>366</v>
      </c>
      <c r="FL175" s="80">
        <v>0</v>
      </c>
      <c r="FM175" s="80">
        <v>372</v>
      </c>
      <c r="FN175" s="80">
        <v>4628</v>
      </c>
      <c r="FO175" s="80">
        <v>980</v>
      </c>
      <c r="FP175" s="80">
        <v>7243</v>
      </c>
      <c r="FQ175" s="80">
        <v>133366</v>
      </c>
      <c r="FR175" s="80">
        <v>21993</v>
      </c>
      <c r="FS175" s="80">
        <v>1641</v>
      </c>
      <c r="FT175" s="100">
        <v>51454.367640606652</v>
      </c>
      <c r="FU175" s="100"/>
      <c r="FV175" s="100">
        <v>29464</v>
      </c>
      <c r="FW175" s="67">
        <v>5240</v>
      </c>
      <c r="FX175" s="100">
        <f t="shared" si="15"/>
        <v>-27858</v>
      </c>
      <c r="FY175" s="100">
        <f t="shared" si="16"/>
        <v>-72456</v>
      </c>
      <c r="FZ175" s="100">
        <v>56633.346076604023</v>
      </c>
      <c r="GA175" s="67">
        <v>44598</v>
      </c>
      <c r="GB175" s="58">
        <f t="shared" si="13"/>
        <v>15134</v>
      </c>
      <c r="GC175" s="67">
        <v>5510</v>
      </c>
      <c r="GD175" s="100">
        <v>6188</v>
      </c>
      <c r="GE175" s="100">
        <v>1769</v>
      </c>
      <c r="GF175" s="58">
        <f t="shared" si="14"/>
        <v>4419</v>
      </c>
      <c r="GG175" s="100">
        <v>-30527.417000000001</v>
      </c>
      <c r="GH175" s="100">
        <v>-1055.4350000000002</v>
      </c>
      <c r="GI175" s="100">
        <v>-25415.069589225732</v>
      </c>
      <c r="GJ175" s="67">
        <f t="shared" si="17"/>
        <v>270</v>
      </c>
      <c r="GK175" s="67"/>
      <c r="GM175" s="96"/>
    </row>
    <row r="176" spans="1:195" ht="13.5" customHeight="1" x14ac:dyDescent="0.2">
      <c r="A176" s="74">
        <v>529</v>
      </c>
      <c r="B176" s="75" t="s">
        <v>284</v>
      </c>
      <c r="C176" s="82" t="s">
        <v>284</v>
      </c>
      <c r="D176" s="76"/>
      <c r="E176" s="77" t="s">
        <v>219</v>
      </c>
      <c r="F176" s="78">
        <v>4</v>
      </c>
      <c r="G176" s="79">
        <v>18961</v>
      </c>
      <c r="H176" s="80">
        <v>25756</v>
      </c>
      <c r="I176" s="80">
        <v>9802</v>
      </c>
      <c r="J176" s="80">
        <v>6113</v>
      </c>
      <c r="K176" s="80">
        <v>1964</v>
      </c>
      <c r="L176" s="80">
        <v>7877</v>
      </c>
      <c r="M176" s="80">
        <v>0</v>
      </c>
      <c r="N176" s="80">
        <v>218</v>
      </c>
      <c r="O176" s="80">
        <v>114780</v>
      </c>
      <c r="P176" s="80">
        <v>52610</v>
      </c>
      <c r="Q176" s="80">
        <v>40912</v>
      </c>
      <c r="R176" s="80">
        <v>11698</v>
      </c>
      <c r="S176" s="80">
        <v>9373</v>
      </c>
      <c r="T176" s="80">
        <v>2325</v>
      </c>
      <c r="U176" s="80">
        <v>45033</v>
      </c>
      <c r="V176" s="80">
        <v>9025</v>
      </c>
      <c r="W176" s="80">
        <v>6532</v>
      </c>
      <c r="X176" s="80">
        <v>1580</v>
      </c>
      <c r="Y176" s="80">
        <v>-88806</v>
      </c>
      <c r="Z176" s="80">
        <v>80688</v>
      </c>
      <c r="AA176" s="80">
        <v>67237</v>
      </c>
      <c r="AB176" s="80">
        <v>7391</v>
      </c>
      <c r="AC176" s="80">
        <v>6060</v>
      </c>
      <c r="AD176" s="80">
        <v>16219</v>
      </c>
      <c r="AE176" s="80">
        <v>1100</v>
      </c>
      <c r="AF176" s="80">
        <v>660</v>
      </c>
      <c r="AG176" s="80">
        <v>740</v>
      </c>
      <c r="AH176" s="80">
        <v>660</v>
      </c>
      <c r="AI176" s="80">
        <v>299</v>
      </c>
      <c r="AJ176" s="80">
        <v>1</v>
      </c>
      <c r="AK176" s="80">
        <v>9201</v>
      </c>
      <c r="AL176" s="80">
        <v>8426</v>
      </c>
      <c r="AM176" s="80">
        <v>8426</v>
      </c>
      <c r="AN176" s="80">
        <v>0</v>
      </c>
      <c r="AO176" s="80">
        <v>0</v>
      </c>
      <c r="AP176" s="80">
        <v>0</v>
      </c>
      <c r="AQ176" s="80">
        <v>0</v>
      </c>
      <c r="AR176" s="80">
        <v>775</v>
      </c>
      <c r="AS176" s="80">
        <v>70</v>
      </c>
      <c r="AT176" s="80">
        <v>0</v>
      </c>
      <c r="AU176" s="80">
        <v>0</v>
      </c>
      <c r="AV176" s="80">
        <v>845</v>
      </c>
      <c r="AW176" s="81"/>
      <c r="AX176" s="80">
        <v>7673</v>
      </c>
      <c r="AY176" s="80">
        <v>9201</v>
      </c>
      <c r="AZ176" s="80">
        <v>0</v>
      </c>
      <c r="BA176" s="80">
        <v>-1528</v>
      </c>
      <c r="BB176" s="80">
        <v>-5899</v>
      </c>
      <c r="BC176" s="80">
        <v>7825</v>
      </c>
      <c r="BD176" s="80">
        <v>0</v>
      </c>
      <c r="BE176" s="80">
        <v>1926</v>
      </c>
      <c r="BF176" s="80">
        <v>1774</v>
      </c>
      <c r="BG176" s="80">
        <v>-4350</v>
      </c>
      <c r="BH176" s="80">
        <v>180</v>
      </c>
      <c r="BI176" s="80">
        <v>20</v>
      </c>
      <c r="BJ176" s="80">
        <v>200</v>
      </c>
      <c r="BK176" s="80">
        <v>-4256</v>
      </c>
      <c r="BL176" s="80">
        <v>0</v>
      </c>
      <c r="BM176" s="80">
        <v>256</v>
      </c>
      <c r="BN176" s="80">
        <v>-4000</v>
      </c>
      <c r="BO176" s="80">
        <v>0</v>
      </c>
      <c r="BP176" s="80">
        <v>-274</v>
      </c>
      <c r="BQ176" s="80">
        <v>8</v>
      </c>
      <c r="BR176" s="80">
        <v>93</v>
      </c>
      <c r="BS176" s="80">
        <v>1529</v>
      </c>
      <c r="BT176" s="80">
        <v>-1904</v>
      </c>
      <c r="BU176" s="80">
        <v>-2577</v>
      </c>
      <c r="BV176" s="80">
        <v>1555</v>
      </c>
      <c r="BW176" s="80">
        <v>4132</v>
      </c>
      <c r="BX176" s="81"/>
      <c r="BY176" s="80">
        <v>136966</v>
      </c>
      <c r="BZ176" s="80">
        <v>727</v>
      </c>
      <c r="CA176" s="80">
        <v>724</v>
      </c>
      <c r="CB176" s="80">
        <v>3</v>
      </c>
      <c r="CC176" s="80">
        <v>0</v>
      </c>
      <c r="CD176" s="80">
        <v>109132</v>
      </c>
      <c r="CE176" s="80">
        <v>20068</v>
      </c>
      <c r="CF176" s="80">
        <v>51496</v>
      </c>
      <c r="CG176" s="80">
        <v>35317</v>
      </c>
      <c r="CH176" s="80">
        <v>1225</v>
      </c>
      <c r="CI176" s="80">
        <v>149</v>
      </c>
      <c r="CJ176" s="80">
        <v>99</v>
      </c>
      <c r="CK176" s="80">
        <v>877</v>
      </c>
      <c r="CL176" s="80">
        <v>27107</v>
      </c>
      <c r="CM176" s="80">
        <v>23853</v>
      </c>
      <c r="CN176" s="80">
        <v>7195</v>
      </c>
      <c r="CO176" s="80">
        <v>16658</v>
      </c>
      <c r="CP176" s="80">
        <v>0</v>
      </c>
      <c r="CQ176" s="80">
        <v>2764</v>
      </c>
      <c r="CR176" s="80">
        <v>0</v>
      </c>
      <c r="CS176" s="80">
        <v>0</v>
      </c>
      <c r="CT176" s="80">
        <v>2764</v>
      </c>
      <c r="CU176" s="80">
        <v>490</v>
      </c>
      <c r="CV176" s="80">
        <v>20</v>
      </c>
      <c r="CW176" s="80">
        <v>6</v>
      </c>
      <c r="CX176" s="80">
        <v>12</v>
      </c>
      <c r="CY176" s="80">
        <v>2</v>
      </c>
      <c r="CZ176" s="80">
        <v>19040</v>
      </c>
      <c r="DA176" s="80">
        <v>184</v>
      </c>
      <c r="DB176" s="80">
        <v>164</v>
      </c>
      <c r="DC176" s="80">
        <v>0</v>
      </c>
      <c r="DD176" s="80">
        <v>20</v>
      </c>
      <c r="DE176" s="80">
        <v>0</v>
      </c>
      <c r="DF176" s="80">
        <v>0</v>
      </c>
      <c r="DG176" s="80">
        <v>17302</v>
      </c>
      <c r="DH176" s="80">
        <v>10414</v>
      </c>
      <c r="DI176" s="80">
        <v>0</v>
      </c>
      <c r="DJ176" s="80">
        <v>9600</v>
      </c>
      <c r="DK176" s="80">
        <v>814</v>
      </c>
      <c r="DL176" s="80">
        <v>0</v>
      </c>
      <c r="DM176" s="80">
        <v>6888</v>
      </c>
      <c r="DN176" s="80">
        <v>4304</v>
      </c>
      <c r="DO176" s="80">
        <v>565</v>
      </c>
      <c r="DP176" s="80">
        <v>831</v>
      </c>
      <c r="DQ176" s="80">
        <v>1188</v>
      </c>
      <c r="DR176" s="80">
        <v>180</v>
      </c>
      <c r="DS176" s="80">
        <v>180</v>
      </c>
      <c r="DT176" s="80">
        <v>0</v>
      </c>
      <c r="DU176" s="80">
        <v>0</v>
      </c>
      <c r="DV176" s="80">
        <v>0</v>
      </c>
      <c r="DW176" s="80">
        <v>1374</v>
      </c>
      <c r="DX176" s="80">
        <v>156026</v>
      </c>
      <c r="DY176" s="80">
        <v>96004</v>
      </c>
      <c r="DZ176" s="80">
        <v>52291</v>
      </c>
      <c r="EA176" s="80">
        <v>0</v>
      </c>
      <c r="EB176" s="80">
        <v>0</v>
      </c>
      <c r="EC176" s="80">
        <v>42868</v>
      </c>
      <c r="ED176" s="80">
        <v>845</v>
      </c>
      <c r="EE176" s="80">
        <v>5198</v>
      </c>
      <c r="EF176" s="80">
        <v>1198</v>
      </c>
      <c r="EG176" s="80">
        <v>4000</v>
      </c>
      <c r="EH176" s="80">
        <v>616</v>
      </c>
      <c r="EI176" s="80">
        <v>78</v>
      </c>
      <c r="EJ176" s="80">
        <v>538</v>
      </c>
      <c r="EK176" s="80">
        <v>643</v>
      </c>
      <c r="EL176" s="80">
        <v>90</v>
      </c>
      <c r="EM176" s="80">
        <v>549</v>
      </c>
      <c r="EN176" s="80">
        <v>4</v>
      </c>
      <c r="EO176" s="80">
        <v>53565</v>
      </c>
      <c r="EP176" s="80">
        <v>10140</v>
      </c>
      <c r="EQ176" s="80">
        <v>0</v>
      </c>
      <c r="ER176" s="80">
        <v>849</v>
      </c>
      <c r="ES176" s="80">
        <v>518</v>
      </c>
      <c r="ET176" s="80">
        <v>331</v>
      </c>
      <c r="EU176" s="80">
        <v>0</v>
      </c>
      <c r="EV176" s="80">
        <v>0</v>
      </c>
      <c r="EW176" s="80">
        <v>0</v>
      </c>
      <c r="EX176" s="80">
        <v>0</v>
      </c>
      <c r="EY176" s="80">
        <v>153</v>
      </c>
      <c r="EZ176" s="80">
        <v>0</v>
      </c>
      <c r="FA176" s="80">
        <v>9138</v>
      </c>
      <c r="FB176" s="80">
        <v>0</v>
      </c>
      <c r="FC176" s="80">
        <v>0</v>
      </c>
      <c r="FD176" s="80">
        <v>43425</v>
      </c>
      <c r="FE176" s="80">
        <v>0</v>
      </c>
      <c r="FF176" s="80">
        <v>30116</v>
      </c>
      <c r="FG176" s="80">
        <v>30006</v>
      </c>
      <c r="FH176" s="80">
        <v>110</v>
      </c>
      <c r="FI176" s="80">
        <v>0</v>
      </c>
      <c r="FJ176" s="80">
        <v>0</v>
      </c>
      <c r="FK176" s="80">
        <v>0</v>
      </c>
      <c r="FL176" s="80">
        <v>0</v>
      </c>
      <c r="FM176" s="80">
        <v>848</v>
      </c>
      <c r="FN176" s="80">
        <v>3416</v>
      </c>
      <c r="FO176" s="80">
        <v>1925</v>
      </c>
      <c r="FP176" s="80">
        <v>7120</v>
      </c>
      <c r="FQ176" s="80">
        <v>156026</v>
      </c>
      <c r="FR176" s="80">
        <v>18823</v>
      </c>
      <c r="FS176" s="80">
        <v>17005</v>
      </c>
      <c r="FT176" s="100">
        <v>77419.244071439709</v>
      </c>
      <c r="FU176" s="100"/>
      <c r="FV176" s="100">
        <v>44160</v>
      </c>
      <c r="FW176" s="67">
        <v>8267</v>
      </c>
      <c r="FX176" s="100">
        <f t="shared" si="15"/>
        <v>-30332</v>
      </c>
      <c r="FY176" s="100">
        <f t="shared" si="16"/>
        <v>-80380</v>
      </c>
      <c r="FZ176" s="100">
        <v>57050.843895665443</v>
      </c>
      <c r="GA176" s="67">
        <v>50048</v>
      </c>
      <c r="GB176" s="58">
        <f t="shared" si="13"/>
        <v>5888</v>
      </c>
      <c r="GC176" s="67">
        <v>8426</v>
      </c>
      <c r="GD176" s="100">
        <v>6062</v>
      </c>
      <c r="GE176" s="100">
        <v>2629</v>
      </c>
      <c r="GF176" s="58">
        <f t="shared" si="14"/>
        <v>3433</v>
      </c>
      <c r="GG176" s="100">
        <v>-44622.761999999995</v>
      </c>
      <c r="GH176" s="100">
        <v>-2306.1241000000005</v>
      </c>
      <c r="GI176" s="100">
        <v>-9888.5206911745699</v>
      </c>
      <c r="GJ176" s="67">
        <f t="shared" si="17"/>
        <v>159</v>
      </c>
      <c r="GK176" s="67"/>
      <c r="GM176" s="96"/>
    </row>
    <row r="177" spans="1:195" ht="13.5" customHeight="1" x14ac:dyDescent="0.2">
      <c r="A177" s="74">
        <v>545</v>
      </c>
      <c r="B177" s="75" t="s">
        <v>286</v>
      </c>
      <c r="C177" s="82" t="s">
        <v>286</v>
      </c>
      <c r="D177" s="76"/>
      <c r="E177" s="77" t="s">
        <v>248</v>
      </c>
      <c r="F177" s="78">
        <v>3</v>
      </c>
      <c r="G177" s="79">
        <v>9387</v>
      </c>
      <c r="H177" s="80">
        <v>9315</v>
      </c>
      <c r="I177" s="80">
        <v>1695</v>
      </c>
      <c r="J177" s="80">
        <v>4783</v>
      </c>
      <c r="K177" s="80">
        <v>871</v>
      </c>
      <c r="L177" s="80">
        <v>1966</v>
      </c>
      <c r="M177" s="80">
        <v>0</v>
      </c>
      <c r="N177" s="80">
        <v>0</v>
      </c>
      <c r="O177" s="80">
        <v>61443</v>
      </c>
      <c r="P177" s="80">
        <v>31708</v>
      </c>
      <c r="Q177" s="80">
        <v>24268</v>
      </c>
      <c r="R177" s="80">
        <v>7440</v>
      </c>
      <c r="S177" s="80">
        <v>6098</v>
      </c>
      <c r="T177" s="80">
        <v>1342</v>
      </c>
      <c r="U177" s="80">
        <v>21999</v>
      </c>
      <c r="V177" s="80">
        <v>4232</v>
      </c>
      <c r="W177" s="80">
        <v>2535</v>
      </c>
      <c r="X177" s="80">
        <v>969</v>
      </c>
      <c r="Y177" s="80">
        <v>-52128</v>
      </c>
      <c r="Z177" s="80">
        <v>30924</v>
      </c>
      <c r="AA177" s="80">
        <v>26239</v>
      </c>
      <c r="AB177" s="80">
        <v>2337</v>
      </c>
      <c r="AC177" s="80">
        <v>2348</v>
      </c>
      <c r="AD177" s="80">
        <v>23540</v>
      </c>
      <c r="AE177" s="80">
        <v>295</v>
      </c>
      <c r="AF177" s="80">
        <v>72</v>
      </c>
      <c r="AG177" s="80">
        <v>764</v>
      </c>
      <c r="AH177" s="80">
        <v>98</v>
      </c>
      <c r="AI177" s="80">
        <v>269</v>
      </c>
      <c r="AJ177" s="80">
        <v>272</v>
      </c>
      <c r="AK177" s="80">
        <v>2631</v>
      </c>
      <c r="AL177" s="80">
        <v>2573</v>
      </c>
      <c r="AM177" s="80">
        <v>2573</v>
      </c>
      <c r="AN177" s="80">
        <v>0</v>
      </c>
      <c r="AO177" s="80">
        <v>0</v>
      </c>
      <c r="AP177" s="80">
        <v>0</v>
      </c>
      <c r="AQ177" s="80">
        <v>0</v>
      </c>
      <c r="AR177" s="80">
        <v>58</v>
      </c>
      <c r="AS177" s="80">
        <v>158</v>
      </c>
      <c r="AT177" s="80">
        <v>0</v>
      </c>
      <c r="AU177" s="80">
        <v>0</v>
      </c>
      <c r="AV177" s="80">
        <v>216</v>
      </c>
      <c r="AW177" s="81"/>
      <c r="AX177" s="80">
        <v>2522</v>
      </c>
      <c r="AY177" s="80">
        <v>2631</v>
      </c>
      <c r="AZ177" s="80">
        <v>0</v>
      </c>
      <c r="BA177" s="80">
        <v>-109</v>
      </c>
      <c r="BB177" s="80">
        <v>-3911</v>
      </c>
      <c r="BC177" s="80">
        <v>4331</v>
      </c>
      <c r="BD177" s="80">
        <v>105</v>
      </c>
      <c r="BE177" s="80">
        <v>315</v>
      </c>
      <c r="BF177" s="80">
        <v>-1389</v>
      </c>
      <c r="BG177" s="80">
        <v>718</v>
      </c>
      <c r="BH177" s="80">
        <v>34</v>
      </c>
      <c r="BI177" s="80">
        <v>0</v>
      </c>
      <c r="BJ177" s="80">
        <v>34</v>
      </c>
      <c r="BK177" s="80">
        <v>821</v>
      </c>
      <c r="BL177" s="80">
        <v>4000</v>
      </c>
      <c r="BM177" s="80">
        <v>3179</v>
      </c>
      <c r="BN177" s="80">
        <v>0</v>
      </c>
      <c r="BO177" s="80">
        <v>0</v>
      </c>
      <c r="BP177" s="80">
        <v>-137</v>
      </c>
      <c r="BQ177" s="80">
        <v>172</v>
      </c>
      <c r="BR177" s="80">
        <v>-15</v>
      </c>
      <c r="BS177" s="80">
        <v>-91</v>
      </c>
      <c r="BT177" s="80">
        <v>-203</v>
      </c>
      <c r="BU177" s="80">
        <v>-671</v>
      </c>
      <c r="BV177" s="80">
        <v>14370</v>
      </c>
      <c r="BW177" s="80">
        <v>15041</v>
      </c>
      <c r="BX177" s="81"/>
      <c r="BY177" s="80">
        <v>52108</v>
      </c>
      <c r="BZ177" s="80">
        <v>201</v>
      </c>
      <c r="CA177" s="80">
        <v>201</v>
      </c>
      <c r="CB177" s="80">
        <v>0</v>
      </c>
      <c r="CC177" s="80">
        <v>0</v>
      </c>
      <c r="CD177" s="80">
        <v>38809</v>
      </c>
      <c r="CE177" s="80">
        <v>3848</v>
      </c>
      <c r="CF177" s="80">
        <v>29006</v>
      </c>
      <c r="CG177" s="80">
        <v>2635</v>
      </c>
      <c r="CH177" s="80">
        <v>1237</v>
      </c>
      <c r="CI177" s="80">
        <v>0</v>
      </c>
      <c r="CJ177" s="80">
        <v>0</v>
      </c>
      <c r="CK177" s="80">
        <v>2083</v>
      </c>
      <c r="CL177" s="80">
        <v>13098</v>
      </c>
      <c r="CM177" s="80">
        <v>11737</v>
      </c>
      <c r="CN177" s="80">
        <v>5768</v>
      </c>
      <c r="CO177" s="80">
        <v>5969</v>
      </c>
      <c r="CP177" s="80">
        <v>0</v>
      </c>
      <c r="CQ177" s="80">
        <v>751</v>
      </c>
      <c r="CR177" s="80">
        <v>0</v>
      </c>
      <c r="CS177" s="80">
        <v>0</v>
      </c>
      <c r="CT177" s="80">
        <v>751</v>
      </c>
      <c r="CU177" s="80">
        <v>610</v>
      </c>
      <c r="CV177" s="80">
        <v>708</v>
      </c>
      <c r="CW177" s="80">
        <v>0</v>
      </c>
      <c r="CX177" s="80">
        <v>701</v>
      </c>
      <c r="CY177" s="80">
        <v>7</v>
      </c>
      <c r="CZ177" s="80">
        <v>18112</v>
      </c>
      <c r="DA177" s="80">
        <v>157</v>
      </c>
      <c r="DB177" s="80">
        <v>157</v>
      </c>
      <c r="DC177" s="80">
        <v>0</v>
      </c>
      <c r="DD177" s="80">
        <v>0</v>
      </c>
      <c r="DE177" s="80">
        <v>0</v>
      </c>
      <c r="DF177" s="80">
        <v>0</v>
      </c>
      <c r="DG177" s="80">
        <v>3582</v>
      </c>
      <c r="DH177" s="80">
        <v>364</v>
      </c>
      <c r="DI177" s="80">
        <v>0</v>
      </c>
      <c r="DJ177" s="80">
        <v>0</v>
      </c>
      <c r="DK177" s="80">
        <v>364</v>
      </c>
      <c r="DL177" s="80">
        <v>0</v>
      </c>
      <c r="DM177" s="80">
        <v>3218</v>
      </c>
      <c r="DN177" s="80">
        <v>1221</v>
      </c>
      <c r="DO177" s="80">
        <v>220</v>
      </c>
      <c r="DP177" s="80">
        <v>1193</v>
      </c>
      <c r="DQ177" s="80">
        <v>584</v>
      </c>
      <c r="DR177" s="80">
        <v>13745</v>
      </c>
      <c r="DS177" s="80">
        <v>2286</v>
      </c>
      <c r="DT177" s="80">
        <v>0</v>
      </c>
      <c r="DU177" s="80">
        <v>50</v>
      </c>
      <c r="DV177" s="80">
        <v>11409</v>
      </c>
      <c r="DW177" s="80">
        <v>628</v>
      </c>
      <c r="DX177" s="80">
        <v>70928</v>
      </c>
      <c r="DY177" s="80">
        <v>38926</v>
      </c>
      <c r="DZ177" s="80">
        <v>23971</v>
      </c>
      <c r="EA177" s="80">
        <v>0</v>
      </c>
      <c r="EB177" s="80">
        <v>11852</v>
      </c>
      <c r="EC177" s="80">
        <v>2887</v>
      </c>
      <c r="ED177" s="80">
        <v>216</v>
      </c>
      <c r="EE177" s="80">
        <v>1519</v>
      </c>
      <c r="EF177" s="80">
        <v>1519</v>
      </c>
      <c r="EG177" s="80">
        <v>0</v>
      </c>
      <c r="EH177" s="80">
        <v>0</v>
      </c>
      <c r="EI177" s="80">
        <v>0</v>
      </c>
      <c r="EJ177" s="80">
        <v>0</v>
      </c>
      <c r="EK177" s="80">
        <v>2339</v>
      </c>
      <c r="EL177" s="80">
        <v>24</v>
      </c>
      <c r="EM177" s="80">
        <v>2315</v>
      </c>
      <c r="EN177" s="80">
        <v>0</v>
      </c>
      <c r="EO177" s="80">
        <v>28144</v>
      </c>
      <c r="EP177" s="80">
        <v>14554</v>
      </c>
      <c r="EQ177" s="80">
        <v>0</v>
      </c>
      <c r="ER177" s="80">
        <v>14554</v>
      </c>
      <c r="ES177" s="80">
        <v>4802</v>
      </c>
      <c r="ET177" s="80">
        <v>9752</v>
      </c>
      <c r="EU177" s="80">
        <v>0</v>
      </c>
      <c r="EV177" s="80">
        <v>0</v>
      </c>
      <c r="EW177" s="80">
        <v>0</v>
      </c>
      <c r="EX177" s="80">
        <v>0</v>
      </c>
      <c r="EY177" s="80">
        <v>0</v>
      </c>
      <c r="EZ177" s="80">
        <v>0</v>
      </c>
      <c r="FA177" s="80">
        <v>0</v>
      </c>
      <c r="FB177" s="80">
        <v>0</v>
      </c>
      <c r="FC177" s="80">
        <v>0</v>
      </c>
      <c r="FD177" s="80">
        <v>13590</v>
      </c>
      <c r="FE177" s="80">
        <v>0</v>
      </c>
      <c r="FF177" s="80">
        <v>5472</v>
      </c>
      <c r="FG177" s="80">
        <v>2956</v>
      </c>
      <c r="FH177" s="80">
        <v>2516</v>
      </c>
      <c r="FI177" s="80">
        <v>0</v>
      </c>
      <c r="FJ177" s="80">
        <v>0</v>
      </c>
      <c r="FK177" s="80">
        <v>0</v>
      </c>
      <c r="FL177" s="80">
        <v>0</v>
      </c>
      <c r="FM177" s="80">
        <v>0</v>
      </c>
      <c r="FN177" s="80">
        <v>3590</v>
      </c>
      <c r="FO177" s="80">
        <v>834</v>
      </c>
      <c r="FP177" s="80">
        <v>3694</v>
      </c>
      <c r="FQ177" s="80">
        <v>70928</v>
      </c>
      <c r="FR177" s="80">
        <v>17445</v>
      </c>
      <c r="FS177" s="80">
        <v>50</v>
      </c>
      <c r="FT177" s="100">
        <v>33965.303229804951</v>
      </c>
      <c r="FU177" s="100"/>
      <c r="FV177" s="100">
        <v>12511</v>
      </c>
      <c r="FW177" s="67">
        <v>2439</v>
      </c>
      <c r="FX177" s="100">
        <f t="shared" si="15"/>
        <v>-31378</v>
      </c>
      <c r="FY177" s="100">
        <f t="shared" si="16"/>
        <v>-49555</v>
      </c>
      <c r="FZ177" s="100">
        <v>34626.433435155566</v>
      </c>
      <c r="GA177" s="67">
        <v>18177</v>
      </c>
      <c r="GB177" s="58">
        <f t="shared" si="13"/>
        <v>5666</v>
      </c>
      <c r="GC177" s="67">
        <v>2573</v>
      </c>
      <c r="GD177" s="100">
        <v>4728</v>
      </c>
      <c r="GE177" s="100">
        <v>1195</v>
      </c>
      <c r="GF177" s="58">
        <f t="shared" si="14"/>
        <v>3533</v>
      </c>
      <c r="GG177" s="100">
        <v>-14939.596</v>
      </c>
      <c r="GH177" s="100">
        <v>-717.96070000000043</v>
      </c>
      <c r="GI177" s="100">
        <v>-19041.185454404604</v>
      </c>
      <c r="GJ177" s="67">
        <f t="shared" si="17"/>
        <v>134</v>
      </c>
      <c r="GK177" s="67"/>
      <c r="GM177" s="96"/>
    </row>
    <row r="178" spans="1:195" ht="13.5" customHeight="1" x14ac:dyDescent="0.2">
      <c r="A178" s="74">
        <v>560</v>
      </c>
      <c r="B178" s="75" t="s">
        <v>118</v>
      </c>
      <c r="C178" s="75" t="s">
        <v>118</v>
      </c>
      <c r="D178" s="76"/>
      <c r="E178" s="77" t="s">
        <v>217</v>
      </c>
      <c r="F178" s="78">
        <v>4</v>
      </c>
      <c r="G178" s="79">
        <v>16326</v>
      </c>
      <c r="H178" s="80">
        <v>9740</v>
      </c>
      <c r="I178" s="80">
        <v>5070</v>
      </c>
      <c r="J178" s="80">
        <v>1142</v>
      </c>
      <c r="K178" s="80">
        <v>1743</v>
      </c>
      <c r="L178" s="80">
        <v>1785</v>
      </c>
      <c r="M178" s="80">
        <v>0</v>
      </c>
      <c r="N178" s="80">
        <v>0</v>
      </c>
      <c r="O178" s="80">
        <v>93401</v>
      </c>
      <c r="P178" s="80">
        <v>24750</v>
      </c>
      <c r="Q178" s="80">
        <v>18525</v>
      </c>
      <c r="R178" s="80">
        <v>6225</v>
      </c>
      <c r="S178" s="80">
        <v>5233</v>
      </c>
      <c r="T178" s="80">
        <v>992</v>
      </c>
      <c r="U178" s="80">
        <v>62398</v>
      </c>
      <c r="V178" s="80">
        <v>3056</v>
      </c>
      <c r="W178" s="80">
        <v>1833</v>
      </c>
      <c r="X178" s="80">
        <v>1364</v>
      </c>
      <c r="Y178" s="80">
        <v>-83661</v>
      </c>
      <c r="Z178" s="80">
        <v>53705</v>
      </c>
      <c r="AA178" s="80">
        <v>46660</v>
      </c>
      <c r="AB178" s="80">
        <v>2712</v>
      </c>
      <c r="AC178" s="80">
        <v>4333</v>
      </c>
      <c r="AD178" s="80">
        <v>31577</v>
      </c>
      <c r="AE178" s="80">
        <v>1455</v>
      </c>
      <c r="AF178" s="80">
        <v>369</v>
      </c>
      <c r="AG178" s="80">
        <v>1660</v>
      </c>
      <c r="AH178" s="80">
        <v>1515</v>
      </c>
      <c r="AI178" s="80">
        <v>505</v>
      </c>
      <c r="AJ178" s="80">
        <v>69</v>
      </c>
      <c r="AK178" s="80">
        <v>3076</v>
      </c>
      <c r="AL178" s="80">
        <v>3115</v>
      </c>
      <c r="AM178" s="80">
        <v>3115</v>
      </c>
      <c r="AN178" s="80">
        <v>0</v>
      </c>
      <c r="AO178" s="80">
        <v>921</v>
      </c>
      <c r="AP178" s="80">
        <v>921</v>
      </c>
      <c r="AQ178" s="80">
        <v>0</v>
      </c>
      <c r="AR178" s="80">
        <v>882</v>
      </c>
      <c r="AS178" s="80">
        <v>28</v>
      </c>
      <c r="AT178" s="80">
        <v>0</v>
      </c>
      <c r="AU178" s="80">
        <v>0</v>
      </c>
      <c r="AV178" s="80">
        <v>910</v>
      </c>
      <c r="AW178" s="81"/>
      <c r="AX178" s="80">
        <v>3744</v>
      </c>
      <c r="AY178" s="80">
        <v>3076</v>
      </c>
      <c r="AZ178" s="80">
        <v>921</v>
      </c>
      <c r="BA178" s="80">
        <v>-253</v>
      </c>
      <c r="BB178" s="80">
        <v>-6007</v>
      </c>
      <c r="BC178" s="80">
        <v>6617</v>
      </c>
      <c r="BD178" s="80">
        <v>125</v>
      </c>
      <c r="BE178" s="80">
        <v>485</v>
      </c>
      <c r="BF178" s="80">
        <v>-2263</v>
      </c>
      <c r="BG178" s="80">
        <v>1424</v>
      </c>
      <c r="BH178" s="80">
        <v>804</v>
      </c>
      <c r="BI178" s="80">
        <v>42</v>
      </c>
      <c r="BJ178" s="80">
        <v>846</v>
      </c>
      <c r="BK178" s="80">
        <v>1751</v>
      </c>
      <c r="BL178" s="80">
        <v>5000</v>
      </c>
      <c r="BM178" s="80">
        <v>5249</v>
      </c>
      <c r="BN178" s="80">
        <v>2000</v>
      </c>
      <c r="BO178" s="80">
        <v>0</v>
      </c>
      <c r="BP178" s="80">
        <v>-1131</v>
      </c>
      <c r="BQ178" s="80">
        <v>-28</v>
      </c>
      <c r="BR178" s="80">
        <v>2</v>
      </c>
      <c r="BS178" s="80">
        <v>-1246</v>
      </c>
      <c r="BT178" s="80">
        <v>141</v>
      </c>
      <c r="BU178" s="80">
        <v>-840</v>
      </c>
      <c r="BV178" s="80">
        <v>3784</v>
      </c>
      <c r="BW178" s="80">
        <v>4624</v>
      </c>
      <c r="BX178" s="81"/>
      <c r="BY178" s="80">
        <v>87781</v>
      </c>
      <c r="BZ178" s="80">
        <v>172</v>
      </c>
      <c r="CA178" s="80">
        <v>32</v>
      </c>
      <c r="CB178" s="80">
        <v>140</v>
      </c>
      <c r="CC178" s="80">
        <v>0</v>
      </c>
      <c r="CD178" s="80">
        <v>54384</v>
      </c>
      <c r="CE178" s="80">
        <v>9009</v>
      </c>
      <c r="CF178" s="80">
        <v>32938</v>
      </c>
      <c r="CG178" s="80">
        <v>9798</v>
      </c>
      <c r="CH178" s="80">
        <v>1022</v>
      </c>
      <c r="CI178" s="80">
        <v>86</v>
      </c>
      <c r="CJ178" s="80">
        <v>86</v>
      </c>
      <c r="CK178" s="80">
        <v>1531</v>
      </c>
      <c r="CL178" s="80">
        <v>33225</v>
      </c>
      <c r="CM178" s="80">
        <v>14837</v>
      </c>
      <c r="CN178" s="80">
        <v>11068</v>
      </c>
      <c r="CO178" s="80">
        <v>3769</v>
      </c>
      <c r="CP178" s="80">
        <v>0</v>
      </c>
      <c r="CQ178" s="80">
        <v>18000</v>
      </c>
      <c r="CR178" s="80">
        <v>0</v>
      </c>
      <c r="CS178" s="80">
        <v>0</v>
      </c>
      <c r="CT178" s="80">
        <v>18000</v>
      </c>
      <c r="CU178" s="80">
        <v>388</v>
      </c>
      <c r="CV178" s="80">
        <v>973</v>
      </c>
      <c r="CW178" s="80">
        <v>675</v>
      </c>
      <c r="CX178" s="80">
        <v>298</v>
      </c>
      <c r="CY178" s="80">
        <v>0</v>
      </c>
      <c r="CZ178" s="80">
        <v>6924</v>
      </c>
      <c r="DA178" s="80">
        <v>132</v>
      </c>
      <c r="DB178" s="80">
        <v>72</v>
      </c>
      <c r="DC178" s="80">
        <v>0</v>
      </c>
      <c r="DD178" s="80">
        <v>60</v>
      </c>
      <c r="DE178" s="80">
        <v>0</v>
      </c>
      <c r="DF178" s="80">
        <v>0</v>
      </c>
      <c r="DG178" s="80">
        <v>3008</v>
      </c>
      <c r="DH178" s="80">
        <v>40</v>
      </c>
      <c r="DI178" s="80">
        <v>0</v>
      </c>
      <c r="DJ178" s="80">
        <v>3</v>
      </c>
      <c r="DK178" s="80">
        <v>0</v>
      </c>
      <c r="DL178" s="80">
        <v>37</v>
      </c>
      <c r="DM178" s="80">
        <v>2968</v>
      </c>
      <c r="DN178" s="80">
        <v>728</v>
      </c>
      <c r="DO178" s="80">
        <v>58</v>
      </c>
      <c r="DP178" s="80">
        <v>651</v>
      </c>
      <c r="DQ178" s="80">
        <v>1531</v>
      </c>
      <c r="DR178" s="80">
        <v>0</v>
      </c>
      <c r="DS178" s="80">
        <v>0</v>
      </c>
      <c r="DT178" s="80">
        <v>0</v>
      </c>
      <c r="DU178" s="80">
        <v>0</v>
      </c>
      <c r="DV178" s="80">
        <v>0</v>
      </c>
      <c r="DW178" s="80">
        <v>3784</v>
      </c>
      <c r="DX178" s="80">
        <v>95678</v>
      </c>
      <c r="DY178" s="80">
        <v>48535</v>
      </c>
      <c r="DZ178" s="80">
        <v>41342</v>
      </c>
      <c r="EA178" s="80">
        <v>0</v>
      </c>
      <c r="EB178" s="80">
        <v>0</v>
      </c>
      <c r="EC178" s="80">
        <v>6283</v>
      </c>
      <c r="ED178" s="80">
        <v>910</v>
      </c>
      <c r="EE178" s="80">
        <v>237</v>
      </c>
      <c r="EF178" s="80">
        <v>237</v>
      </c>
      <c r="EG178" s="80">
        <v>0</v>
      </c>
      <c r="EH178" s="80">
        <v>471</v>
      </c>
      <c r="EI178" s="80">
        <v>0</v>
      </c>
      <c r="EJ178" s="80">
        <v>471</v>
      </c>
      <c r="EK178" s="80">
        <v>1818</v>
      </c>
      <c r="EL178" s="80">
        <v>651</v>
      </c>
      <c r="EM178" s="80">
        <v>1167</v>
      </c>
      <c r="EN178" s="80">
        <v>0</v>
      </c>
      <c r="EO178" s="80">
        <v>44617</v>
      </c>
      <c r="EP178" s="80">
        <v>24477</v>
      </c>
      <c r="EQ178" s="80">
        <v>0</v>
      </c>
      <c r="ER178" s="80">
        <v>23511</v>
      </c>
      <c r="ES178" s="80">
        <v>3992</v>
      </c>
      <c r="ET178" s="80">
        <v>19469</v>
      </c>
      <c r="EU178" s="80">
        <v>0</v>
      </c>
      <c r="EV178" s="80">
        <v>50</v>
      </c>
      <c r="EW178" s="80">
        <v>300</v>
      </c>
      <c r="EX178" s="80">
        <v>0</v>
      </c>
      <c r="EY178" s="80">
        <v>0</v>
      </c>
      <c r="EZ178" s="80">
        <v>0</v>
      </c>
      <c r="FA178" s="80">
        <v>0</v>
      </c>
      <c r="FB178" s="80">
        <v>0</v>
      </c>
      <c r="FC178" s="80">
        <v>666</v>
      </c>
      <c r="FD178" s="80">
        <v>20140</v>
      </c>
      <c r="FE178" s="80">
        <v>0</v>
      </c>
      <c r="FF178" s="80">
        <v>11834</v>
      </c>
      <c r="FG178" s="80">
        <v>4728</v>
      </c>
      <c r="FH178" s="80">
        <v>7106</v>
      </c>
      <c r="FI178" s="80">
        <v>0</v>
      </c>
      <c r="FJ178" s="80">
        <v>0</v>
      </c>
      <c r="FK178" s="80">
        <v>300</v>
      </c>
      <c r="FL178" s="80">
        <v>100</v>
      </c>
      <c r="FM178" s="80">
        <v>160</v>
      </c>
      <c r="FN178" s="80">
        <v>3974</v>
      </c>
      <c r="FO178" s="80">
        <v>522</v>
      </c>
      <c r="FP178" s="80">
        <v>3250</v>
      </c>
      <c r="FQ178" s="80">
        <v>95678</v>
      </c>
      <c r="FR178" s="80">
        <v>1574</v>
      </c>
      <c r="FS178" s="80">
        <v>906</v>
      </c>
      <c r="FT178" s="100">
        <v>48596.946087757475</v>
      </c>
      <c r="FU178" s="100"/>
      <c r="FV178" s="100">
        <v>17170</v>
      </c>
      <c r="FW178" s="67">
        <v>3115</v>
      </c>
      <c r="FX178" s="100">
        <f t="shared" si="15"/>
        <v>-62235</v>
      </c>
      <c r="FY178" s="100">
        <f t="shared" si="16"/>
        <v>-80546</v>
      </c>
      <c r="FZ178" s="100">
        <v>52951.843377560195</v>
      </c>
      <c r="GA178" s="67">
        <v>18311</v>
      </c>
      <c r="GB178" s="58">
        <f t="shared" si="13"/>
        <v>1141</v>
      </c>
      <c r="GC178" s="67">
        <v>3115</v>
      </c>
      <c r="GD178" s="100">
        <v>1147</v>
      </c>
      <c r="GE178" s="100">
        <v>1147</v>
      </c>
      <c r="GF178" s="58">
        <f t="shared" si="14"/>
        <v>0</v>
      </c>
      <c r="GG178" s="100">
        <v>-27514.11</v>
      </c>
      <c r="GH178" s="100">
        <v>-790.25215000000037</v>
      </c>
      <c r="GI178" s="100">
        <v>-24404.186093764951</v>
      </c>
      <c r="GJ178" s="67">
        <f t="shared" si="17"/>
        <v>0</v>
      </c>
      <c r="GK178" s="67"/>
      <c r="GM178" s="96"/>
    </row>
    <row r="179" spans="1:195" ht="13.5" customHeight="1" x14ac:dyDescent="0.2">
      <c r="A179" s="74">
        <v>561</v>
      </c>
      <c r="B179" s="75" t="s">
        <v>119</v>
      </c>
      <c r="C179" s="75" t="s">
        <v>119</v>
      </c>
      <c r="D179" s="76"/>
      <c r="E179" s="77" t="s">
        <v>219</v>
      </c>
      <c r="F179" s="78">
        <v>1</v>
      </c>
      <c r="G179" s="79">
        <v>1377</v>
      </c>
      <c r="H179" s="80">
        <v>1320</v>
      </c>
      <c r="I179" s="80">
        <v>320</v>
      </c>
      <c r="J179" s="80">
        <v>481</v>
      </c>
      <c r="K179" s="80">
        <v>68</v>
      </c>
      <c r="L179" s="80">
        <v>451</v>
      </c>
      <c r="M179" s="80">
        <v>0</v>
      </c>
      <c r="N179" s="80">
        <v>0</v>
      </c>
      <c r="O179" s="80">
        <v>8713</v>
      </c>
      <c r="P179" s="80">
        <v>3121</v>
      </c>
      <c r="Q179" s="80">
        <v>2406</v>
      </c>
      <c r="R179" s="80">
        <v>715</v>
      </c>
      <c r="S179" s="80">
        <v>618</v>
      </c>
      <c r="T179" s="80">
        <v>97</v>
      </c>
      <c r="U179" s="80">
        <v>4745</v>
      </c>
      <c r="V179" s="80">
        <v>488</v>
      </c>
      <c r="W179" s="80">
        <v>298</v>
      </c>
      <c r="X179" s="80">
        <v>61</v>
      </c>
      <c r="Y179" s="80">
        <v>-7393</v>
      </c>
      <c r="Z179" s="80">
        <v>4201</v>
      </c>
      <c r="AA179" s="80">
        <v>3494</v>
      </c>
      <c r="AB179" s="80">
        <v>399</v>
      </c>
      <c r="AC179" s="80">
        <v>308</v>
      </c>
      <c r="AD179" s="80">
        <v>3662</v>
      </c>
      <c r="AE179" s="80">
        <v>-44</v>
      </c>
      <c r="AF179" s="80">
        <v>5</v>
      </c>
      <c r="AG179" s="80">
        <v>0</v>
      </c>
      <c r="AH179" s="80">
        <v>0</v>
      </c>
      <c r="AI179" s="80">
        <v>49</v>
      </c>
      <c r="AJ179" s="80">
        <v>0</v>
      </c>
      <c r="AK179" s="80">
        <v>426</v>
      </c>
      <c r="AL179" s="80">
        <v>377</v>
      </c>
      <c r="AM179" s="80">
        <v>377</v>
      </c>
      <c r="AN179" s="80">
        <v>0</v>
      </c>
      <c r="AO179" s="80">
        <v>122</v>
      </c>
      <c r="AP179" s="80">
        <v>122</v>
      </c>
      <c r="AQ179" s="80">
        <v>0</v>
      </c>
      <c r="AR179" s="80">
        <v>171</v>
      </c>
      <c r="AS179" s="80">
        <v>15</v>
      </c>
      <c r="AT179" s="80">
        <v>0</v>
      </c>
      <c r="AU179" s="80">
        <v>0</v>
      </c>
      <c r="AV179" s="80">
        <v>186</v>
      </c>
      <c r="AW179" s="81"/>
      <c r="AX179" s="80">
        <v>548</v>
      </c>
      <c r="AY179" s="80">
        <v>426</v>
      </c>
      <c r="AZ179" s="80">
        <v>122</v>
      </c>
      <c r="BA179" s="80">
        <v>0</v>
      </c>
      <c r="BB179" s="80">
        <v>-660</v>
      </c>
      <c r="BC179" s="80">
        <v>661</v>
      </c>
      <c r="BD179" s="80">
        <v>1</v>
      </c>
      <c r="BE179" s="80">
        <v>0</v>
      </c>
      <c r="BF179" s="80">
        <v>-112</v>
      </c>
      <c r="BG179" s="80">
        <v>-62</v>
      </c>
      <c r="BH179" s="80">
        <v>0</v>
      </c>
      <c r="BI179" s="80">
        <v>0</v>
      </c>
      <c r="BJ179" s="80">
        <v>0</v>
      </c>
      <c r="BK179" s="80">
        <v>-63</v>
      </c>
      <c r="BL179" s="80">
        <v>0</v>
      </c>
      <c r="BM179" s="80">
        <v>216</v>
      </c>
      <c r="BN179" s="80">
        <v>153</v>
      </c>
      <c r="BO179" s="80">
        <v>0</v>
      </c>
      <c r="BP179" s="80">
        <v>1</v>
      </c>
      <c r="BQ179" s="80">
        <v>2</v>
      </c>
      <c r="BR179" s="80">
        <v>0</v>
      </c>
      <c r="BS179" s="80">
        <v>-76</v>
      </c>
      <c r="BT179" s="80">
        <v>75</v>
      </c>
      <c r="BU179" s="80">
        <v>-174</v>
      </c>
      <c r="BV179" s="80">
        <v>142</v>
      </c>
      <c r="BW179" s="80">
        <v>316</v>
      </c>
      <c r="BX179" s="81"/>
      <c r="BY179" s="80">
        <v>8560</v>
      </c>
      <c r="BZ179" s="80">
        <v>0</v>
      </c>
      <c r="CA179" s="80">
        <v>0</v>
      </c>
      <c r="CB179" s="80">
        <v>0</v>
      </c>
      <c r="CC179" s="80">
        <v>0</v>
      </c>
      <c r="CD179" s="80">
        <v>7459</v>
      </c>
      <c r="CE179" s="80">
        <v>737</v>
      </c>
      <c r="CF179" s="80">
        <v>5370</v>
      </c>
      <c r="CG179" s="80">
        <v>1286</v>
      </c>
      <c r="CH179" s="80">
        <v>66</v>
      </c>
      <c r="CI179" s="80">
        <v>0</v>
      </c>
      <c r="CJ179" s="80">
        <v>0</v>
      </c>
      <c r="CK179" s="80">
        <v>0</v>
      </c>
      <c r="CL179" s="80">
        <v>1101</v>
      </c>
      <c r="CM179" s="80">
        <v>1101</v>
      </c>
      <c r="CN179" s="80">
        <v>716</v>
      </c>
      <c r="CO179" s="80">
        <v>385</v>
      </c>
      <c r="CP179" s="80">
        <v>0</v>
      </c>
      <c r="CQ179" s="80">
        <v>0</v>
      </c>
      <c r="CR179" s="80">
        <v>0</v>
      </c>
      <c r="CS179" s="80">
        <v>0</v>
      </c>
      <c r="CT179" s="80">
        <v>0</v>
      </c>
      <c r="CU179" s="80">
        <v>0</v>
      </c>
      <c r="CV179" s="80">
        <v>19</v>
      </c>
      <c r="CW179" s="80">
        <v>0</v>
      </c>
      <c r="CX179" s="80">
        <v>0</v>
      </c>
      <c r="CY179" s="80">
        <v>19</v>
      </c>
      <c r="CZ179" s="80">
        <v>787</v>
      </c>
      <c r="DA179" s="80">
        <v>2</v>
      </c>
      <c r="DB179" s="80">
        <v>0</v>
      </c>
      <c r="DC179" s="80">
        <v>0</v>
      </c>
      <c r="DD179" s="80">
        <v>0</v>
      </c>
      <c r="DE179" s="80">
        <v>2</v>
      </c>
      <c r="DF179" s="80">
        <v>0</v>
      </c>
      <c r="DG179" s="80">
        <v>642</v>
      </c>
      <c r="DH179" s="80">
        <v>30</v>
      </c>
      <c r="DI179" s="80">
        <v>0</v>
      </c>
      <c r="DJ179" s="80">
        <v>30</v>
      </c>
      <c r="DK179" s="80">
        <v>0</v>
      </c>
      <c r="DL179" s="80">
        <v>0</v>
      </c>
      <c r="DM179" s="80">
        <v>612</v>
      </c>
      <c r="DN179" s="80">
        <v>355</v>
      </c>
      <c r="DO179" s="80">
        <v>0</v>
      </c>
      <c r="DP179" s="80">
        <v>187</v>
      </c>
      <c r="DQ179" s="80">
        <v>70</v>
      </c>
      <c r="DR179" s="80">
        <v>0</v>
      </c>
      <c r="DS179" s="80">
        <v>0</v>
      </c>
      <c r="DT179" s="80">
        <v>0</v>
      </c>
      <c r="DU179" s="80">
        <v>0</v>
      </c>
      <c r="DV179" s="80">
        <v>0</v>
      </c>
      <c r="DW179" s="80">
        <v>143</v>
      </c>
      <c r="DX179" s="80">
        <v>9366</v>
      </c>
      <c r="DY179" s="80">
        <v>4578</v>
      </c>
      <c r="DZ179" s="80">
        <v>3520</v>
      </c>
      <c r="EA179" s="80">
        <v>0</v>
      </c>
      <c r="EB179" s="80">
        <v>0</v>
      </c>
      <c r="EC179" s="80">
        <v>872</v>
      </c>
      <c r="ED179" s="80">
        <v>186</v>
      </c>
      <c r="EE179" s="80">
        <v>212</v>
      </c>
      <c r="EF179" s="80">
        <v>212</v>
      </c>
      <c r="EG179" s="80">
        <v>0</v>
      </c>
      <c r="EH179" s="80">
        <v>0</v>
      </c>
      <c r="EI179" s="80">
        <v>0</v>
      </c>
      <c r="EJ179" s="80">
        <v>0</v>
      </c>
      <c r="EK179" s="80">
        <v>23</v>
      </c>
      <c r="EL179" s="80">
        <v>0</v>
      </c>
      <c r="EM179" s="80">
        <v>19</v>
      </c>
      <c r="EN179" s="80">
        <v>4</v>
      </c>
      <c r="EO179" s="80">
        <v>4553</v>
      </c>
      <c r="EP179" s="80">
        <v>2748</v>
      </c>
      <c r="EQ179" s="80">
        <v>0</v>
      </c>
      <c r="ER179" s="80">
        <v>2510</v>
      </c>
      <c r="ES179" s="80">
        <v>210</v>
      </c>
      <c r="ET179" s="80">
        <v>2300</v>
      </c>
      <c r="EU179" s="80">
        <v>0</v>
      </c>
      <c r="EV179" s="80">
        <v>0</v>
      </c>
      <c r="EW179" s="80">
        <v>0</v>
      </c>
      <c r="EX179" s="80">
        <v>0</v>
      </c>
      <c r="EY179" s="80">
        <v>17</v>
      </c>
      <c r="EZ179" s="80">
        <v>0</v>
      </c>
      <c r="FA179" s="80">
        <v>221</v>
      </c>
      <c r="FB179" s="80">
        <v>0</v>
      </c>
      <c r="FC179" s="80">
        <v>0</v>
      </c>
      <c r="FD179" s="80">
        <v>1805</v>
      </c>
      <c r="FE179" s="80">
        <v>0</v>
      </c>
      <c r="FF179" s="80">
        <v>766</v>
      </c>
      <c r="FG179" s="80">
        <v>30</v>
      </c>
      <c r="FH179" s="80">
        <v>186</v>
      </c>
      <c r="FI179" s="80">
        <v>550</v>
      </c>
      <c r="FJ179" s="80">
        <v>0</v>
      </c>
      <c r="FK179" s="80">
        <v>0</v>
      </c>
      <c r="FL179" s="80">
        <v>0</v>
      </c>
      <c r="FM179" s="80">
        <v>73</v>
      </c>
      <c r="FN179" s="80">
        <v>464</v>
      </c>
      <c r="FO179" s="80">
        <v>95</v>
      </c>
      <c r="FP179" s="80">
        <v>407</v>
      </c>
      <c r="FQ179" s="80">
        <v>9366</v>
      </c>
      <c r="FR179" s="80">
        <v>0</v>
      </c>
      <c r="FS179" s="80">
        <v>0</v>
      </c>
      <c r="FT179" s="100">
        <v>4127.0649610992095</v>
      </c>
      <c r="FU179" s="100"/>
      <c r="FV179" s="100">
        <v>1334</v>
      </c>
      <c r="FW179" s="67">
        <v>377</v>
      </c>
      <c r="FX179" s="100">
        <f t="shared" si="15"/>
        <v>-5147</v>
      </c>
      <c r="FY179" s="100">
        <f t="shared" si="16"/>
        <v>-7016</v>
      </c>
      <c r="FZ179" s="100">
        <v>4499.1404580006683</v>
      </c>
      <c r="GA179" s="67">
        <v>1869</v>
      </c>
      <c r="GB179" s="58">
        <f t="shared" si="13"/>
        <v>535</v>
      </c>
      <c r="GC179" s="67">
        <v>377</v>
      </c>
      <c r="GD179" s="100">
        <v>523</v>
      </c>
      <c r="GE179" s="100">
        <v>195</v>
      </c>
      <c r="GF179" s="58">
        <f t="shared" si="14"/>
        <v>328</v>
      </c>
      <c r="GG179" s="100">
        <v>-2101.114</v>
      </c>
      <c r="GH179" s="100">
        <v>-130.38665000000006</v>
      </c>
      <c r="GI179" s="100">
        <v>-2387.8892304145888</v>
      </c>
      <c r="GJ179" s="67">
        <f t="shared" si="17"/>
        <v>0</v>
      </c>
      <c r="GK179" s="67"/>
      <c r="GM179" s="96"/>
    </row>
    <row r="180" spans="1:195" ht="13.5" customHeight="1" x14ac:dyDescent="0.2">
      <c r="A180" s="74">
        <v>562</v>
      </c>
      <c r="B180" s="75" t="s">
        <v>120</v>
      </c>
      <c r="C180" s="75" t="s">
        <v>120</v>
      </c>
      <c r="D180" s="76"/>
      <c r="E180" s="77" t="s">
        <v>214</v>
      </c>
      <c r="F180" s="78">
        <v>3</v>
      </c>
      <c r="G180" s="79">
        <v>9408</v>
      </c>
      <c r="H180" s="80">
        <v>7751</v>
      </c>
      <c r="I180" s="80">
        <v>3588</v>
      </c>
      <c r="J180" s="80">
        <v>1112</v>
      </c>
      <c r="K180" s="80">
        <v>613</v>
      </c>
      <c r="L180" s="80">
        <v>2438</v>
      </c>
      <c r="M180" s="80">
        <v>0</v>
      </c>
      <c r="N180" s="80">
        <v>37</v>
      </c>
      <c r="O180" s="80">
        <v>61048</v>
      </c>
      <c r="P180" s="80">
        <v>17285</v>
      </c>
      <c r="Q180" s="80">
        <v>12903</v>
      </c>
      <c r="R180" s="80">
        <v>4382</v>
      </c>
      <c r="S180" s="80">
        <v>3806</v>
      </c>
      <c r="T180" s="80">
        <v>576</v>
      </c>
      <c r="U180" s="80">
        <v>39066</v>
      </c>
      <c r="V180" s="80">
        <v>2015</v>
      </c>
      <c r="W180" s="80">
        <v>1504</v>
      </c>
      <c r="X180" s="80">
        <v>1178</v>
      </c>
      <c r="Y180" s="80">
        <v>-53260</v>
      </c>
      <c r="Z180" s="80">
        <v>33504</v>
      </c>
      <c r="AA180" s="80">
        <v>28783</v>
      </c>
      <c r="AB180" s="80">
        <v>1717</v>
      </c>
      <c r="AC180" s="80">
        <v>3004</v>
      </c>
      <c r="AD180" s="80">
        <v>23863</v>
      </c>
      <c r="AE180" s="80">
        <v>-210</v>
      </c>
      <c r="AF180" s="80">
        <v>72</v>
      </c>
      <c r="AG180" s="80">
        <v>169</v>
      </c>
      <c r="AH180" s="80">
        <v>57</v>
      </c>
      <c r="AI180" s="80">
        <v>451</v>
      </c>
      <c r="AJ180" s="80">
        <v>0</v>
      </c>
      <c r="AK180" s="80">
        <v>3897</v>
      </c>
      <c r="AL180" s="80">
        <v>3076</v>
      </c>
      <c r="AM180" s="80">
        <v>3076</v>
      </c>
      <c r="AN180" s="80">
        <v>0</v>
      </c>
      <c r="AO180" s="80">
        <v>-364</v>
      </c>
      <c r="AP180" s="80">
        <v>0</v>
      </c>
      <c r="AQ180" s="80">
        <v>364</v>
      </c>
      <c r="AR180" s="80">
        <v>457</v>
      </c>
      <c r="AS180" s="80">
        <v>0</v>
      </c>
      <c r="AT180" s="80">
        <v>0</v>
      </c>
      <c r="AU180" s="80">
        <v>0</v>
      </c>
      <c r="AV180" s="80">
        <v>457</v>
      </c>
      <c r="AW180" s="81"/>
      <c r="AX180" s="80">
        <v>3825</v>
      </c>
      <c r="AY180" s="80">
        <v>3897</v>
      </c>
      <c r="AZ180" s="80">
        <v>-364</v>
      </c>
      <c r="BA180" s="80">
        <v>292</v>
      </c>
      <c r="BB180" s="80">
        <v>-4107</v>
      </c>
      <c r="BC180" s="80">
        <v>4328</v>
      </c>
      <c r="BD180" s="80">
        <v>58</v>
      </c>
      <c r="BE180" s="80">
        <v>163</v>
      </c>
      <c r="BF180" s="80">
        <v>-282</v>
      </c>
      <c r="BG180" s="80">
        <v>-1732</v>
      </c>
      <c r="BH180" s="80">
        <v>64</v>
      </c>
      <c r="BI180" s="80">
        <v>53</v>
      </c>
      <c r="BJ180" s="80">
        <v>117</v>
      </c>
      <c r="BK180" s="80">
        <v>290</v>
      </c>
      <c r="BL180" s="80">
        <v>2467</v>
      </c>
      <c r="BM180" s="80">
        <v>4177</v>
      </c>
      <c r="BN180" s="80">
        <v>2000</v>
      </c>
      <c r="BO180" s="80">
        <v>0</v>
      </c>
      <c r="BP180" s="80">
        <v>-2086</v>
      </c>
      <c r="BQ180" s="80">
        <v>11</v>
      </c>
      <c r="BR180" s="80">
        <v>0</v>
      </c>
      <c r="BS180" s="80">
        <v>-1563</v>
      </c>
      <c r="BT180" s="80">
        <v>-534</v>
      </c>
      <c r="BU180" s="80">
        <v>-2014</v>
      </c>
      <c r="BV180" s="80">
        <v>2813</v>
      </c>
      <c r="BW180" s="80">
        <v>4827</v>
      </c>
      <c r="BX180" s="81"/>
      <c r="BY180" s="80">
        <v>51673</v>
      </c>
      <c r="BZ180" s="80">
        <v>21</v>
      </c>
      <c r="CA180" s="80">
        <v>0</v>
      </c>
      <c r="CB180" s="80">
        <v>21</v>
      </c>
      <c r="CC180" s="80">
        <v>0</v>
      </c>
      <c r="CD180" s="80">
        <v>41711</v>
      </c>
      <c r="CE180" s="80">
        <v>5731</v>
      </c>
      <c r="CF180" s="80">
        <v>22321</v>
      </c>
      <c r="CG180" s="80">
        <v>10222</v>
      </c>
      <c r="CH180" s="80">
        <v>527</v>
      </c>
      <c r="CI180" s="80">
        <v>57</v>
      </c>
      <c r="CJ180" s="80">
        <v>57</v>
      </c>
      <c r="CK180" s="80">
        <v>2853</v>
      </c>
      <c r="CL180" s="80">
        <v>9941</v>
      </c>
      <c r="CM180" s="80">
        <v>7469</v>
      </c>
      <c r="CN180" s="80">
        <v>3525</v>
      </c>
      <c r="CO180" s="80">
        <v>3944</v>
      </c>
      <c r="CP180" s="80">
        <v>0</v>
      </c>
      <c r="CQ180" s="80">
        <v>2132</v>
      </c>
      <c r="CR180" s="80">
        <v>0</v>
      </c>
      <c r="CS180" s="80">
        <v>0</v>
      </c>
      <c r="CT180" s="80">
        <v>2132</v>
      </c>
      <c r="CU180" s="80">
        <v>340</v>
      </c>
      <c r="CV180" s="80">
        <v>73</v>
      </c>
      <c r="CW180" s="80">
        <v>1</v>
      </c>
      <c r="CX180" s="80">
        <v>72</v>
      </c>
      <c r="CY180" s="80">
        <v>0</v>
      </c>
      <c r="CZ180" s="80">
        <v>8282</v>
      </c>
      <c r="DA180" s="80">
        <v>0</v>
      </c>
      <c r="DB180" s="80">
        <v>0</v>
      </c>
      <c r="DC180" s="80">
        <v>0</v>
      </c>
      <c r="DD180" s="80">
        <v>0</v>
      </c>
      <c r="DE180" s="80">
        <v>0</v>
      </c>
      <c r="DF180" s="80">
        <v>0</v>
      </c>
      <c r="DG180" s="80">
        <v>5469</v>
      </c>
      <c r="DH180" s="80">
        <v>0</v>
      </c>
      <c r="DI180" s="80">
        <v>0</v>
      </c>
      <c r="DJ180" s="80">
        <v>0</v>
      </c>
      <c r="DK180" s="80">
        <v>0</v>
      </c>
      <c r="DL180" s="80">
        <v>0</v>
      </c>
      <c r="DM180" s="80">
        <v>5469</v>
      </c>
      <c r="DN180" s="80">
        <v>2661</v>
      </c>
      <c r="DO180" s="80">
        <v>6</v>
      </c>
      <c r="DP180" s="80">
        <v>1605</v>
      </c>
      <c r="DQ180" s="80">
        <v>1197</v>
      </c>
      <c r="DR180" s="80">
        <v>1157</v>
      </c>
      <c r="DS180" s="80">
        <v>0</v>
      </c>
      <c r="DT180" s="80">
        <v>0</v>
      </c>
      <c r="DU180" s="80">
        <v>0</v>
      </c>
      <c r="DV180" s="80">
        <v>1157</v>
      </c>
      <c r="DW180" s="80">
        <v>1656</v>
      </c>
      <c r="DX180" s="80">
        <v>60028</v>
      </c>
      <c r="DY180" s="80">
        <v>24753</v>
      </c>
      <c r="DZ180" s="80">
        <v>20335</v>
      </c>
      <c r="EA180" s="80">
        <v>0</v>
      </c>
      <c r="EB180" s="80">
        <v>0</v>
      </c>
      <c r="EC180" s="80">
        <v>3961</v>
      </c>
      <c r="ED180" s="80">
        <v>457</v>
      </c>
      <c r="EE180" s="80">
        <v>0</v>
      </c>
      <c r="EF180" s="80">
        <v>0</v>
      </c>
      <c r="EG180" s="80">
        <v>0</v>
      </c>
      <c r="EH180" s="80">
        <v>0</v>
      </c>
      <c r="EI180" s="80">
        <v>0</v>
      </c>
      <c r="EJ180" s="80">
        <v>0</v>
      </c>
      <c r="EK180" s="80">
        <v>119</v>
      </c>
      <c r="EL180" s="80">
        <v>1</v>
      </c>
      <c r="EM180" s="80">
        <v>78</v>
      </c>
      <c r="EN180" s="80">
        <v>40</v>
      </c>
      <c r="EO180" s="80">
        <v>35156</v>
      </c>
      <c r="EP180" s="80">
        <v>24455</v>
      </c>
      <c r="EQ180" s="80">
        <v>0</v>
      </c>
      <c r="ER180" s="80">
        <v>23038</v>
      </c>
      <c r="ES180" s="80">
        <v>674</v>
      </c>
      <c r="ET180" s="80">
        <v>14047</v>
      </c>
      <c r="EU180" s="80">
        <v>8317</v>
      </c>
      <c r="EV180" s="80">
        <v>0</v>
      </c>
      <c r="EW180" s="80">
        <v>0</v>
      </c>
      <c r="EX180" s="80">
        <v>0</v>
      </c>
      <c r="EY180" s="80">
        <v>0</v>
      </c>
      <c r="EZ180" s="80">
        <v>0</v>
      </c>
      <c r="FA180" s="80">
        <v>1417</v>
      </c>
      <c r="FB180" s="80">
        <v>0</v>
      </c>
      <c r="FC180" s="80">
        <v>0</v>
      </c>
      <c r="FD180" s="80">
        <v>10701</v>
      </c>
      <c r="FE180" s="80">
        <v>0</v>
      </c>
      <c r="FF180" s="80">
        <v>5933</v>
      </c>
      <c r="FG180" s="80">
        <v>303</v>
      </c>
      <c r="FH180" s="80">
        <v>4830</v>
      </c>
      <c r="FI180" s="80">
        <v>800</v>
      </c>
      <c r="FJ180" s="80">
        <v>0</v>
      </c>
      <c r="FK180" s="80">
        <v>0</v>
      </c>
      <c r="FL180" s="80">
        <v>0</v>
      </c>
      <c r="FM180" s="80">
        <v>0</v>
      </c>
      <c r="FN180" s="80">
        <v>2304</v>
      </c>
      <c r="FO180" s="80">
        <v>318</v>
      </c>
      <c r="FP180" s="80">
        <v>2146</v>
      </c>
      <c r="FQ180" s="80">
        <v>60028</v>
      </c>
      <c r="FR180" s="80">
        <v>5140</v>
      </c>
      <c r="FS180" s="80">
        <v>2714</v>
      </c>
      <c r="FT180" s="100">
        <v>32344.891140737946</v>
      </c>
      <c r="FU180" s="100"/>
      <c r="FV180" s="100">
        <v>13468</v>
      </c>
      <c r="FW180" s="67">
        <v>3076</v>
      </c>
      <c r="FX180" s="100">
        <f t="shared" si="15"/>
        <v>-36502</v>
      </c>
      <c r="FY180" s="100">
        <f t="shared" si="16"/>
        <v>-50184</v>
      </c>
      <c r="FZ180" s="100">
        <v>34348.491931350327</v>
      </c>
      <c r="GA180" s="67">
        <v>13682</v>
      </c>
      <c r="GB180" s="58">
        <f t="shared" si="13"/>
        <v>214</v>
      </c>
      <c r="GC180" s="67">
        <v>3076</v>
      </c>
      <c r="GD180" s="100">
        <v>1140</v>
      </c>
      <c r="GE180" s="100">
        <v>1139</v>
      </c>
      <c r="GF180" s="58">
        <f t="shared" si="14"/>
        <v>1</v>
      </c>
      <c r="GG180" s="100">
        <v>-15628.659000000001</v>
      </c>
      <c r="GH180" s="100">
        <v>-540.56360000000018</v>
      </c>
      <c r="GI180" s="100">
        <v>-18732.970357654012</v>
      </c>
      <c r="GJ180" s="67">
        <f t="shared" si="17"/>
        <v>0</v>
      </c>
      <c r="GK180" s="67"/>
      <c r="GM180" s="96"/>
    </row>
    <row r="181" spans="1:195" ht="13.5" customHeight="1" x14ac:dyDescent="0.2">
      <c r="A181" s="74">
        <v>563</v>
      </c>
      <c r="B181" s="75" t="s">
        <v>121</v>
      </c>
      <c r="C181" s="75" t="s">
        <v>121</v>
      </c>
      <c r="D181" s="76"/>
      <c r="E181" s="77" t="s">
        <v>216</v>
      </c>
      <c r="F181" s="78">
        <v>3</v>
      </c>
      <c r="G181" s="79">
        <v>7610</v>
      </c>
      <c r="H181" s="80">
        <v>7226</v>
      </c>
      <c r="I181" s="80">
        <v>2622</v>
      </c>
      <c r="J181" s="80">
        <v>2270</v>
      </c>
      <c r="K181" s="80">
        <v>867</v>
      </c>
      <c r="L181" s="80">
        <v>1467</v>
      </c>
      <c r="M181" s="80">
        <v>0</v>
      </c>
      <c r="N181" s="80">
        <v>0</v>
      </c>
      <c r="O181" s="80">
        <v>52782</v>
      </c>
      <c r="P181" s="80">
        <v>23754</v>
      </c>
      <c r="Q181" s="80">
        <v>18020</v>
      </c>
      <c r="R181" s="80">
        <v>5734</v>
      </c>
      <c r="S181" s="80">
        <v>4742</v>
      </c>
      <c r="T181" s="80">
        <v>992</v>
      </c>
      <c r="U181" s="80">
        <v>23057</v>
      </c>
      <c r="V181" s="80">
        <v>3365</v>
      </c>
      <c r="W181" s="80">
        <v>2126</v>
      </c>
      <c r="X181" s="80">
        <v>480</v>
      </c>
      <c r="Y181" s="80">
        <v>-45556</v>
      </c>
      <c r="Z181" s="80">
        <v>25294</v>
      </c>
      <c r="AA181" s="80">
        <v>22315</v>
      </c>
      <c r="AB181" s="80">
        <v>1174</v>
      </c>
      <c r="AC181" s="80">
        <v>1805</v>
      </c>
      <c r="AD181" s="80">
        <v>22945</v>
      </c>
      <c r="AE181" s="80">
        <v>306</v>
      </c>
      <c r="AF181" s="80">
        <v>9</v>
      </c>
      <c r="AG181" s="80">
        <v>647</v>
      </c>
      <c r="AH181" s="80">
        <v>78</v>
      </c>
      <c r="AI181" s="80">
        <v>198</v>
      </c>
      <c r="AJ181" s="80">
        <v>152</v>
      </c>
      <c r="AK181" s="80">
        <v>2989</v>
      </c>
      <c r="AL181" s="80">
        <v>2013</v>
      </c>
      <c r="AM181" s="80">
        <v>2013</v>
      </c>
      <c r="AN181" s="80">
        <v>0</v>
      </c>
      <c r="AO181" s="80">
        <v>0</v>
      </c>
      <c r="AP181" s="80">
        <v>0</v>
      </c>
      <c r="AQ181" s="80">
        <v>0</v>
      </c>
      <c r="AR181" s="80">
        <v>976</v>
      </c>
      <c r="AS181" s="80">
        <v>55</v>
      </c>
      <c r="AT181" s="80">
        <v>-50</v>
      </c>
      <c r="AU181" s="80">
        <v>0</v>
      </c>
      <c r="AV181" s="80">
        <v>981</v>
      </c>
      <c r="AW181" s="81"/>
      <c r="AX181" s="80">
        <v>2946</v>
      </c>
      <c r="AY181" s="80">
        <v>2989</v>
      </c>
      <c r="AZ181" s="80">
        <v>0</v>
      </c>
      <c r="BA181" s="80">
        <v>-43</v>
      </c>
      <c r="BB181" s="80">
        <v>-5657</v>
      </c>
      <c r="BC181" s="80">
        <v>7228</v>
      </c>
      <c r="BD181" s="80">
        <v>1525</v>
      </c>
      <c r="BE181" s="80">
        <v>46</v>
      </c>
      <c r="BF181" s="80">
        <v>-2711</v>
      </c>
      <c r="BG181" s="80">
        <v>2776</v>
      </c>
      <c r="BH181" s="80">
        <v>40</v>
      </c>
      <c r="BI181" s="80">
        <v>0</v>
      </c>
      <c r="BJ181" s="80">
        <v>40</v>
      </c>
      <c r="BK181" s="80">
        <v>2890</v>
      </c>
      <c r="BL181" s="80">
        <v>1400</v>
      </c>
      <c r="BM181" s="80">
        <v>2160</v>
      </c>
      <c r="BN181" s="80">
        <v>3650</v>
      </c>
      <c r="BO181" s="80">
        <v>0</v>
      </c>
      <c r="BP181" s="80">
        <v>-154</v>
      </c>
      <c r="BQ181" s="80">
        <v>0</v>
      </c>
      <c r="BR181" s="80">
        <v>-1</v>
      </c>
      <c r="BS181" s="80">
        <v>314</v>
      </c>
      <c r="BT181" s="80">
        <v>-467</v>
      </c>
      <c r="BU181" s="80">
        <v>64</v>
      </c>
      <c r="BV181" s="80">
        <v>14831</v>
      </c>
      <c r="BW181" s="80">
        <v>14767</v>
      </c>
      <c r="BX181" s="81"/>
      <c r="BY181" s="80">
        <v>51435</v>
      </c>
      <c r="BZ181" s="80">
        <v>307</v>
      </c>
      <c r="CA181" s="80">
        <v>307</v>
      </c>
      <c r="CB181" s="80">
        <v>0</v>
      </c>
      <c r="CC181" s="80">
        <v>0</v>
      </c>
      <c r="CD181" s="80">
        <v>42500</v>
      </c>
      <c r="CE181" s="80">
        <v>7423</v>
      </c>
      <c r="CF181" s="80">
        <v>29117</v>
      </c>
      <c r="CG181" s="80">
        <v>3931</v>
      </c>
      <c r="CH181" s="80">
        <v>562</v>
      </c>
      <c r="CI181" s="80">
        <v>0</v>
      </c>
      <c r="CJ181" s="80">
        <v>0</v>
      </c>
      <c r="CK181" s="80">
        <v>1467</v>
      </c>
      <c r="CL181" s="80">
        <v>8628</v>
      </c>
      <c r="CM181" s="80">
        <v>8468</v>
      </c>
      <c r="CN181" s="80">
        <v>5959</v>
      </c>
      <c r="CO181" s="80">
        <v>2509</v>
      </c>
      <c r="CP181" s="80">
        <v>0</v>
      </c>
      <c r="CQ181" s="80">
        <v>160</v>
      </c>
      <c r="CR181" s="80">
        <v>0</v>
      </c>
      <c r="CS181" s="80">
        <v>0</v>
      </c>
      <c r="CT181" s="80">
        <v>160</v>
      </c>
      <c r="CU181" s="80">
        <v>0</v>
      </c>
      <c r="CV181" s="80">
        <v>420</v>
      </c>
      <c r="CW181" s="80">
        <v>0</v>
      </c>
      <c r="CX181" s="80">
        <v>420</v>
      </c>
      <c r="CY181" s="80">
        <v>0</v>
      </c>
      <c r="CZ181" s="80">
        <v>16734</v>
      </c>
      <c r="DA181" s="80">
        <v>68</v>
      </c>
      <c r="DB181" s="80">
        <v>68</v>
      </c>
      <c r="DC181" s="80">
        <v>0</v>
      </c>
      <c r="DD181" s="80">
        <v>0</v>
      </c>
      <c r="DE181" s="80">
        <v>0</v>
      </c>
      <c r="DF181" s="80">
        <v>0</v>
      </c>
      <c r="DG181" s="80">
        <v>1835</v>
      </c>
      <c r="DH181" s="80">
        <v>97</v>
      </c>
      <c r="DI181" s="80">
        <v>0</v>
      </c>
      <c r="DJ181" s="80">
        <v>0</v>
      </c>
      <c r="DK181" s="80">
        <v>97</v>
      </c>
      <c r="DL181" s="80">
        <v>0</v>
      </c>
      <c r="DM181" s="80">
        <v>1738</v>
      </c>
      <c r="DN181" s="80">
        <v>985</v>
      </c>
      <c r="DO181" s="80">
        <v>0</v>
      </c>
      <c r="DP181" s="80">
        <v>326</v>
      </c>
      <c r="DQ181" s="80">
        <v>427</v>
      </c>
      <c r="DR181" s="80">
        <v>14590</v>
      </c>
      <c r="DS181" s="80">
        <v>1325</v>
      </c>
      <c r="DT181" s="80">
        <v>13265</v>
      </c>
      <c r="DU181" s="80">
        <v>0</v>
      </c>
      <c r="DV181" s="80">
        <v>0</v>
      </c>
      <c r="DW181" s="80">
        <v>241</v>
      </c>
      <c r="DX181" s="80">
        <v>68589</v>
      </c>
      <c r="DY181" s="80">
        <v>31018</v>
      </c>
      <c r="DZ181" s="80">
        <v>27584</v>
      </c>
      <c r="EA181" s="80">
        <v>0</v>
      </c>
      <c r="EB181" s="80">
        <v>70</v>
      </c>
      <c r="EC181" s="80">
        <v>2383</v>
      </c>
      <c r="ED181" s="80">
        <v>981</v>
      </c>
      <c r="EE181" s="80">
        <v>1835</v>
      </c>
      <c r="EF181" s="80">
        <v>1660</v>
      </c>
      <c r="EG181" s="80">
        <v>175</v>
      </c>
      <c r="EH181" s="80">
        <v>0</v>
      </c>
      <c r="EI181" s="80">
        <v>0</v>
      </c>
      <c r="EJ181" s="80">
        <v>0</v>
      </c>
      <c r="EK181" s="80">
        <v>444</v>
      </c>
      <c r="EL181" s="80">
        <v>5</v>
      </c>
      <c r="EM181" s="80">
        <v>420</v>
      </c>
      <c r="EN181" s="80">
        <v>19</v>
      </c>
      <c r="EO181" s="80">
        <v>35292</v>
      </c>
      <c r="EP181" s="80">
        <v>6948</v>
      </c>
      <c r="EQ181" s="80">
        <v>0</v>
      </c>
      <c r="ER181" s="80">
        <v>6505</v>
      </c>
      <c r="ES181" s="80">
        <v>0</v>
      </c>
      <c r="ET181" s="80">
        <v>6505</v>
      </c>
      <c r="EU181" s="80">
        <v>0</v>
      </c>
      <c r="EV181" s="80">
        <v>0</v>
      </c>
      <c r="EW181" s="80">
        <v>250</v>
      </c>
      <c r="EX181" s="80">
        <v>0</v>
      </c>
      <c r="EY181" s="80">
        <v>0</v>
      </c>
      <c r="EZ181" s="80">
        <v>0</v>
      </c>
      <c r="FA181" s="80">
        <v>193</v>
      </c>
      <c r="FB181" s="80">
        <v>0</v>
      </c>
      <c r="FC181" s="80">
        <v>0</v>
      </c>
      <c r="FD181" s="80">
        <v>28344</v>
      </c>
      <c r="FE181" s="80">
        <v>0</v>
      </c>
      <c r="FF181" s="80">
        <v>22045</v>
      </c>
      <c r="FG181" s="80">
        <v>14060</v>
      </c>
      <c r="FH181" s="80">
        <v>7985</v>
      </c>
      <c r="FI181" s="80">
        <v>0</v>
      </c>
      <c r="FJ181" s="80">
        <v>0</v>
      </c>
      <c r="FK181" s="80">
        <v>250</v>
      </c>
      <c r="FL181" s="80">
        <v>0</v>
      </c>
      <c r="FM181" s="80">
        <v>22</v>
      </c>
      <c r="FN181" s="80">
        <v>2566</v>
      </c>
      <c r="FO181" s="80">
        <v>418</v>
      </c>
      <c r="FP181" s="80">
        <v>3043</v>
      </c>
      <c r="FQ181" s="80">
        <v>68589</v>
      </c>
      <c r="FR181" s="80">
        <v>8749</v>
      </c>
      <c r="FS181" s="80">
        <v>579</v>
      </c>
      <c r="FT181" s="100">
        <v>25452.445369199078</v>
      </c>
      <c r="FU181" s="100"/>
      <c r="FV181" s="100">
        <v>8578</v>
      </c>
      <c r="FW181" s="67">
        <v>1876</v>
      </c>
      <c r="FX181" s="100">
        <f t="shared" si="15"/>
        <v>-30938</v>
      </c>
      <c r="FY181" s="100">
        <f t="shared" si="16"/>
        <v>-43543</v>
      </c>
      <c r="FZ181" s="100">
        <v>28743.69647001299</v>
      </c>
      <c r="GA181" s="67">
        <v>12605</v>
      </c>
      <c r="GB181" s="58">
        <f t="shared" si="13"/>
        <v>4027</v>
      </c>
      <c r="GC181" s="67">
        <v>2013</v>
      </c>
      <c r="GD181" s="100">
        <v>2275</v>
      </c>
      <c r="GE181" s="100">
        <v>701</v>
      </c>
      <c r="GF181" s="58">
        <f t="shared" si="14"/>
        <v>1574</v>
      </c>
      <c r="GG181" s="100">
        <v>-12169.811</v>
      </c>
      <c r="GH181" s="100">
        <v>-328.6217000000002</v>
      </c>
      <c r="GI181" s="100">
        <v>-16761.743396738504</v>
      </c>
      <c r="GJ181" s="67">
        <f t="shared" si="17"/>
        <v>137</v>
      </c>
      <c r="GK181" s="67"/>
      <c r="GM181" s="96"/>
    </row>
    <row r="182" spans="1:195" ht="13.5" customHeight="1" x14ac:dyDescent="0.2">
      <c r="A182" s="74">
        <v>309</v>
      </c>
      <c r="B182" s="75" t="s">
        <v>81</v>
      </c>
      <c r="C182" s="75" t="s">
        <v>81</v>
      </c>
      <c r="D182" s="76"/>
      <c r="E182" s="77" t="s">
        <v>242</v>
      </c>
      <c r="F182" s="78">
        <v>3</v>
      </c>
      <c r="G182" s="79">
        <v>7139</v>
      </c>
      <c r="H182" s="80">
        <v>7387</v>
      </c>
      <c r="I182" s="80">
        <v>4297</v>
      </c>
      <c r="J182" s="80">
        <v>367</v>
      </c>
      <c r="K182" s="80">
        <v>877</v>
      </c>
      <c r="L182" s="80">
        <v>1846</v>
      </c>
      <c r="M182" s="80">
        <v>0</v>
      </c>
      <c r="N182" s="80">
        <v>0</v>
      </c>
      <c r="O182" s="80">
        <v>46847</v>
      </c>
      <c r="P182" s="80">
        <v>13373</v>
      </c>
      <c r="Q182" s="80">
        <v>9150</v>
      </c>
      <c r="R182" s="80">
        <v>4223</v>
      </c>
      <c r="S182" s="80">
        <v>3680</v>
      </c>
      <c r="T182" s="80">
        <v>543</v>
      </c>
      <c r="U182" s="80">
        <v>29802</v>
      </c>
      <c r="V182" s="80">
        <v>2307</v>
      </c>
      <c r="W182" s="80">
        <v>827</v>
      </c>
      <c r="X182" s="80">
        <v>538</v>
      </c>
      <c r="Y182" s="80">
        <v>-39460</v>
      </c>
      <c r="Z182" s="80">
        <v>23613</v>
      </c>
      <c r="AA182" s="80">
        <v>20287</v>
      </c>
      <c r="AB182" s="80">
        <v>1766</v>
      </c>
      <c r="AC182" s="80">
        <v>1560</v>
      </c>
      <c r="AD182" s="80">
        <v>20069</v>
      </c>
      <c r="AE182" s="80">
        <v>320</v>
      </c>
      <c r="AF182" s="80">
        <v>48</v>
      </c>
      <c r="AG182" s="80">
        <v>511</v>
      </c>
      <c r="AH182" s="80">
        <v>311</v>
      </c>
      <c r="AI182" s="80">
        <v>238</v>
      </c>
      <c r="AJ182" s="80">
        <v>1</v>
      </c>
      <c r="AK182" s="80">
        <v>4542</v>
      </c>
      <c r="AL182" s="80">
        <v>1734</v>
      </c>
      <c r="AM182" s="80">
        <v>1734</v>
      </c>
      <c r="AN182" s="80">
        <v>0</v>
      </c>
      <c r="AO182" s="80">
        <v>0</v>
      </c>
      <c r="AP182" s="80">
        <v>0</v>
      </c>
      <c r="AQ182" s="80">
        <v>0</v>
      </c>
      <c r="AR182" s="80">
        <v>2808</v>
      </c>
      <c r="AS182" s="80">
        <v>0</v>
      </c>
      <c r="AT182" s="80">
        <v>0</v>
      </c>
      <c r="AU182" s="80">
        <v>-47</v>
      </c>
      <c r="AV182" s="80">
        <v>2761</v>
      </c>
      <c r="AW182" s="81"/>
      <c r="AX182" s="80">
        <v>4696</v>
      </c>
      <c r="AY182" s="80">
        <v>4542</v>
      </c>
      <c r="AZ182" s="80">
        <v>0</v>
      </c>
      <c r="BA182" s="80">
        <v>154</v>
      </c>
      <c r="BB182" s="80">
        <v>-2051</v>
      </c>
      <c r="BC182" s="80">
        <v>7290</v>
      </c>
      <c r="BD182" s="80">
        <v>5223</v>
      </c>
      <c r="BE182" s="80">
        <v>16</v>
      </c>
      <c r="BF182" s="80">
        <v>2645</v>
      </c>
      <c r="BG182" s="80">
        <v>-2607</v>
      </c>
      <c r="BH182" s="80">
        <v>47</v>
      </c>
      <c r="BI182" s="80">
        <v>14</v>
      </c>
      <c r="BJ182" s="80">
        <v>61</v>
      </c>
      <c r="BK182" s="80">
        <v>-2949</v>
      </c>
      <c r="BL182" s="80">
        <v>0</v>
      </c>
      <c r="BM182" s="80">
        <v>2359</v>
      </c>
      <c r="BN182" s="80">
        <v>-590</v>
      </c>
      <c r="BO182" s="80">
        <v>10</v>
      </c>
      <c r="BP182" s="80">
        <v>285</v>
      </c>
      <c r="BQ182" s="80">
        <v>0</v>
      </c>
      <c r="BR182" s="80">
        <v>21</v>
      </c>
      <c r="BS182" s="80">
        <v>-1467</v>
      </c>
      <c r="BT182" s="80">
        <v>1731</v>
      </c>
      <c r="BU182" s="80">
        <v>38</v>
      </c>
      <c r="BV182" s="80">
        <v>1124</v>
      </c>
      <c r="BW182" s="80">
        <v>1086</v>
      </c>
      <c r="BX182" s="81"/>
      <c r="BY182" s="80">
        <v>37683</v>
      </c>
      <c r="BZ182" s="80">
        <v>89</v>
      </c>
      <c r="CA182" s="80">
        <v>0</v>
      </c>
      <c r="CB182" s="80">
        <v>89</v>
      </c>
      <c r="CC182" s="80">
        <v>0</v>
      </c>
      <c r="CD182" s="80">
        <v>23692</v>
      </c>
      <c r="CE182" s="80">
        <v>2907</v>
      </c>
      <c r="CF182" s="80">
        <v>9880</v>
      </c>
      <c r="CG182" s="80">
        <v>9188</v>
      </c>
      <c r="CH182" s="80">
        <v>185</v>
      </c>
      <c r="CI182" s="80">
        <v>175</v>
      </c>
      <c r="CJ182" s="80">
        <v>175</v>
      </c>
      <c r="CK182" s="80">
        <v>1357</v>
      </c>
      <c r="CL182" s="80">
        <v>13902</v>
      </c>
      <c r="CM182" s="80">
        <v>10352</v>
      </c>
      <c r="CN182" s="80">
        <v>1944</v>
      </c>
      <c r="CO182" s="80">
        <v>8408</v>
      </c>
      <c r="CP182" s="80">
        <v>0</v>
      </c>
      <c r="CQ182" s="80">
        <v>3155</v>
      </c>
      <c r="CR182" s="80">
        <v>0</v>
      </c>
      <c r="CS182" s="80">
        <v>0</v>
      </c>
      <c r="CT182" s="80">
        <v>3155</v>
      </c>
      <c r="CU182" s="80">
        <v>395</v>
      </c>
      <c r="CV182" s="80">
        <v>258</v>
      </c>
      <c r="CW182" s="80">
        <v>19</v>
      </c>
      <c r="CX182" s="80">
        <v>209</v>
      </c>
      <c r="CY182" s="80">
        <v>30</v>
      </c>
      <c r="CZ182" s="80">
        <v>6491</v>
      </c>
      <c r="DA182" s="80">
        <v>45</v>
      </c>
      <c r="DB182" s="80">
        <v>45</v>
      </c>
      <c r="DC182" s="80">
        <v>0</v>
      </c>
      <c r="DD182" s="80">
        <v>0</v>
      </c>
      <c r="DE182" s="80">
        <v>0</v>
      </c>
      <c r="DF182" s="80">
        <v>0</v>
      </c>
      <c r="DG182" s="80">
        <v>5322</v>
      </c>
      <c r="DH182" s="80">
        <v>15</v>
      </c>
      <c r="DI182" s="80">
        <v>15</v>
      </c>
      <c r="DJ182" s="80">
        <v>0</v>
      </c>
      <c r="DK182" s="80">
        <v>0</v>
      </c>
      <c r="DL182" s="80">
        <v>0</v>
      </c>
      <c r="DM182" s="80">
        <v>5307</v>
      </c>
      <c r="DN182" s="80">
        <v>3351</v>
      </c>
      <c r="DO182" s="80">
        <v>697</v>
      </c>
      <c r="DP182" s="80">
        <v>109</v>
      </c>
      <c r="DQ182" s="80">
        <v>1150</v>
      </c>
      <c r="DR182" s="80">
        <v>747</v>
      </c>
      <c r="DS182" s="80">
        <v>0</v>
      </c>
      <c r="DT182" s="80">
        <v>0</v>
      </c>
      <c r="DU182" s="80">
        <v>0</v>
      </c>
      <c r="DV182" s="80">
        <v>747</v>
      </c>
      <c r="DW182" s="80">
        <v>377</v>
      </c>
      <c r="DX182" s="80">
        <v>44432</v>
      </c>
      <c r="DY182" s="80">
        <v>24722</v>
      </c>
      <c r="DZ182" s="80">
        <v>21680</v>
      </c>
      <c r="EA182" s="80">
        <v>0</v>
      </c>
      <c r="EB182" s="80">
        <v>1921</v>
      </c>
      <c r="EC182" s="80">
        <v>-1640</v>
      </c>
      <c r="ED182" s="80">
        <v>2761</v>
      </c>
      <c r="EE182" s="80">
        <v>0</v>
      </c>
      <c r="EF182" s="80">
        <v>0</v>
      </c>
      <c r="EG182" s="80">
        <v>0</v>
      </c>
      <c r="EH182" s="80">
        <v>329</v>
      </c>
      <c r="EI182" s="80">
        <v>0</v>
      </c>
      <c r="EJ182" s="80">
        <v>329</v>
      </c>
      <c r="EK182" s="80">
        <v>258</v>
      </c>
      <c r="EL182" s="80">
        <v>19</v>
      </c>
      <c r="EM182" s="80">
        <v>209</v>
      </c>
      <c r="EN182" s="80">
        <v>30</v>
      </c>
      <c r="EO182" s="80">
        <v>19123</v>
      </c>
      <c r="EP182" s="80">
        <v>10601</v>
      </c>
      <c r="EQ182" s="80">
        <v>0</v>
      </c>
      <c r="ER182" s="80">
        <v>10301</v>
      </c>
      <c r="ES182" s="80">
        <v>2618</v>
      </c>
      <c r="ET182" s="80">
        <v>7683</v>
      </c>
      <c r="EU182" s="80">
        <v>0</v>
      </c>
      <c r="EV182" s="80">
        <v>0</v>
      </c>
      <c r="EW182" s="80">
        <v>300</v>
      </c>
      <c r="EX182" s="80">
        <v>0</v>
      </c>
      <c r="EY182" s="80">
        <v>0</v>
      </c>
      <c r="EZ182" s="80">
        <v>0</v>
      </c>
      <c r="FA182" s="80">
        <v>0</v>
      </c>
      <c r="FB182" s="80">
        <v>0</v>
      </c>
      <c r="FC182" s="80">
        <v>0</v>
      </c>
      <c r="FD182" s="80">
        <v>8522</v>
      </c>
      <c r="FE182" s="80">
        <v>0</v>
      </c>
      <c r="FF182" s="80">
        <v>1949</v>
      </c>
      <c r="FG182" s="80">
        <v>212</v>
      </c>
      <c r="FH182" s="80">
        <v>1737</v>
      </c>
      <c r="FI182" s="80">
        <v>0</v>
      </c>
      <c r="FJ182" s="80">
        <v>0</v>
      </c>
      <c r="FK182" s="80">
        <v>200</v>
      </c>
      <c r="FL182" s="80">
        <v>1486</v>
      </c>
      <c r="FM182" s="80">
        <v>0</v>
      </c>
      <c r="FN182" s="80">
        <v>1634</v>
      </c>
      <c r="FO182" s="80">
        <v>261</v>
      </c>
      <c r="FP182" s="80">
        <v>2992</v>
      </c>
      <c r="FQ182" s="80">
        <v>44432</v>
      </c>
      <c r="FR182" s="80">
        <v>21340</v>
      </c>
      <c r="FS182" s="80">
        <v>0</v>
      </c>
      <c r="FT182" s="100">
        <v>24351.793957188784</v>
      </c>
      <c r="FU182" s="100"/>
      <c r="FV182" s="100">
        <v>11968</v>
      </c>
      <c r="FW182" s="67">
        <v>1710</v>
      </c>
      <c r="FX182" s="100">
        <f t="shared" si="15"/>
        <v>-25675</v>
      </c>
      <c r="FY182" s="100">
        <f t="shared" si="16"/>
        <v>-37726</v>
      </c>
      <c r="FZ182" s="100">
        <v>26717.015220788151</v>
      </c>
      <c r="GA182" s="67">
        <v>12051</v>
      </c>
      <c r="GB182" s="58">
        <f t="shared" si="13"/>
        <v>83</v>
      </c>
      <c r="GC182" s="67">
        <v>1733</v>
      </c>
      <c r="GD182" s="100">
        <v>398</v>
      </c>
      <c r="GE182" s="100">
        <v>398</v>
      </c>
      <c r="GF182" s="58">
        <f t="shared" si="14"/>
        <v>0</v>
      </c>
      <c r="GG182" s="100">
        <v>-10786.073</v>
      </c>
      <c r="GH182" s="100">
        <v>-422.48410000000013</v>
      </c>
      <c r="GI182" s="100">
        <v>-15602.130957872187</v>
      </c>
      <c r="GJ182" s="67">
        <f t="shared" si="17"/>
        <v>23</v>
      </c>
      <c r="GK182" s="67"/>
      <c r="GM182" s="96"/>
    </row>
    <row r="183" spans="1:195" ht="13.5" customHeight="1" x14ac:dyDescent="0.2">
      <c r="A183" s="74">
        <v>576</v>
      </c>
      <c r="B183" s="75" t="s">
        <v>122</v>
      </c>
      <c r="C183" s="75" t="s">
        <v>122</v>
      </c>
      <c r="D183" s="76"/>
      <c r="E183" s="77" t="s">
        <v>217</v>
      </c>
      <c r="F183" s="78">
        <v>2</v>
      </c>
      <c r="G183" s="79">
        <v>3143</v>
      </c>
      <c r="H183" s="80">
        <v>3296</v>
      </c>
      <c r="I183" s="80">
        <v>1008</v>
      </c>
      <c r="J183" s="80">
        <v>165</v>
      </c>
      <c r="K183" s="80">
        <v>262</v>
      </c>
      <c r="L183" s="80">
        <v>1861</v>
      </c>
      <c r="M183" s="80">
        <v>0</v>
      </c>
      <c r="N183" s="80">
        <v>1</v>
      </c>
      <c r="O183" s="80">
        <v>21983</v>
      </c>
      <c r="P183" s="80">
        <v>4754</v>
      </c>
      <c r="Q183" s="80">
        <v>3404</v>
      </c>
      <c r="R183" s="80">
        <v>1350</v>
      </c>
      <c r="S183" s="80">
        <v>1202</v>
      </c>
      <c r="T183" s="80">
        <v>148</v>
      </c>
      <c r="U183" s="80">
        <v>15155</v>
      </c>
      <c r="V183" s="80">
        <v>1291</v>
      </c>
      <c r="W183" s="80">
        <v>431</v>
      </c>
      <c r="X183" s="80">
        <v>352</v>
      </c>
      <c r="Y183" s="80">
        <v>-18686</v>
      </c>
      <c r="Z183" s="80">
        <v>10873</v>
      </c>
      <c r="AA183" s="80">
        <v>8296</v>
      </c>
      <c r="AB183" s="80">
        <v>1184</v>
      </c>
      <c r="AC183" s="80">
        <v>1393</v>
      </c>
      <c r="AD183" s="80">
        <v>9689</v>
      </c>
      <c r="AE183" s="80">
        <v>49</v>
      </c>
      <c r="AF183" s="80">
        <v>27</v>
      </c>
      <c r="AG183" s="80">
        <v>145</v>
      </c>
      <c r="AH183" s="80">
        <v>15</v>
      </c>
      <c r="AI183" s="80">
        <v>120</v>
      </c>
      <c r="AJ183" s="80">
        <v>3</v>
      </c>
      <c r="AK183" s="80">
        <v>1925</v>
      </c>
      <c r="AL183" s="80">
        <v>1493</v>
      </c>
      <c r="AM183" s="80">
        <v>1493</v>
      </c>
      <c r="AN183" s="80">
        <v>0</v>
      </c>
      <c r="AO183" s="80">
        <v>0</v>
      </c>
      <c r="AP183" s="80">
        <v>0</v>
      </c>
      <c r="AQ183" s="80">
        <v>0</v>
      </c>
      <c r="AR183" s="80">
        <v>432</v>
      </c>
      <c r="AS183" s="80">
        <v>-548</v>
      </c>
      <c r="AT183" s="80">
        <v>0</v>
      </c>
      <c r="AU183" s="80">
        <v>622</v>
      </c>
      <c r="AV183" s="80">
        <v>506</v>
      </c>
      <c r="AW183" s="81"/>
      <c r="AX183" s="80">
        <v>1936</v>
      </c>
      <c r="AY183" s="80">
        <v>1925</v>
      </c>
      <c r="AZ183" s="80">
        <v>0</v>
      </c>
      <c r="BA183" s="80">
        <v>11</v>
      </c>
      <c r="BB183" s="80">
        <v>-1995</v>
      </c>
      <c r="BC183" s="80">
        <v>2047</v>
      </c>
      <c r="BD183" s="80">
        <v>41</v>
      </c>
      <c r="BE183" s="80">
        <v>11</v>
      </c>
      <c r="BF183" s="80">
        <v>-59</v>
      </c>
      <c r="BG183" s="80">
        <v>-331</v>
      </c>
      <c r="BH183" s="80">
        <v>35</v>
      </c>
      <c r="BI183" s="80">
        <v>0</v>
      </c>
      <c r="BJ183" s="80">
        <v>35</v>
      </c>
      <c r="BK183" s="80">
        <v>-724</v>
      </c>
      <c r="BL183" s="80">
        <v>1600</v>
      </c>
      <c r="BM183" s="80">
        <v>1724</v>
      </c>
      <c r="BN183" s="80">
        <v>-600</v>
      </c>
      <c r="BO183" s="80">
        <v>0</v>
      </c>
      <c r="BP183" s="80">
        <v>358</v>
      </c>
      <c r="BQ183" s="80">
        <v>0</v>
      </c>
      <c r="BR183" s="80">
        <v>0</v>
      </c>
      <c r="BS183" s="80">
        <v>294</v>
      </c>
      <c r="BT183" s="80">
        <v>64</v>
      </c>
      <c r="BU183" s="80">
        <v>-389</v>
      </c>
      <c r="BV183" s="80">
        <v>6053</v>
      </c>
      <c r="BW183" s="80">
        <v>6442</v>
      </c>
      <c r="BX183" s="81"/>
      <c r="BY183" s="80">
        <v>25221</v>
      </c>
      <c r="BZ183" s="80">
        <v>1022</v>
      </c>
      <c r="CA183" s="80">
        <v>18</v>
      </c>
      <c r="CB183" s="80">
        <v>1004</v>
      </c>
      <c r="CC183" s="80">
        <v>0</v>
      </c>
      <c r="CD183" s="80">
        <v>20387</v>
      </c>
      <c r="CE183" s="80">
        <v>5871</v>
      </c>
      <c r="CF183" s="80">
        <v>9850</v>
      </c>
      <c r="CG183" s="80">
        <v>4464</v>
      </c>
      <c r="CH183" s="80">
        <v>54</v>
      </c>
      <c r="CI183" s="80">
        <v>0</v>
      </c>
      <c r="CJ183" s="80">
        <v>0</v>
      </c>
      <c r="CK183" s="80">
        <v>148</v>
      </c>
      <c r="CL183" s="80">
        <v>3812</v>
      </c>
      <c r="CM183" s="80">
        <v>3026</v>
      </c>
      <c r="CN183" s="80">
        <v>2068</v>
      </c>
      <c r="CO183" s="80">
        <v>958</v>
      </c>
      <c r="CP183" s="80">
        <v>0</v>
      </c>
      <c r="CQ183" s="80">
        <v>786</v>
      </c>
      <c r="CR183" s="80">
        <v>0</v>
      </c>
      <c r="CS183" s="80">
        <v>0</v>
      </c>
      <c r="CT183" s="80">
        <v>786</v>
      </c>
      <c r="CU183" s="80">
        <v>0</v>
      </c>
      <c r="CV183" s="80">
        <v>50</v>
      </c>
      <c r="CW183" s="80">
        <v>0</v>
      </c>
      <c r="CX183" s="80">
        <v>50</v>
      </c>
      <c r="CY183" s="80">
        <v>0</v>
      </c>
      <c r="CZ183" s="80">
        <v>7427</v>
      </c>
      <c r="DA183" s="80">
        <v>0</v>
      </c>
      <c r="DB183" s="80">
        <v>0</v>
      </c>
      <c r="DC183" s="80">
        <v>0</v>
      </c>
      <c r="DD183" s="80">
        <v>0</v>
      </c>
      <c r="DE183" s="80">
        <v>0</v>
      </c>
      <c r="DF183" s="80">
        <v>0</v>
      </c>
      <c r="DG183" s="80">
        <v>1374</v>
      </c>
      <c r="DH183" s="80">
        <v>381</v>
      </c>
      <c r="DI183" s="80">
        <v>381</v>
      </c>
      <c r="DJ183" s="80">
        <v>0</v>
      </c>
      <c r="DK183" s="80">
        <v>0</v>
      </c>
      <c r="DL183" s="80">
        <v>0</v>
      </c>
      <c r="DM183" s="80">
        <v>993</v>
      </c>
      <c r="DN183" s="80">
        <v>678</v>
      </c>
      <c r="DO183" s="80">
        <v>0</v>
      </c>
      <c r="DP183" s="80">
        <v>159</v>
      </c>
      <c r="DQ183" s="80">
        <v>156</v>
      </c>
      <c r="DR183" s="80">
        <v>5700</v>
      </c>
      <c r="DS183" s="80">
        <v>0</v>
      </c>
      <c r="DT183" s="80">
        <v>0</v>
      </c>
      <c r="DU183" s="80">
        <v>0</v>
      </c>
      <c r="DV183" s="80">
        <v>5700</v>
      </c>
      <c r="DW183" s="80">
        <v>353</v>
      </c>
      <c r="DX183" s="80">
        <v>32698</v>
      </c>
      <c r="DY183" s="80">
        <v>19942</v>
      </c>
      <c r="DZ183" s="80">
        <v>12607</v>
      </c>
      <c r="EA183" s="80">
        <v>0</v>
      </c>
      <c r="EB183" s="80">
        <v>4192</v>
      </c>
      <c r="EC183" s="80">
        <v>2637</v>
      </c>
      <c r="ED183" s="80">
        <v>506</v>
      </c>
      <c r="EE183" s="80">
        <v>1414</v>
      </c>
      <c r="EF183" s="80">
        <v>1414</v>
      </c>
      <c r="EG183" s="80">
        <v>0</v>
      </c>
      <c r="EH183" s="80">
        <v>0</v>
      </c>
      <c r="EI183" s="80">
        <v>0</v>
      </c>
      <c r="EJ183" s="80">
        <v>0</v>
      </c>
      <c r="EK183" s="80">
        <v>68</v>
      </c>
      <c r="EL183" s="80">
        <v>0</v>
      </c>
      <c r="EM183" s="80">
        <v>68</v>
      </c>
      <c r="EN183" s="80">
        <v>0</v>
      </c>
      <c r="EO183" s="80">
        <v>11273</v>
      </c>
      <c r="EP183" s="80">
        <v>7499</v>
      </c>
      <c r="EQ183" s="80">
        <v>0</v>
      </c>
      <c r="ER183" s="80">
        <v>4579</v>
      </c>
      <c r="ES183" s="80">
        <v>4579</v>
      </c>
      <c r="ET183" s="80">
        <v>0</v>
      </c>
      <c r="EU183" s="80">
        <v>0</v>
      </c>
      <c r="EV183" s="80">
        <v>0</v>
      </c>
      <c r="EW183" s="80">
        <v>2335</v>
      </c>
      <c r="EX183" s="80">
        <v>0</v>
      </c>
      <c r="EY183" s="80">
        <v>0</v>
      </c>
      <c r="EZ183" s="80">
        <v>0</v>
      </c>
      <c r="FA183" s="80">
        <v>445</v>
      </c>
      <c r="FB183" s="80">
        <v>0</v>
      </c>
      <c r="FC183" s="80">
        <v>140</v>
      </c>
      <c r="FD183" s="80">
        <v>3774</v>
      </c>
      <c r="FE183" s="80">
        <v>0</v>
      </c>
      <c r="FF183" s="80">
        <v>959</v>
      </c>
      <c r="FG183" s="80">
        <v>959</v>
      </c>
      <c r="FH183" s="80">
        <v>0</v>
      </c>
      <c r="FI183" s="80">
        <v>0</v>
      </c>
      <c r="FJ183" s="80">
        <v>0</v>
      </c>
      <c r="FK183" s="80">
        <v>750</v>
      </c>
      <c r="FL183" s="80">
        <v>0</v>
      </c>
      <c r="FM183" s="80">
        <v>2</v>
      </c>
      <c r="FN183" s="80">
        <v>1381</v>
      </c>
      <c r="FO183" s="80">
        <v>127</v>
      </c>
      <c r="FP183" s="80">
        <v>555</v>
      </c>
      <c r="FQ183" s="80">
        <v>32697</v>
      </c>
      <c r="FR183" s="80">
        <v>0</v>
      </c>
      <c r="FS183" s="80">
        <v>976</v>
      </c>
      <c r="FT183" s="100">
        <v>8849.7069867768078</v>
      </c>
      <c r="FU183" s="100"/>
      <c r="FV183" s="100">
        <v>3893</v>
      </c>
      <c r="FW183" s="67">
        <v>1493</v>
      </c>
      <c r="FX183" s="100">
        <f t="shared" si="15"/>
        <v>-13231</v>
      </c>
      <c r="FY183" s="100">
        <f t="shared" si="16"/>
        <v>-17193</v>
      </c>
      <c r="FZ183" s="100">
        <v>13156.535099293145</v>
      </c>
      <c r="GA183" s="67">
        <v>3962</v>
      </c>
      <c r="GB183" s="58">
        <f t="shared" si="13"/>
        <v>69</v>
      </c>
      <c r="GC183" s="67">
        <v>1493</v>
      </c>
      <c r="GD183" s="100">
        <v>166</v>
      </c>
      <c r="GE183" s="100">
        <v>166</v>
      </c>
      <c r="GF183" s="58">
        <f t="shared" si="14"/>
        <v>0</v>
      </c>
      <c r="GG183" s="100">
        <v>-4788.8730000000005</v>
      </c>
      <c r="GH183" s="100">
        <v>-374.47775000000013</v>
      </c>
      <c r="GI183" s="100">
        <v>-8195.5836365010109</v>
      </c>
      <c r="GJ183" s="67">
        <f t="shared" si="17"/>
        <v>0</v>
      </c>
      <c r="GK183" s="67"/>
      <c r="GM183" s="96"/>
    </row>
    <row r="184" spans="1:195" ht="13.5" customHeight="1" x14ac:dyDescent="0.2">
      <c r="A184" s="74">
        <v>578</v>
      </c>
      <c r="B184" s="75" t="s">
        <v>123</v>
      </c>
      <c r="C184" s="75" t="s">
        <v>123</v>
      </c>
      <c r="D184" s="76"/>
      <c r="E184" s="77" t="s">
        <v>234</v>
      </c>
      <c r="F184" s="78">
        <v>2</v>
      </c>
      <c r="G184" s="79">
        <v>3488</v>
      </c>
      <c r="H184" s="80">
        <v>3664</v>
      </c>
      <c r="I184" s="80">
        <v>1770</v>
      </c>
      <c r="J184" s="80">
        <v>310</v>
      </c>
      <c r="K184" s="80">
        <v>164</v>
      </c>
      <c r="L184" s="80">
        <v>1420</v>
      </c>
      <c r="M184" s="80">
        <v>0</v>
      </c>
      <c r="N184" s="80">
        <v>0</v>
      </c>
      <c r="O184" s="80">
        <v>25681</v>
      </c>
      <c r="P184" s="80">
        <v>6198</v>
      </c>
      <c r="Q184" s="80">
        <v>4445</v>
      </c>
      <c r="R184" s="80">
        <v>1753</v>
      </c>
      <c r="S184" s="80">
        <v>1551</v>
      </c>
      <c r="T184" s="80">
        <v>202</v>
      </c>
      <c r="U184" s="80">
        <v>17206</v>
      </c>
      <c r="V184" s="80">
        <v>1604</v>
      </c>
      <c r="W184" s="80">
        <v>396</v>
      </c>
      <c r="X184" s="80">
        <v>277</v>
      </c>
      <c r="Y184" s="80">
        <v>-22017</v>
      </c>
      <c r="Z184" s="80">
        <v>11449</v>
      </c>
      <c r="AA184" s="80">
        <v>9507</v>
      </c>
      <c r="AB184" s="80">
        <v>685</v>
      </c>
      <c r="AC184" s="80">
        <v>1257</v>
      </c>
      <c r="AD184" s="80">
        <v>12297</v>
      </c>
      <c r="AE184" s="80">
        <v>-164</v>
      </c>
      <c r="AF184" s="80">
        <v>0</v>
      </c>
      <c r="AG184" s="80">
        <v>12</v>
      </c>
      <c r="AH184" s="80">
        <v>2</v>
      </c>
      <c r="AI184" s="80">
        <v>176</v>
      </c>
      <c r="AJ184" s="80">
        <v>0</v>
      </c>
      <c r="AK184" s="80">
        <v>1565</v>
      </c>
      <c r="AL184" s="80">
        <v>1270</v>
      </c>
      <c r="AM184" s="80">
        <v>1020</v>
      </c>
      <c r="AN184" s="80">
        <v>250</v>
      </c>
      <c r="AO184" s="80">
        <v>0</v>
      </c>
      <c r="AP184" s="80">
        <v>0</v>
      </c>
      <c r="AQ184" s="80">
        <v>0</v>
      </c>
      <c r="AR184" s="80">
        <v>295</v>
      </c>
      <c r="AS184" s="80">
        <v>21</v>
      </c>
      <c r="AT184" s="80">
        <v>0</v>
      </c>
      <c r="AU184" s="80">
        <v>0</v>
      </c>
      <c r="AV184" s="80">
        <v>316</v>
      </c>
      <c r="AW184" s="81"/>
      <c r="AX184" s="80">
        <v>1224</v>
      </c>
      <c r="AY184" s="80">
        <v>1565</v>
      </c>
      <c r="AZ184" s="80">
        <v>0</v>
      </c>
      <c r="BA184" s="80">
        <v>-341</v>
      </c>
      <c r="BB184" s="80">
        <v>-1816</v>
      </c>
      <c r="BC184" s="80">
        <v>2225</v>
      </c>
      <c r="BD184" s="80">
        <v>0</v>
      </c>
      <c r="BE184" s="80">
        <v>409</v>
      </c>
      <c r="BF184" s="80">
        <v>-592</v>
      </c>
      <c r="BG184" s="80">
        <v>887</v>
      </c>
      <c r="BH184" s="80">
        <v>-40</v>
      </c>
      <c r="BI184" s="80">
        <v>40</v>
      </c>
      <c r="BJ184" s="80">
        <v>0</v>
      </c>
      <c r="BK184" s="80">
        <v>-344</v>
      </c>
      <c r="BL184" s="80">
        <v>0</v>
      </c>
      <c r="BM184" s="80">
        <v>1394</v>
      </c>
      <c r="BN184" s="80">
        <v>1050</v>
      </c>
      <c r="BO184" s="80">
        <v>0</v>
      </c>
      <c r="BP184" s="80">
        <v>1271</v>
      </c>
      <c r="BQ184" s="80">
        <v>103</v>
      </c>
      <c r="BR184" s="80">
        <v>-6</v>
      </c>
      <c r="BS184" s="80">
        <v>763</v>
      </c>
      <c r="BT184" s="80">
        <v>411</v>
      </c>
      <c r="BU184" s="80">
        <v>297</v>
      </c>
      <c r="BV184" s="80">
        <v>3577</v>
      </c>
      <c r="BW184" s="80">
        <v>3280</v>
      </c>
      <c r="BX184" s="81"/>
      <c r="BY184" s="80">
        <v>19414</v>
      </c>
      <c r="BZ184" s="80">
        <v>0</v>
      </c>
      <c r="CA184" s="80">
        <v>0</v>
      </c>
      <c r="CB184" s="80">
        <v>0</v>
      </c>
      <c r="CC184" s="80">
        <v>0</v>
      </c>
      <c r="CD184" s="80">
        <v>17480</v>
      </c>
      <c r="CE184" s="80">
        <v>2105</v>
      </c>
      <c r="CF184" s="80">
        <v>10832</v>
      </c>
      <c r="CG184" s="80">
        <v>2508</v>
      </c>
      <c r="CH184" s="80">
        <v>342</v>
      </c>
      <c r="CI184" s="80">
        <v>0</v>
      </c>
      <c r="CJ184" s="80">
        <v>0</v>
      </c>
      <c r="CK184" s="80">
        <v>1693</v>
      </c>
      <c r="CL184" s="80">
        <v>1934</v>
      </c>
      <c r="CM184" s="80">
        <v>1529</v>
      </c>
      <c r="CN184" s="80">
        <v>835</v>
      </c>
      <c r="CO184" s="80">
        <v>694</v>
      </c>
      <c r="CP184" s="80">
        <v>0</v>
      </c>
      <c r="CQ184" s="80">
        <v>389</v>
      </c>
      <c r="CR184" s="80">
        <v>0</v>
      </c>
      <c r="CS184" s="80">
        <v>0</v>
      </c>
      <c r="CT184" s="80">
        <v>389</v>
      </c>
      <c r="CU184" s="80">
        <v>16</v>
      </c>
      <c r="CV184" s="80">
        <v>20</v>
      </c>
      <c r="CW184" s="80">
        <v>20</v>
      </c>
      <c r="CX184" s="80">
        <v>0</v>
      </c>
      <c r="CY184" s="80">
        <v>0</v>
      </c>
      <c r="CZ184" s="80">
        <v>4216</v>
      </c>
      <c r="DA184" s="80">
        <v>147</v>
      </c>
      <c r="DB184" s="80">
        <v>147</v>
      </c>
      <c r="DC184" s="80">
        <v>0</v>
      </c>
      <c r="DD184" s="80">
        <v>0</v>
      </c>
      <c r="DE184" s="80">
        <v>0</v>
      </c>
      <c r="DF184" s="80">
        <v>0</v>
      </c>
      <c r="DG184" s="80">
        <v>492</v>
      </c>
      <c r="DH184" s="80">
        <v>0</v>
      </c>
      <c r="DI184" s="80">
        <v>0</v>
      </c>
      <c r="DJ184" s="80">
        <v>0</v>
      </c>
      <c r="DK184" s="80">
        <v>0</v>
      </c>
      <c r="DL184" s="80">
        <v>0</v>
      </c>
      <c r="DM184" s="80">
        <v>492</v>
      </c>
      <c r="DN184" s="80">
        <v>354</v>
      </c>
      <c r="DO184" s="80">
        <v>0</v>
      </c>
      <c r="DP184" s="80">
        <v>39</v>
      </c>
      <c r="DQ184" s="80">
        <v>99</v>
      </c>
      <c r="DR184" s="80">
        <v>3037</v>
      </c>
      <c r="DS184" s="80">
        <v>0</v>
      </c>
      <c r="DT184" s="80">
        <v>3037</v>
      </c>
      <c r="DU184" s="80">
        <v>0</v>
      </c>
      <c r="DV184" s="80">
        <v>0</v>
      </c>
      <c r="DW184" s="80">
        <v>540</v>
      </c>
      <c r="DX184" s="80">
        <v>23650</v>
      </c>
      <c r="DY184" s="80">
        <v>9231</v>
      </c>
      <c r="DZ184" s="80">
        <v>7797</v>
      </c>
      <c r="EA184" s="80">
        <v>0</v>
      </c>
      <c r="EB184" s="80">
        <v>186</v>
      </c>
      <c r="EC184" s="80">
        <v>932</v>
      </c>
      <c r="ED184" s="80">
        <v>316</v>
      </c>
      <c r="EE184" s="80">
        <v>1112</v>
      </c>
      <c r="EF184" s="80">
        <v>297</v>
      </c>
      <c r="EG184" s="80">
        <v>815</v>
      </c>
      <c r="EH184" s="80">
        <v>0</v>
      </c>
      <c r="EI184" s="80">
        <v>0</v>
      </c>
      <c r="EJ184" s="80">
        <v>0</v>
      </c>
      <c r="EK184" s="80">
        <v>185</v>
      </c>
      <c r="EL184" s="80">
        <v>20</v>
      </c>
      <c r="EM184" s="80">
        <v>165</v>
      </c>
      <c r="EN184" s="80">
        <v>0</v>
      </c>
      <c r="EO184" s="80">
        <v>13122</v>
      </c>
      <c r="EP184" s="80">
        <v>5386</v>
      </c>
      <c r="EQ184" s="80">
        <v>0</v>
      </c>
      <c r="ER184" s="80">
        <v>4617</v>
      </c>
      <c r="ES184" s="80">
        <v>0</v>
      </c>
      <c r="ET184" s="80">
        <v>4617</v>
      </c>
      <c r="EU184" s="80">
        <v>0</v>
      </c>
      <c r="EV184" s="80">
        <v>0</v>
      </c>
      <c r="EW184" s="80">
        <v>667</v>
      </c>
      <c r="EX184" s="80">
        <v>0</v>
      </c>
      <c r="EY184" s="80">
        <v>0</v>
      </c>
      <c r="EZ184" s="80">
        <v>0</v>
      </c>
      <c r="FA184" s="80">
        <v>102</v>
      </c>
      <c r="FB184" s="80">
        <v>0</v>
      </c>
      <c r="FC184" s="80">
        <v>0</v>
      </c>
      <c r="FD184" s="80">
        <v>7736</v>
      </c>
      <c r="FE184" s="80">
        <v>0</v>
      </c>
      <c r="FF184" s="80">
        <v>5533</v>
      </c>
      <c r="FG184" s="80">
        <v>0</v>
      </c>
      <c r="FH184" s="80">
        <v>5533</v>
      </c>
      <c r="FI184" s="80">
        <v>0</v>
      </c>
      <c r="FJ184" s="80">
        <v>0</v>
      </c>
      <c r="FK184" s="80">
        <v>334</v>
      </c>
      <c r="FL184" s="80">
        <v>0</v>
      </c>
      <c r="FM184" s="80">
        <v>34</v>
      </c>
      <c r="FN184" s="80">
        <v>771</v>
      </c>
      <c r="FO184" s="80">
        <v>103</v>
      </c>
      <c r="FP184" s="80">
        <v>961</v>
      </c>
      <c r="FQ184" s="80">
        <v>23650</v>
      </c>
      <c r="FR184" s="80">
        <v>775</v>
      </c>
      <c r="FS184" s="80">
        <v>436</v>
      </c>
      <c r="FT184" s="100">
        <v>12509.347061002649</v>
      </c>
      <c r="FU184" s="100"/>
      <c r="FV184" s="100">
        <v>5228</v>
      </c>
      <c r="FW184" s="67">
        <v>1270</v>
      </c>
      <c r="FX184" s="100">
        <f t="shared" si="15"/>
        <v>-15488</v>
      </c>
      <c r="FY184" s="100">
        <f t="shared" si="16"/>
        <v>-20747</v>
      </c>
      <c r="FZ184" s="100">
        <v>14301.973175570762</v>
      </c>
      <c r="GA184" s="67">
        <v>5259</v>
      </c>
      <c r="GB184" s="58">
        <f t="shared" si="13"/>
        <v>31</v>
      </c>
      <c r="GC184" s="67">
        <v>1270</v>
      </c>
      <c r="GD184" s="100">
        <v>315</v>
      </c>
      <c r="GE184" s="100">
        <v>315</v>
      </c>
      <c r="GF184" s="58">
        <f t="shared" si="14"/>
        <v>0</v>
      </c>
      <c r="GG184" s="100">
        <v>-5068.1030000000001</v>
      </c>
      <c r="GH184" s="100">
        <v>-201.5929000000001</v>
      </c>
      <c r="GI184" s="100">
        <v>-9370.0591110066853</v>
      </c>
      <c r="GJ184" s="67">
        <f t="shared" si="17"/>
        <v>0</v>
      </c>
      <c r="GK184" s="67"/>
      <c r="GM184" s="96"/>
    </row>
    <row r="185" spans="1:195" ht="13.5" customHeight="1" x14ac:dyDescent="0.2">
      <c r="A185" s="74">
        <v>445</v>
      </c>
      <c r="B185" s="75" t="s">
        <v>289</v>
      </c>
      <c r="C185" s="82" t="s">
        <v>289</v>
      </c>
      <c r="D185" s="76"/>
      <c r="E185" s="77" t="s">
        <v>219</v>
      </c>
      <c r="F185" s="78">
        <v>4</v>
      </c>
      <c r="G185" s="79">
        <v>15457</v>
      </c>
      <c r="H185" s="80">
        <v>15509</v>
      </c>
      <c r="I185" s="80">
        <v>4985</v>
      </c>
      <c r="J185" s="80">
        <v>6178</v>
      </c>
      <c r="K185" s="80">
        <v>1720</v>
      </c>
      <c r="L185" s="80">
        <v>2626</v>
      </c>
      <c r="M185" s="80">
        <v>0</v>
      </c>
      <c r="N185" s="80">
        <v>0</v>
      </c>
      <c r="O185" s="80">
        <v>103371</v>
      </c>
      <c r="P185" s="80">
        <v>49971</v>
      </c>
      <c r="Q185" s="80">
        <v>38556</v>
      </c>
      <c r="R185" s="80">
        <v>11415</v>
      </c>
      <c r="S185" s="80">
        <v>9254</v>
      </c>
      <c r="T185" s="80">
        <v>2161</v>
      </c>
      <c r="U185" s="80">
        <v>41304</v>
      </c>
      <c r="V185" s="80">
        <v>6184</v>
      </c>
      <c r="W185" s="80">
        <v>4028</v>
      </c>
      <c r="X185" s="80">
        <v>1884</v>
      </c>
      <c r="Y185" s="80">
        <v>-87862</v>
      </c>
      <c r="Z185" s="80">
        <v>64771</v>
      </c>
      <c r="AA185" s="80">
        <v>53325</v>
      </c>
      <c r="AB185" s="80">
        <v>2354</v>
      </c>
      <c r="AC185" s="80">
        <v>9092</v>
      </c>
      <c r="AD185" s="80">
        <v>31146</v>
      </c>
      <c r="AE185" s="80">
        <v>-868</v>
      </c>
      <c r="AF185" s="80">
        <v>9</v>
      </c>
      <c r="AG185" s="80">
        <v>126</v>
      </c>
      <c r="AH185" s="80">
        <v>0</v>
      </c>
      <c r="AI185" s="80">
        <v>989</v>
      </c>
      <c r="AJ185" s="80">
        <v>14</v>
      </c>
      <c r="AK185" s="80">
        <v>7187</v>
      </c>
      <c r="AL185" s="80">
        <v>4609</v>
      </c>
      <c r="AM185" s="80">
        <v>4609</v>
      </c>
      <c r="AN185" s="80">
        <v>0</v>
      </c>
      <c r="AO185" s="80">
        <v>0</v>
      </c>
      <c r="AP185" s="80">
        <v>0</v>
      </c>
      <c r="AQ185" s="80">
        <v>0</v>
      </c>
      <c r="AR185" s="80">
        <v>2578</v>
      </c>
      <c r="AS185" s="80">
        <v>70</v>
      </c>
      <c r="AT185" s="80">
        <v>0</v>
      </c>
      <c r="AU185" s="80">
        <v>0</v>
      </c>
      <c r="AV185" s="80">
        <v>2648</v>
      </c>
      <c r="AW185" s="81"/>
      <c r="AX185" s="80">
        <v>7124</v>
      </c>
      <c r="AY185" s="80">
        <v>7187</v>
      </c>
      <c r="AZ185" s="80">
        <v>0</v>
      </c>
      <c r="BA185" s="80">
        <v>-63</v>
      </c>
      <c r="BB185" s="80">
        <v>-5521</v>
      </c>
      <c r="BC185" s="80">
        <v>6102</v>
      </c>
      <c r="BD185" s="80">
        <v>166</v>
      </c>
      <c r="BE185" s="80">
        <v>415</v>
      </c>
      <c r="BF185" s="80">
        <v>1603</v>
      </c>
      <c r="BG185" s="80">
        <v>-377</v>
      </c>
      <c r="BH185" s="80">
        <v>0</v>
      </c>
      <c r="BI185" s="80">
        <v>0</v>
      </c>
      <c r="BJ185" s="80">
        <v>0</v>
      </c>
      <c r="BK185" s="80">
        <v>-1242</v>
      </c>
      <c r="BL185" s="80">
        <v>0</v>
      </c>
      <c r="BM185" s="80">
        <v>1997</v>
      </c>
      <c r="BN185" s="80">
        <v>755</v>
      </c>
      <c r="BO185" s="80">
        <v>-24</v>
      </c>
      <c r="BP185" s="80">
        <v>889</v>
      </c>
      <c r="BQ185" s="80">
        <v>-102</v>
      </c>
      <c r="BR185" s="80">
        <v>12</v>
      </c>
      <c r="BS185" s="80">
        <v>-378</v>
      </c>
      <c r="BT185" s="80">
        <v>1357</v>
      </c>
      <c r="BU185" s="80">
        <v>1226</v>
      </c>
      <c r="BV185" s="80">
        <v>3114</v>
      </c>
      <c r="BW185" s="80">
        <v>1888</v>
      </c>
      <c r="BX185" s="81"/>
      <c r="BY185" s="80">
        <v>118125</v>
      </c>
      <c r="BZ185" s="80">
        <v>272</v>
      </c>
      <c r="CA185" s="80">
        <v>0</v>
      </c>
      <c r="CB185" s="80">
        <v>272</v>
      </c>
      <c r="CC185" s="80">
        <v>0</v>
      </c>
      <c r="CD185" s="80">
        <v>100199</v>
      </c>
      <c r="CE185" s="80">
        <v>14549</v>
      </c>
      <c r="CF185" s="80">
        <v>51244</v>
      </c>
      <c r="CG185" s="80">
        <v>31552</v>
      </c>
      <c r="CH185" s="80">
        <v>1489</v>
      </c>
      <c r="CI185" s="80">
        <v>8</v>
      </c>
      <c r="CJ185" s="80">
        <v>8</v>
      </c>
      <c r="CK185" s="80">
        <v>1357</v>
      </c>
      <c r="CL185" s="80">
        <v>17654</v>
      </c>
      <c r="CM185" s="80">
        <v>17336</v>
      </c>
      <c r="CN185" s="80">
        <v>6683</v>
      </c>
      <c r="CO185" s="80">
        <v>10653</v>
      </c>
      <c r="CP185" s="80">
        <v>0</v>
      </c>
      <c r="CQ185" s="80">
        <v>318</v>
      </c>
      <c r="CR185" s="80">
        <v>0</v>
      </c>
      <c r="CS185" s="80">
        <v>0</v>
      </c>
      <c r="CT185" s="80">
        <v>318</v>
      </c>
      <c r="CU185" s="80">
        <v>0</v>
      </c>
      <c r="CV185" s="80">
        <v>609</v>
      </c>
      <c r="CW185" s="80">
        <v>0</v>
      </c>
      <c r="CX185" s="80">
        <v>0</v>
      </c>
      <c r="CY185" s="80">
        <v>609</v>
      </c>
      <c r="CZ185" s="80">
        <v>7968</v>
      </c>
      <c r="DA185" s="80">
        <v>143</v>
      </c>
      <c r="DB185" s="80">
        <v>143</v>
      </c>
      <c r="DC185" s="80">
        <v>0</v>
      </c>
      <c r="DD185" s="80">
        <v>0</v>
      </c>
      <c r="DE185" s="80">
        <v>0</v>
      </c>
      <c r="DF185" s="80">
        <v>0</v>
      </c>
      <c r="DG185" s="80">
        <v>4711</v>
      </c>
      <c r="DH185" s="80">
        <v>0</v>
      </c>
      <c r="DI185" s="80">
        <v>0</v>
      </c>
      <c r="DJ185" s="80">
        <v>0</v>
      </c>
      <c r="DK185" s="80">
        <v>0</v>
      </c>
      <c r="DL185" s="80">
        <v>0</v>
      </c>
      <c r="DM185" s="80">
        <v>4711</v>
      </c>
      <c r="DN185" s="80">
        <v>2498</v>
      </c>
      <c r="DO185" s="80">
        <v>16</v>
      </c>
      <c r="DP185" s="80">
        <v>1490</v>
      </c>
      <c r="DQ185" s="80">
        <v>707</v>
      </c>
      <c r="DR185" s="80">
        <v>7</v>
      </c>
      <c r="DS185" s="80">
        <v>7</v>
      </c>
      <c r="DT185" s="80">
        <v>0</v>
      </c>
      <c r="DU185" s="80">
        <v>0</v>
      </c>
      <c r="DV185" s="80">
        <v>0</v>
      </c>
      <c r="DW185" s="80">
        <v>3107</v>
      </c>
      <c r="DX185" s="80">
        <v>126702</v>
      </c>
      <c r="DY185" s="80">
        <v>68512</v>
      </c>
      <c r="DZ185" s="80">
        <v>57598</v>
      </c>
      <c r="EA185" s="80">
        <v>0</v>
      </c>
      <c r="EB185" s="80">
        <v>168</v>
      </c>
      <c r="EC185" s="80">
        <v>8098</v>
      </c>
      <c r="ED185" s="80">
        <v>2648</v>
      </c>
      <c r="EE185" s="80">
        <v>925</v>
      </c>
      <c r="EF185" s="80">
        <v>925</v>
      </c>
      <c r="EG185" s="80">
        <v>0</v>
      </c>
      <c r="EH185" s="80">
        <v>852</v>
      </c>
      <c r="EI185" s="80">
        <v>89</v>
      </c>
      <c r="EJ185" s="80">
        <v>763</v>
      </c>
      <c r="EK185" s="80">
        <v>1555</v>
      </c>
      <c r="EL185" s="80">
        <v>0</v>
      </c>
      <c r="EM185" s="80">
        <v>0</v>
      </c>
      <c r="EN185" s="80">
        <v>1555</v>
      </c>
      <c r="EO185" s="80">
        <v>54858</v>
      </c>
      <c r="EP185" s="80">
        <v>19769</v>
      </c>
      <c r="EQ185" s="80">
        <v>0</v>
      </c>
      <c r="ER185" s="80">
        <v>19587</v>
      </c>
      <c r="ES185" s="80">
        <v>517</v>
      </c>
      <c r="ET185" s="80">
        <v>19070</v>
      </c>
      <c r="EU185" s="80">
        <v>0</v>
      </c>
      <c r="EV185" s="80">
        <v>0</v>
      </c>
      <c r="EW185" s="80">
        <v>80</v>
      </c>
      <c r="EX185" s="80">
        <v>0</v>
      </c>
      <c r="EY185" s="80">
        <v>8</v>
      </c>
      <c r="EZ185" s="80">
        <v>94</v>
      </c>
      <c r="FA185" s="80">
        <v>0</v>
      </c>
      <c r="FB185" s="80">
        <v>0</v>
      </c>
      <c r="FC185" s="80">
        <v>0</v>
      </c>
      <c r="FD185" s="80">
        <v>35089</v>
      </c>
      <c r="FE185" s="80">
        <v>0</v>
      </c>
      <c r="FF185" s="80">
        <v>21391</v>
      </c>
      <c r="FG185" s="80">
        <v>19905</v>
      </c>
      <c r="FH185" s="80">
        <v>1486</v>
      </c>
      <c r="FI185" s="80">
        <v>0</v>
      </c>
      <c r="FJ185" s="80">
        <v>0</v>
      </c>
      <c r="FK185" s="80">
        <v>12</v>
      </c>
      <c r="FL185" s="80">
        <v>939</v>
      </c>
      <c r="FM185" s="80">
        <v>14</v>
      </c>
      <c r="FN185" s="80">
        <v>5024</v>
      </c>
      <c r="FO185" s="80">
        <v>962</v>
      </c>
      <c r="FP185" s="80">
        <v>6747</v>
      </c>
      <c r="FQ185" s="80">
        <v>126702</v>
      </c>
      <c r="FR185" s="80">
        <v>3926</v>
      </c>
      <c r="FS185" s="80">
        <v>10420</v>
      </c>
      <c r="FT185" s="100">
        <v>58595.531954106227</v>
      </c>
      <c r="FU185" s="100"/>
      <c r="FV185" s="100">
        <v>20505</v>
      </c>
      <c r="FW185" s="67">
        <v>4027</v>
      </c>
      <c r="FX185" s="100">
        <f t="shared" si="15"/>
        <v>-55996</v>
      </c>
      <c r="FY185" s="100">
        <f t="shared" si="16"/>
        <v>-83253</v>
      </c>
      <c r="FZ185" s="100">
        <v>49985.686008042343</v>
      </c>
      <c r="GA185" s="67">
        <v>27257</v>
      </c>
      <c r="GB185" s="58">
        <f t="shared" si="13"/>
        <v>6752</v>
      </c>
      <c r="GC185" s="67">
        <v>4609</v>
      </c>
      <c r="GD185" s="100">
        <v>6290</v>
      </c>
      <c r="GE185" s="100">
        <v>2279</v>
      </c>
      <c r="GF185" s="58">
        <f t="shared" si="14"/>
        <v>4011</v>
      </c>
      <c r="GG185" s="100">
        <v>-33055.218000000001</v>
      </c>
      <c r="GH185" s="100">
        <v>-624.19190000000015</v>
      </c>
      <c r="GI185" s="100">
        <v>-16895.177772256444</v>
      </c>
      <c r="GJ185" s="67">
        <f t="shared" si="17"/>
        <v>582</v>
      </c>
      <c r="GK185" s="67"/>
      <c r="GM185" s="96"/>
    </row>
    <row r="186" spans="1:195" ht="13.5" customHeight="1" x14ac:dyDescent="0.2">
      <c r="A186" s="74">
        <v>580</v>
      </c>
      <c r="B186" s="75" t="s">
        <v>124</v>
      </c>
      <c r="C186" s="75" t="s">
        <v>124</v>
      </c>
      <c r="D186" s="76"/>
      <c r="E186" s="77" t="s">
        <v>243</v>
      </c>
      <c r="F186" s="78">
        <v>3</v>
      </c>
      <c r="G186" s="79">
        <v>5235</v>
      </c>
      <c r="H186" s="80">
        <v>9079</v>
      </c>
      <c r="I186" s="80">
        <v>5079</v>
      </c>
      <c r="J186" s="80">
        <v>611</v>
      </c>
      <c r="K186" s="80">
        <v>216</v>
      </c>
      <c r="L186" s="80">
        <v>3173</v>
      </c>
      <c r="M186" s="80">
        <v>0</v>
      </c>
      <c r="N186" s="80">
        <v>0</v>
      </c>
      <c r="O186" s="80">
        <v>40164</v>
      </c>
      <c r="P186" s="80">
        <v>9976</v>
      </c>
      <c r="Q186" s="80">
        <v>7455</v>
      </c>
      <c r="R186" s="80">
        <v>2521</v>
      </c>
      <c r="S186" s="80">
        <v>2001</v>
      </c>
      <c r="T186" s="80">
        <v>520</v>
      </c>
      <c r="U186" s="80">
        <v>26798</v>
      </c>
      <c r="V186" s="80">
        <v>2192</v>
      </c>
      <c r="W186" s="80">
        <v>633</v>
      </c>
      <c r="X186" s="80">
        <v>565</v>
      </c>
      <c r="Y186" s="80">
        <v>-31085</v>
      </c>
      <c r="Z186" s="80">
        <v>16058</v>
      </c>
      <c r="AA186" s="80">
        <v>13444</v>
      </c>
      <c r="AB186" s="80">
        <v>1252</v>
      </c>
      <c r="AC186" s="80">
        <v>1362</v>
      </c>
      <c r="AD186" s="80">
        <v>17862</v>
      </c>
      <c r="AE186" s="80">
        <v>38</v>
      </c>
      <c r="AF186" s="80">
        <v>32</v>
      </c>
      <c r="AG186" s="80">
        <v>32</v>
      </c>
      <c r="AH186" s="80">
        <v>20</v>
      </c>
      <c r="AI186" s="80">
        <v>25</v>
      </c>
      <c r="AJ186" s="80">
        <v>1</v>
      </c>
      <c r="AK186" s="80">
        <v>2873</v>
      </c>
      <c r="AL186" s="80">
        <v>1705</v>
      </c>
      <c r="AM186" s="80">
        <v>1705</v>
      </c>
      <c r="AN186" s="80">
        <v>0</v>
      </c>
      <c r="AO186" s="80">
        <v>0</v>
      </c>
      <c r="AP186" s="80">
        <v>0</v>
      </c>
      <c r="AQ186" s="80">
        <v>0</v>
      </c>
      <c r="AR186" s="80">
        <v>1168</v>
      </c>
      <c r="AS186" s="80">
        <v>24</v>
      </c>
      <c r="AT186" s="80">
        <v>0</v>
      </c>
      <c r="AU186" s="80">
        <v>0</v>
      </c>
      <c r="AV186" s="80">
        <v>1192</v>
      </c>
      <c r="AW186" s="81"/>
      <c r="AX186" s="80">
        <v>2757</v>
      </c>
      <c r="AY186" s="80">
        <v>2873</v>
      </c>
      <c r="AZ186" s="80">
        <v>0</v>
      </c>
      <c r="BA186" s="80">
        <v>-116</v>
      </c>
      <c r="BB186" s="80">
        <v>-2670</v>
      </c>
      <c r="BC186" s="80">
        <v>3251</v>
      </c>
      <c r="BD186" s="80">
        <v>174</v>
      </c>
      <c r="BE186" s="80">
        <v>407</v>
      </c>
      <c r="BF186" s="80">
        <v>87</v>
      </c>
      <c r="BG186" s="80">
        <v>1169</v>
      </c>
      <c r="BH186" s="80">
        <v>21</v>
      </c>
      <c r="BI186" s="80">
        <v>0</v>
      </c>
      <c r="BJ186" s="80">
        <v>21</v>
      </c>
      <c r="BK186" s="80">
        <v>-359</v>
      </c>
      <c r="BL186" s="80">
        <v>0</v>
      </c>
      <c r="BM186" s="80">
        <v>359</v>
      </c>
      <c r="BN186" s="80">
        <v>0</v>
      </c>
      <c r="BO186" s="80">
        <v>468</v>
      </c>
      <c r="BP186" s="80">
        <v>1039</v>
      </c>
      <c r="BQ186" s="80">
        <v>-2</v>
      </c>
      <c r="BR186" s="80">
        <v>-1</v>
      </c>
      <c r="BS186" s="80">
        <v>397</v>
      </c>
      <c r="BT186" s="80">
        <v>645</v>
      </c>
      <c r="BU186" s="80">
        <v>1256</v>
      </c>
      <c r="BV186" s="80">
        <v>5870</v>
      </c>
      <c r="BW186" s="80">
        <v>4614</v>
      </c>
      <c r="BX186" s="81"/>
      <c r="BY186" s="80">
        <v>32383</v>
      </c>
      <c r="BZ186" s="80">
        <v>1178</v>
      </c>
      <c r="CA186" s="80">
        <v>4</v>
      </c>
      <c r="CB186" s="80">
        <v>1174</v>
      </c>
      <c r="CC186" s="80">
        <v>0</v>
      </c>
      <c r="CD186" s="80">
        <v>27573</v>
      </c>
      <c r="CE186" s="80">
        <v>3543</v>
      </c>
      <c r="CF186" s="80">
        <v>17021</v>
      </c>
      <c r="CG186" s="80">
        <v>6090</v>
      </c>
      <c r="CH186" s="80">
        <v>101</v>
      </c>
      <c r="CI186" s="80">
        <v>39</v>
      </c>
      <c r="CJ186" s="80">
        <v>39</v>
      </c>
      <c r="CK186" s="80">
        <v>779</v>
      </c>
      <c r="CL186" s="80">
        <v>3632</v>
      </c>
      <c r="CM186" s="80">
        <v>3502</v>
      </c>
      <c r="CN186" s="80">
        <v>1114</v>
      </c>
      <c r="CO186" s="80">
        <v>2388</v>
      </c>
      <c r="CP186" s="80">
        <v>0</v>
      </c>
      <c r="CQ186" s="80">
        <v>130</v>
      </c>
      <c r="CR186" s="80">
        <v>0</v>
      </c>
      <c r="CS186" s="80">
        <v>0</v>
      </c>
      <c r="CT186" s="80">
        <v>130</v>
      </c>
      <c r="CU186" s="80">
        <v>0</v>
      </c>
      <c r="CV186" s="80">
        <v>112</v>
      </c>
      <c r="CW186" s="80">
        <v>0</v>
      </c>
      <c r="CX186" s="80">
        <v>0</v>
      </c>
      <c r="CY186" s="80">
        <v>112</v>
      </c>
      <c r="CZ186" s="80">
        <v>6967</v>
      </c>
      <c r="DA186" s="80">
        <v>1</v>
      </c>
      <c r="DB186" s="80">
        <v>1</v>
      </c>
      <c r="DC186" s="80">
        <v>0</v>
      </c>
      <c r="DD186" s="80">
        <v>0</v>
      </c>
      <c r="DE186" s="80">
        <v>0</v>
      </c>
      <c r="DF186" s="80">
        <v>0</v>
      </c>
      <c r="DG186" s="80">
        <v>1096</v>
      </c>
      <c r="DH186" s="80">
        <v>71</v>
      </c>
      <c r="DI186" s="80">
        <v>0</v>
      </c>
      <c r="DJ186" s="80">
        <v>71</v>
      </c>
      <c r="DK186" s="80">
        <v>0</v>
      </c>
      <c r="DL186" s="80">
        <v>0</v>
      </c>
      <c r="DM186" s="80">
        <v>1025</v>
      </c>
      <c r="DN186" s="80">
        <v>558</v>
      </c>
      <c r="DO186" s="80">
        <v>0</v>
      </c>
      <c r="DP186" s="80">
        <v>397</v>
      </c>
      <c r="DQ186" s="80">
        <v>70</v>
      </c>
      <c r="DR186" s="80">
        <v>300</v>
      </c>
      <c r="DS186" s="80">
        <v>0</v>
      </c>
      <c r="DT186" s="80">
        <v>300</v>
      </c>
      <c r="DU186" s="80">
        <v>0</v>
      </c>
      <c r="DV186" s="80">
        <v>0</v>
      </c>
      <c r="DW186" s="80">
        <v>5570</v>
      </c>
      <c r="DX186" s="80">
        <v>39462</v>
      </c>
      <c r="DY186" s="80">
        <v>31368</v>
      </c>
      <c r="DZ186" s="80">
        <v>15558</v>
      </c>
      <c r="EA186" s="80">
        <v>0</v>
      </c>
      <c r="EB186" s="80">
        <v>0</v>
      </c>
      <c r="EC186" s="80">
        <v>14618</v>
      </c>
      <c r="ED186" s="80">
        <v>1192</v>
      </c>
      <c r="EE186" s="80">
        <v>302</v>
      </c>
      <c r="EF186" s="80">
        <v>302</v>
      </c>
      <c r="EG186" s="80">
        <v>0</v>
      </c>
      <c r="EH186" s="80">
        <v>133</v>
      </c>
      <c r="EI186" s="80">
        <v>0</v>
      </c>
      <c r="EJ186" s="80">
        <v>133</v>
      </c>
      <c r="EK186" s="80">
        <v>212</v>
      </c>
      <c r="EL186" s="80">
        <v>0</v>
      </c>
      <c r="EM186" s="80">
        <v>212</v>
      </c>
      <c r="EN186" s="80">
        <v>0</v>
      </c>
      <c r="EO186" s="80">
        <v>7447</v>
      </c>
      <c r="EP186" s="80">
        <v>4208</v>
      </c>
      <c r="EQ186" s="80">
        <v>0</v>
      </c>
      <c r="ER186" s="80">
        <v>2417</v>
      </c>
      <c r="ES186" s="80">
        <v>2067</v>
      </c>
      <c r="ET186" s="80">
        <v>350</v>
      </c>
      <c r="EU186" s="80">
        <v>0</v>
      </c>
      <c r="EV186" s="80">
        <v>0</v>
      </c>
      <c r="EW186" s="80">
        <v>0</v>
      </c>
      <c r="EX186" s="80">
        <v>0</v>
      </c>
      <c r="EY186" s="80">
        <v>0</v>
      </c>
      <c r="EZ186" s="80">
        <v>0</v>
      </c>
      <c r="FA186" s="80">
        <v>1791</v>
      </c>
      <c r="FB186" s="80">
        <v>0</v>
      </c>
      <c r="FC186" s="80">
        <v>0</v>
      </c>
      <c r="FD186" s="80">
        <v>3239</v>
      </c>
      <c r="FE186" s="80">
        <v>0</v>
      </c>
      <c r="FF186" s="80">
        <v>338</v>
      </c>
      <c r="FG186" s="80">
        <v>238</v>
      </c>
      <c r="FH186" s="80">
        <v>100</v>
      </c>
      <c r="FI186" s="80">
        <v>0</v>
      </c>
      <c r="FJ186" s="80">
        <v>0</v>
      </c>
      <c r="FK186" s="80">
        <v>0</v>
      </c>
      <c r="FL186" s="80">
        <v>0</v>
      </c>
      <c r="FM186" s="80">
        <v>0</v>
      </c>
      <c r="FN186" s="80">
        <v>1341</v>
      </c>
      <c r="FO186" s="80">
        <v>248</v>
      </c>
      <c r="FP186" s="80">
        <v>1312</v>
      </c>
      <c r="FQ186" s="80">
        <v>39462</v>
      </c>
      <c r="FR186" s="80">
        <v>0</v>
      </c>
      <c r="FS186" s="80">
        <v>221</v>
      </c>
      <c r="FT186" s="100">
        <v>19717.696623943291</v>
      </c>
      <c r="FU186" s="100"/>
      <c r="FV186" s="100">
        <v>11425</v>
      </c>
      <c r="FW186" s="67">
        <v>1683</v>
      </c>
      <c r="FX186" s="100">
        <f t="shared" si="15"/>
        <v>-17930</v>
      </c>
      <c r="FY186" s="100">
        <f t="shared" si="16"/>
        <v>-29380</v>
      </c>
      <c r="FZ186" s="100">
        <v>21885.133495283917</v>
      </c>
      <c r="GA186" s="67">
        <v>11450</v>
      </c>
      <c r="GB186" s="58">
        <f t="shared" si="13"/>
        <v>25</v>
      </c>
      <c r="GC186" s="67">
        <v>1704</v>
      </c>
      <c r="GD186" s="100">
        <v>613</v>
      </c>
      <c r="GE186" s="100">
        <v>613</v>
      </c>
      <c r="GF186" s="58">
        <f t="shared" si="14"/>
        <v>0</v>
      </c>
      <c r="GG186" s="100">
        <v>-8339.9449999999997</v>
      </c>
      <c r="GH186" s="100">
        <v>-466.20285000000007</v>
      </c>
      <c r="GI186" s="100">
        <v>-13637.719619726298</v>
      </c>
      <c r="GJ186" s="67">
        <f t="shared" si="17"/>
        <v>21</v>
      </c>
      <c r="GK186" s="67"/>
      <c r="GM186" s="96"/>
    </row>
    <row r="187" spans="1:195" ht="13.5" customHeight="1" x14ac:dyDescent="0.2">
      <c r="A187" s="74">
        <v>581</v>
      </c>
      <c r="B187" s="75" t="s">
        <v>125</v>
      </c>
      <c r="C187" s="75" t="s">
        <v>125</v>
      </c>
      <c r="D187" s="76"/>
      <c r="E187" s="77" t="s">
        <v>214</v>
      </c>
      <c r="F187" s="78">
        <v>3</v>
      </c>
      <c r="G187" s="79">
        <v>6766</v>
      </c>
      <c r="H187" s="80">
        <v>14208</v>
      </c>
      <c r="I187" s="80">
        <v>9475</v>
      </c>
      <c r="J187" s="80">
        <v>3533</v>
      </c>
      <c r="K187" s="80">
        <v>633</v>
      </c>
      <c r="L187" s="80">
        <v>567</v>
      </c>
      <c r="M187" s="80">
        <v>0</v>
      </c>
      <c r="N187" s="80">
        <v>237</v>
      </c>
      <c r="O187" s="80">
        <v>50902</v>
      </c>
      <c r="P187" s="80">
        <v>11590</v>
      </c>
      <c r="Q187" s="80">
        <v>8281</v>
      </c>
      <c r="R187" s="80">
        <v>3309</v>
      </c>
      <c r="S187" s="80">
        <v>2846</v>
      </c>
      <c r="T187" s="80">
        <v>463</v>
      </c>
      <c r="U187" s="80">
        <v>33247</v>
      </c>
      <c r="V187" s="80">
        <v>2702</v>
      </c>
      <c r="W187" s="80">
        <v>2573</v>
      </c>
      <c r="X187" s="80">
        <v>790</v>
      </c>
      <c r="Y187" s="80">
        <v>-36457</v>
      </c>
      <c r="Z187" s="80">
        <v>22225</v>
      </c>
      <c r="AA187" s="80">
        <v>18469</v>
      </c>
      <c r="AB187" s="80">
        <v>1865</v>
      </c>
      <c r="AC187" s="80">
        <v>1891</v>
      </c>
      <c r="AD187" s="80">
        <v>17134</v>
      </c>
      <c r="AE187" s="80">
        <v>-25</v>
      </c>
      <c r="AF187" s="80">
        <v>9</v>
      </c>
      <c r="AG187" s="80">
        <v>101</v>
      </c>
      <c r="AH187" s="80">
        <v>8</v>
      </c>
      <c r="AI187" s="80">
        <v>132</v>
      </c>
      <c r="AJ187" s="80">
        <v>3</v>
      </c>
      <c r="AK187" s="80">
        <v>2877</v>
      </c>
      <c r="AL187" s="80">
        <v>2189</v>
      </c>
      <c r="AM187" s="80">
        <v>1639</v>
      </c>
      <c r="AN187" s="80">
        <v>550</v>
      </c>
      <c r="AO187" s="80">
        <v>0</v>
      </c>
      <c r="AP187" s="80">
        <v>0</v>
      </c>
      <c r="AQ187" s="80">
        <v>0</v>
      </c>
      <c r="AR187" s="80">
        <v>688</v>
      </c>
      <c r="AS187" s="80">
        <v>0</v>
      </c>
      <c r="AT187" s="80">
        <v>0</v>
      </c>
      <c r="AU187" s="80">
        <v>0</v>
      </c>
      <c r="AV187" s="80">
        <v>688</v>
      </c>
      <c r="AW187" s="81"/>
      <c r="AX187" s="80">
        <v>2743</v>
      </c>
      <c r="AY187" s="80">
        <v>2877</v>
      </c>
      <c r="AZ187" s="80">
        <v>0</v>
      </c>
      <c r="BA187" s="80">
        <v>-134</v>
      </c>
      <c r="BB187" s="80">
        <v>-2132</v>
      </c>
      <c r="BC187" s="80">
        <v>2492</v>
      </c>
      <c r="BD187" s="80">
        <v>147</v>
      </c>
      <c r="BE187" s="80">
        <v>213</v>
      </c>
      <c r="BF187" s="80">
        <v>611</v>
      </c>
      <c r="BG187" s="80">
        <v>-272</v>
      </c>
      <c r="BH187" s="80">
        <v>30</v>
      </c>
      <c r="BI187" s="80">
        <v>0</v>
      </c>
      <c r="BJ187" s="80">
        <v>30</v>
      </c>
      <c r="BK187" s="80">
        <v>4601</v>
      </c>
      <c r="BL187" s="80">
        <v>0</v>
      </c>
      <c r="BM187" s="80">
        <v>399</v>
      </c>
      <c r="BN187" s="80">
        <v>5000</v>
      </c>
      <c r="BO187" s="80">
        <v>0</v>
      </c>
      <c r="BP187" s="80">
        <v>-4903</v>
      </c>
      <c r="BQ187" s="80">
        <v>-33</v>
      </c>
      <c r="BR187" s="80">
        <v>24</v>
      </c>
      <c r="BS187" s="80">
        <v>-824</v>
      </c>
      <c r="BT187" s="80">
        <v>-4070</v>
      </c>
      <c r="BU187" s="80">
        <v>340</v>
      </c>
      <c r="BV187" s="80">
        <v>2757</v>
      </c>
      <c r="BW187" s="80">
        <v>2417</v>
      </c>
      <c r="BX187" s="81"/>
      <c r="BY187" s="80">
        <v>37442</v>
      </c>
      <c r="BZ187" s="80">
        <v>290</v>
      </c>
      <c r="CA187" s="80">
        <v>197</v>
      </c>
      <c r="CB187" s="80">
        <v>93</v>
      </c>
      <c r="CC187" s="80">
        <v>0</v>
      </c>
      <c r="CD187" s="80">
        <v>31269</v>
      </c>
      <c r="CE187" s="80">
        <v>4812</v>
      </c>
      <c r="CF187" s="80">
        <v>12992</v>
      </c>
      <c r="CG187" s="80">
        <v>10109</v>
      </c>
      <c r="CH187" s="80">
        <v>423</v>
      </c>
      <c r="CI187" s="80">
        <v>12</v>
      </c>
      <c r="CJ187" s="80">
        <v>12</v>
      </c>
      <c r="CK187" s="80">
        <v>2921</v>
      </c>
      <c r="CL187" s="80">
        <v>5883</v>
      </c>
      <c r="CM187" s="80">
        <v>5031</v>
      </c>
      <c r="CN187" s="80">
        <v>4416</v>
      </c>
      <c r="CO187" s="80">
        <v>615</v>
      </c>
      <c r="CP187" s="80">
        <v>0</v>
      </c>
      <c r="CQ187" s="80">
        <v>852</v>
      </c>
      <c r="CR187" s="80">
        <v>0</v>
      </c>
      <c r="CS187" s="80">
        <v>0</v>
      </c>
      <c r="CT187" s="80">
        <v>852</v>
      </c>
      <c r="CU187" s="80">
        <v>0</v>
      </c>
      <c r="CV187" s="80">
        <v>94</v>
      </c>
      <c r="CW187" s="80">
        <v>1</v>
      </c>
      <c r="CX187" s="80">
        <v>93</v>
      </c>
      <c r="CY187" s="80">
        <v>0</v>
      </c>
      <c r="CZ187" s="80">
        <v>6853</v>
      </c>
      <c r="DA187" s="80">
        <v>56</v>
      </c>
      <c r="DB187" s="80">
        <v>56</v>
      </c>
      <c r="DC187" s="80">
        <v>0</v>
      </c>
      <c r="DD187" s="80">
        <v>0</v>
      </c>
      <c r="DE187" s="80">
        <v>0</v>
      </c>
      <c r="DF187" s="80">
        <v>0</v>
      </c>
      <c r="DG187" s="80">
        <v>4040</v>
      </c>
      <c r="DH187" s="80">
        <v>0</v>
      </c>
      <c r="DI187" s="80">
        <v>0</v>
      </c>
      <c r="DJ187" s="80">
        <v>0</v>
      </c>
      <c r="DK187" s="80">
        <v>0</v>
      </c>
      <c r="DL187" s="80">
        <v>0</v>
      </c>
      <c r="DM187" s="80">
        <v>4040</v>
      </c>
      <c r="DN187" s="80">
        <v>1589</v>
      </c>
      <c r="DO187" s="80">
        <v>6</v>
      </c>
      <c r="DP187" s="80">
        <v>551</v>
      </c>
      <c r="DQ187" s="80">
        <v>1894</v>
      </c>
      <c r="DR187" s="80">
        <v>0</v>
      </c>
      <c r="DS187" s="80">
        <v>0</v>
      </c>
      <c r="DT187" s="80">
        <v>0</v>
      </c>
      <c r="DU187" s="80">
        <v>0</v>
      </c>
      <c r="DV187" s="80">
        <v>0</v>
      </c>
      <c r="DW187" s="80">
        <v>2757</v>
      </c>
      <c r="DX187" s="80">
        <v>44389</v>
      </c>
      <c r="DY187" s="80">
        <v>21566</v>
      </c>
      <c r="DZ187" s="80">
        <v>12525</v>
      </c>
      <c r="EA187" s="80">
        <v>887</v>
      </c>
      <c r="EB187" s="80">
        <v>6</v>
      </c>
      <c r="EC187" s="80">
        <v>7460</v>
      </c>
      <c r="ED187" s="80">
        <v>688</v>
      </c>
      <c r="EE187" s="80">
        <v>0</v>
      </c>
      <c r="EF187" s="80">
        <v>0</v>
      </c>
      <c r="EG187" s="80">
        <v>0</v>
      </c>
      <c r="EH187" s="80">
        <v>0</v>
      </c>
      <c r="EI187" s="80">
        <v>0</v>
      </c>
      <c r="EJ187" s="80">
        <v>0</v>
      </c>
      <c r="EK187" s="80">
        <v>96</v>
      </c>
      <c r="EL187" s="80">
        <v>1</v>
      </c>
      <c r="EM187" s="80">
        <v>92</v>
      </c>
      <c r="EN187" s="80">
        <v>3</v>
      </c>
      <c r="EO187" s="80">
        <v>22727</v>
      </c>
      <c r="EP187" s="80">
        <v>10949</v>
      </c>
      <c r="EQ187" s="80">
        <v>0</v>
      </c>
      <c r="ER187" s="80">
        <v>10772</v>
      </c>
      <c r="ES187" s="80">
        <v>0</v>
      </c>
      <c r="ET187" s="80">
        <v>10772</v>
      </c>
      <c r="EU187" s="80">
        <v>0</v>
      </c>
      <c r="EV187" s="80">
        <v>0</v>
      </c>
      <c r="EW187" s="80">
        <v>6</v>
      </c>
      <c r="EX187" s="80">
        <v>0</v>
      </c>
      <c r="EY187" s="80">
        <v>171</v>
      </c>
      <c r="EZ187" s="80">
        <v>0</v>
      </c>
      <c r="FA187" s="80">
        <v>0</v>
      </c>
      <c r="FB187" s="80">
        <v>0</v>
      </c>
      <c r="FC187" s="80">
        <v>0</v>
      </c>
      <c r="FD187" s="80">
        <v>11778</v>
      </c>
      <c r="FE187" s="80">
        <v>0</v>
      </c>
      <c r="FF187" s="80">
        <v>8370</v>
      </c>
      <c r="FG187" s="80">
        <v>0</v>
      </c>
      <c r="FH187" s="80">
        <v>8370</v>
      </c>
      <c r="FI187" s="80">
        <v>0</v>
      </c>
      <c r="FJ187" s="80">
        <v>0</v>
      </c>
      <c r="FK187" s="80">
        <v>13</v>
      </c>
      <c r="FL187" s="80">
        <v>0</v>
      </c>
      <c r="FM187" s="80">
        <v>19</v>
      </c>
      <c r="FN187" s="80">
        <v>1427</v>
      </c>
      <c r="FO187" s="80">
        <v>395</v>
      </c>
      <c r="FP187" s="80">
        <v>1554</v>
      </c>
      <c r="FQ187" s="80">
        <v>44389</v>
      </c>
      <c r="FR187" s="80">
        <v>2518</v>
      </c>
      <c r="FS187" s="80">
        <v>1264</v>
      </c>
      <c r="FT187" s="100">
        <v>17432.170812767639</v>
      </c>
      <c r="FU187" s="100"/>
      <c r="FV187" s="100">
        <v>4679</v>
      </c>
      <c r="FW187" s="67">
        <v>1865</v>
      </c>
      <c r="FX187" s="100">
        <f t="shared" si="15"/>
        <v>-18839</v>
      </c>
      <c r="FY187" s="100">
        <f t="shared" si="16"/>
        <v>-34268</v>
      </c>
      <c r="FZ187" s="100">
        <v>24146.523232078824</v>
      </c>
      <c r="GA187" s="67">
        <v>15429</v>
      </c>
      <c r="GB187" s="58">
        <f t="shared" si="13"/>
        <v>10750</v>
      </c>
      <c r="GC187" s="67">
        <v>2189</v>
      </c>
      <c r="GD187" s="100">
        <v>3547</v>
      </c>
      <c r="GE187" s="100">
        <v>521</v>
      </c>
      <c r="GF187" s="58">
        <f t="shared" si="14"/>
        <v>3026</v>
      </c>
      <c r="GG187" s="100">
        <v>-10625.373</v>
      </c>
      <c r="GH187" s="100">
        <v>-609.74645000000044</v>
      </c>
      <c r="GI187" s="100">
        <v>-13344.873705389788</v>
      </c>
      <c r="GJ187" s="67">
        <f t="shared" si="17"/>
        <v>324</v>
      </c>
      <c r="GK187" s="67"/>
      <c r="GM187" s="96"/>
    </row>
    <row r="188" spans="1:195" ht="13.5" customHeight="1" x14ac:dyDescent="0.2">
      <c r="A188" s="74">
        <v>599</v>
      </c>
      <c r="B188" s="75" t="s">
        <v>290</v>
      </c>
      <c r="C188" s="82" t="s">
        <v>290</v>
      </c>
      <c r="D188" s="76"/>
      <c r="E188" s="77" t="s">
        <v>248</v>
      </c>
      <c r="F188" s="78">
        <v>4</v>
      </c>
      <c r="G188" s="79">
        <v>11129</v>
      </c>
      <c r="H188" s="80">
        <v>15988</v>
      </c>
      <c r="I188" s="80">
        <v>10317</v>
      </c>
      <c r="J188" s="80">
        <v>2124</v>
      </c>
      <c r="K188" s="80">
        <v>1360</v>
      </c>
      <c r="L188" s="80">
        <v>2187</v>
      </c>
      <c r="M188" s="80">
        <v>0</v>
      </c>
      <c r="N188" s="80">
        <v>77</v>
      </c>
      <c r="O188" s="80">
        <v>74953</v>
      </c>
      <c r="P188" s="80">
        <v>27873</v>
      </c>
      <c r="Q188" s="80">
        <v>21288</v>
      </c>
      <c r="R188" s="80">
        <v>6585</v>
      </c>
      <c r="S188" s="80">
        <v>5339</v>
      </c>
      <c r="T188" s="80">
        <v>1246</v>
      </c>
      <c r="U188" s="80">
        <v>38742</v>
      </c>
      <c r="V188" s="80">
        <v>3559</v>
      </c>
      <c r="W188" s="80">
        <v>4138</v>
      </c>
      <c r="X188" s="80">
        <v>641</v>
      </c>
      <c r="Y188" s="80">
        <v>-58888</v>
      </c>
      <c r="Z188" s="80">
        <v>36296</v>
      </c>
      <c r="AA188" s="80">
        <v>30703</v>
      </c>
      <c r="AB188" s="80">
        <v>3536</v>
      </c>
      <c r="AC188" s="80">
        <v>2057</v>
      </c>
      <c r="AD188" s="80">
        <v>24538</v>
      </c>
      <c r="AE188" s="80">
        <v>181</v>
      </c>
      <c r="AF188" s="80">
        <v>32</v>
      </c>
      <c r="AG188" s="80">
        <v>300</v>
      </c>
      <c r="AH188" s="80">
        <v>19</v>
      </c>
      <c r="AI188" s="80">
        <v>111</v>
      </c>
      <c r="AJ188" s="80">
        <v>40</v>
      </c>
      <c r="AK188" s="80">
        <v>2127</v>
      </c>
      <c r="AL188" s="80">
        <v>1942</v>
      </c>
      <c r="AM188" s="80">
        <v>1942</v>
      </c>
      <c r="AN188" s="80">
        <v>0</v>
      </c>
      <c r="AO188" s="80">
        <v>0</v>
      </c>
      <c r="AP188" s="80">
        <v>0</v>
      </c>
      <c r="AQ188" s="80">
        <v>0</v>
      </c>
      <c r="AR188" s="80">
        <v>185</v>
      </c>
      <c r="AS188" s="80">
        <v>45</v>
      </c>
      <c r="AT188" s="80">
        <v>0</v>
      </c>
      <c r="AU188" s="80">
        <v>0</v>
      </c>
      <c r="AV188" s="80">
        <v>230</v>
      </c>
      <c r="AW188" s="81"/>
      <c r="AX188" s="80">
        <v>2046</v>
      </c>
      <c r="AY188" s="80">
        <v>2127</v>
      </c>
      <c r="AZ188" s="80">
        <v>0</v>
      </c>
      <c r="BA188" s="80">
        <v>-81</v>
      </c>
      <c r="BB188" s="80">
        <v>-4106</v>
      </c>
      <c r="BC188" s="80">
        <v>5074</v>
      </c>
      <c r="BD188" s="80">
        <v>868</v>
      </c>
      <c r="BE188" s="80">
        <v>100</v>
      </c>
      <c r="BF188" s="80">
        <v>-2060</v>
      </c>
      <c r="BG188" s="80">
        <v>2100</v>
      </c>
      <c r="BH188" s="80">
        <v>114</v>
      </c>
      <c r="BI188" s="80">
        <v>0</v>
      </c>
      <c r="BJ188" s="80">
        <v>114</v>
      </c>
      <c r="BK188" s="80">
        <v>3601</v>
      </c>
      <c r="BL188" s="80">
        <v>0</v>
      </c>
      <c r="BM188" s="80">
        <v>1399</v>
      </c>
      <c r="BN188" s="80">
        <v>5000</v>
      </c>
      <c r="BO188" s="80">
        <v>0</v>
      </c>
      <c r="BP188" s="80">
        <v>-1615</v>
      </c>
      <c r="BQ188" s="80">
        <v>-17</v>
      </c>
      <c r="BR188" s="80">
        <v>0</v>
      </c>
      <c r="BS188" s="80">
        <v>-681</v>
      </c>
      <c r="BT188" s="80">
        <v>-917</v>
      </c>
      <c r="BU188" s="80">
        <v>39</v>
      </c>
      <c r="BV188" s="80">
        <v>3468</v>
      </c>
      <c r="BW188" s="80">
        <v>3429</v>
      </c>
      <c r="BX188" s="81"/>
      <c r="BY188" s="80">
        <v>60884</v>
      </c>
      <c r="BZ188" s="80">
        <v>739</v>
      </c>
      <c r="CA188" s="80">
        <v>8</v>
      </c>
      <c r="CB188" s="80">
        <v>731</v>
      </c>
      <c r="CC188" s="80">
        <v>0</v>
      </c>
      <c r="CD188" s="80">
        <v>47606</v>
      </c>
      <c r="CE188" s="80">
        <v>8423</v>
      </c>
      <c r="CF188" s="80">
        <v>28436</v>
      </c>
      <c r="CG188" s="80">
        <v>7849</v>
      </c>
      <c r="CH188" s="80">
        <v>745</v>
      </c>
      <c r="CI188" s="80">
        <v>0</v>
      </c>
      <c r="CJ188" s="80">
        <v>0</v>
      </c>
      <c r="CK188" s="80">
        <v>2153</v>
      </c>
      <c r="CL188" s="80">
        <v>12539</v>
      </c>
      <c r="CM188" s="80">
        <v>10459</v>
      </c>
      <c r="CN188" s="80">
        <v>7357</v>
      </c>
      <c r="CO188" s="80">
        <v>3102</v>
      </c>
      <c r="CP188" s="80">
        <v>0</v>
      </c>
      <c r="CQ188" s="80">
        <v>2053</v>
      </c>
      <c r="CR188" s="80">
        <v>0</v>
      </c>
      <c r="CS188" s="80">
        <v>0</v>
      </c>
      <c r="CT188" s="80">
        <v>2053</v>
      </c>
      <c r="CU188" s="80">
        <v>27</v>
      </c>
      <c r="CV188" s="80">
        <v>0</v>
      </c>
      <c r="CW188" s="80">
        <v>0</v>
      </c>
      <c r="CX188" s="80">
        <v>0</v>
      </c>
      <c r="CY188" s="80">
        <v>0</v>
      </c>
      <c r="CZ188" s="80">
        <v>8045</v>
      </c>
      <c r="DA188" s="80">
        <v>0</v>
      </c>
      <c r="DB188" s="80">
        <v>0</v>
      </c>
      <c r="DC188" s="80">
        <v>0</v>
      </c>
      <c r="DD188" s="80">
        <v>0</v>
      </c>
      <c r="DE188" s="80">
        <v>0</v>
      </c>
      <c r="DF188" s="80">
        <v>0</v>
      </c>
      <c r="DG188" s="80">
        <v>4577</v>
      </c>
      <c r="DH188" s="80">
        <v>1461</v>
      </c>
      <c r="DI188" s="80">
        <v>403</v>
      </c>
      <c r="DJ188" s="80">
        <v>825</v>
      </c>
      <c r="DK188" s="80">
        <v>233</v>
      </c>
      <c r="DL188" s="80">
        <v>0</v>
      </c>
      <c r="DM188" s="80">
        <v>3116</v>
      </c>
      <c r="DN188" s="80">
        <v>1743</v>
      </c>
      <c r="DO188" s="80">
        <v>12</v>
      </c>
      <c r="DP188" s="80">
        <v>1314</v>
      </c>
      <c r="DQ188" s="80">
        <v>47</v>
      </c>
      <c r="DR188" s="80">
        <v>0</v>
      </c>
      <c r="DS188" s="80">
        <v>0</v>
      </c>
      <c r="DT188" s="80">
        <v>0</v>
      </c>
      <c r="DU188" s="80">
        <v>0</v>
      </c>
      <c r="DV188" s="80">
        <v>0</v>
      </c>
      <c r="DW188" s="80">
        <v>3468</v>
      </c>
      <c r="DX188" s="80">
        <v>68929</v>
      </c>
      <c r="DY188" s="80">
        <v>36846</v>
      </c>
      <c r="DZ188" s="80">
        <v>22835</v>
      </c>
      <c r="EA188" s="80">
        <v>0</v>
      </c>
      <c r="EB188" s="80">
        <v>1322</v>
      </c>
      <c r="EC188" s="80">
        <v>12459</v>
      </c>
      <c r="ED188" s="80">
        <v>230</v>
      </c>
      <c r="EE188" s="80">
        <v>996</v>
      </c>
      <c r="EF188" s="80">
        <v>996</v>
      </c>
      <c r="EG188" s="80">
        <v>0</v>
      </c>
      <c r="EH188" s="80">
        <v>0</v>
      </c>
      <c r="EI188" s="80">
        <v>0</v>
      </c>
      <c r="EJ188" s="80">
        <v>0</v>
      </c>
      <c r="EK188" s="80">
        <v>550</v>
      </c>
      <c r="EL188" s="80">
        <v>0</v>
      </c>
      <c r="EM188" s="80">
        <v>550</v>
      </c>
      <c r="EN188" s="80">
        <v>0</v>
      </c>
      <c r="EO188" s="80">
        <v>30537</v>
      </c>
      <c r="EP188" s="80">
        <v>6362</v>
      </c>
      <c r="EQ188" s="80">
        <v>0</v>
      </c>
      <c r="ER188" s="80">
        <v>4375</v>
      </c>
      <c r="ES188" s="80">
        <v>4375</v>
      </c>
      <c r="ET188" s="80">
        <v>0</v>
      </c>
      <c r="EU188" s="80">
        <v>0</v>
      </c>
      <c r="EV188" s="80">
        <v>0</v>
      </c>
      <c r="EW188" s="80">
        <v>77</v>
      </c>
      <c r="EX188" s="80">
        <v>0</v>
      </c>
      <c r="EY188" s="80">
        <v>0</v>
      </c>
      <c r="EZ188" s="80">
        <v>0</v>
      </c>
      <c r="FA188" s="80">
        <v>1910</v>
      </c>
      <c r="FB188" s="80">
        <v>0</v>
      </c>
      <c r="FC188" s="80">
        <v>0</v>
      </c>
      <c r="FD188" s="80">
        <v>24175</v>
      </c>
      <c r="FE188" s="80">
        <v>0</v>
      </c>
      <c r="FF188" s="80">
        <v>16059</v>
      </c>
      <c r="FG188" s="80">
        <v>16059</v>
      </c>
      <c r="FH188" s="80">
        <v>0</v>
      </c>
      <c r="FI188" s="80">
        <v>0</v>
      </c>
      <c r="FJ188" s="80">
        <v>0</v>
      </c>
      <c r="FK188" s="80">
        <v>77</v>
      </c>
      <c r="FL188" s="80">
        <v>0</v>
      </c>
      <c r="FM188" s="80">
        <v>32</v>
      </c>
      <c r="FN188" s="80">
        <v>4498</v>
      </c>
      <c r="FO188" s="80">
        <v>567</v>
      </c>
      <c r="FP188" s="80">
        <v>2942</v>
      </c>
      <c r="FQ188" s="80">
        <v>68929</v>
      </c>
      <c r="FR188" s="80">
        <v>7058</v>
      </c>
      <c r="FS188" s="80">
        <v>1817</v>
      </c>
      <c r="FT188" s="100">
        <v>50648.57360041728</v>
      </c>
      <c r="FU188" s="100"/>
      <c r="FV188" s="100">
        <v>24336</v>
      </c>
      <c r="FW188" s="67">
        <v>1929</v>
      </c>
      <c r="FX188" s="100">
        <f t="shared" si="15"/>
        <v>-32126</v>
      </c>
      <c r="FY188" s="100">
        <f t="shared" si="16"/>
        <v>-56946</v>
      </c>
      <c r="FZ188" s="100">
        <v>33077.677264672253</v>
      </c>
      <c r="GA188" s="67">
        <v>24820</v>
      </c>
      <c r="GB188" s="58">
        <f t="shared" si="13"/>
        <v>484</v>
      </c>
      <c r="GC188" s="67">
        <v>1942</v>
      </c>
      <c r="GD188" s="100">
        <v>2129</v>
      </c>
      <c r="GE188" s="100">
        <v>2129</v>
      </c>
      <c r="GF188" s="58">
        <f t="shared" si="14"/>
        <v>0</v>
      </c>
      <c r="GG188" s="100">
        <v>-17596.983</v>
      </c>
      <c r="GH188" s="100">
        <v>-991.11125000000027</v>
      </c>
      <c r="GI188" s="100">
        <v>-14237.602238842544</v>
      </c>
      <c r="GJ188" s="67">
        <f t="shared" si="17"/>
        <v>13</v>
      </c>
      <c r="GK188" s="67"/>
      <c r="GM188" s="96"/>
    </row>
    <row r="189" spans="1:195" ht="13.5" customHeight="1" x14ac:dyDescent="0.2">
      <c r="A189" s="74">
        <v>583</v>
      </c>
      <c r="B189" s="75" t="s">
        <v>126</v>
      </c>
      <c r="C189" s="75" t="s">
        <v>126</v>
      </c>
      <c r="D189" s="76"/>
      <c r="E189" s="77" t="s">
        <v>222</v>
      </c>
      <c r="F189" s="78">
        <v>1</v>
      </c>
      <c r="G189" s="79">
        <v>958</v>
      </c>
      <c r="H189" s="80">
        <v>1128</v>
      </c>
      <c r="I189" s="80">
        <v>383</v>
      </c>
      <c r="J189" s="80">
        <v>298</v>
      </c>
      <c r="K189" s="80">
        <v>214</v>
      </c>
      <c r="L189" s="80">
        <v>233</v>
      </c>
      <c r="M189" s="80">
        <v>0</v>
      </c>
      <c r="N189" s="80">
        <v>0</v>
      </c>
      <c r="O189" s="80">
        <v>9033</v>
      </c>
      <c r="P189" s="80">
        <v>3433</v>
      </c>
      <c r="Q189" s="80">
        <v>2599</v>
      </c>
      <c r="R189" s="80">
        <v>834</v>
      </c>
      <c r="S189" s="80">
        <v>723</v>
      </c>
      <c r="T189" s="80">
        <v>111</v>
      </c>
      <c r="U189" s="80">
        <v>4600</v>
      </c>
      <c r="V189" s="80">
        <v>440</v>
      </c>
      <c r="W189" s="80">
        <v>448</v>
      </c>
      <c r="X189" s="80">
        <v>112</v>
      </c>
      <c r="Y189" s="80">
        <v>-7905</v>
      </c>
      <c r="Z189" s="80">
        <v>4448</v>
      </c>
      <c r="AA189" s="80">
        <v>2476</v>
      </c>
      <c r="AB189" s="80">
        <v>322</v>
      </c>
      <c r="AC189" s="80">
        <v>1650</v>
      </c>
      <c r="AD189" s="80">
        <v>4056</v>
      </c>
      <c r="AE189" s="80">
        <v>-23</v>
      </c>
      <c r="AF189" s="80">
        <v>0</v>
      </c>
      <c r="AG189" s="80">
        <v>10</v>
      </c>
      <c r="AH189" s="80">
        <v>5</v>
      </c>
      <c r="AI189" s="80">
        <v>32</v>
      </c>
      <c r="AJ189" s="80">
        <v>1</v>
      </c>
      <c r="AK189" s="80">
        <v>576</v>
      </c>
      <c r="AL189" s="80">
        <v>333</v>
      </c>
      <c r="AM189" s="80">
        <v>333</v>
      </c>
      <c r="AN189" s="80">
        <v>0</v>
      </c>
      <c r="AO189" s="80">
        <v>-277</v>
      </c>
      <c r="AP189" s="80">
        <v>775</v>
      </c>
      <c r="AQ189" s="80">
        <v>1052</v>
      </c>
      <c r="AR189" s="80">
        <v>-34</v>
      </c>
      <c r="AS189" s="80">
        <v>0</v>
      </c>
      <c r="AT189" s="80">
        <v>0</v>
      </c>
      <c r="AU189" s="80">
        <v>0</v>
      </c>
      <c r="AV189" s="80">
        <v>-34</v>
      </c>
      <c r="AW189" s="81"/>
      <c r="AX189" s="80">
        <v>291</v>
      </c>
      <c r="AY189" s="80">
        <v>576</v>
      </c>
      <c r="AZ189" s="80">
        <v>-277</v>
      </c>
      <c r="BA189" s="80">
        <v>-8</v>
      </c>
      <c r="BB189" s="80">
        <v>-195</v>
      </c>
      <c r="BC189" s="80">
        <v>275</v>
      </c>
      <c r="BD189" s="80">
        <v>12</v>
      </c>
      <c r="BE189" s="80">
        <v>68</v>
      </c>
      <c r="BF189" s="80">
        <v>96</v>
      </c>
      <c r="BG189" s="80">
        <v>236</v>
      </c>
      <c r="BH189" s="80">
        <v>210</v>
      </c>
      <c r="BI189" s="80">
        <v>0</v>
      </c>
      <c r="BJ189" s="80">
        <v>210</v>
      </c>
      <c r="BK189" s="80">
        <v>60</v>
      </c>
      <c r="BL189" s="80">
        <v>500</v>
      </c>
      <c r="BM189" s="80">
        <v>440</v>
      </c>
      <c r="BN189" s="80">
        <v>0</v>
      </c>
      <c r="BO189" s="80">
        <v>0</v>
      </c>
      <c r="BP189" s="80">
        <v>-34</v>
      </c>
      <c r="BQ189" s="80">
        <v>-4</v>
      </c>
      <c r="BR189" s="80">
        <v>0</v>
      </c>
      <c r="BS189" s="80">
        <v>-7</v>
      </c>
      <c r="BT189" s="80">
        <v>-23</v>
      </c>
      <c r="BU189" s="80">
        <v>332</v>
      </c>
      <c r="BV189" s="80">
        <v>824</v>
      </c>
      <c r="BW189" s="80">
        <v>492</v>
      </c>
      <c r="BX189" s="81"/>
      <c r="BY189" s="80">
        <v>9392</v>
      </c>
      <c r="BZ189" s="80">
        <v>32</v>
      </c>
      <c r="CA189" s="80">
        <v>21</v>
      </c>
      <c r="CB189" s="80">
        <v>11</v>
      </c>
      <c r="CC189" s="80">
        <v>0</v>
      </c>
      <c r="CD189" s="80">
        <v>5221</v>
      </c>
      <c r="CE189" s="80">
        <v>897</v>
      </c>
      <c r="CF189" s="80">
        <v>2034</v>
      </c>
      <c r="CG189" s="80">
        <v>2034</v>
      </c>
      <c r="CH189" s="80">
        <v>50</v>
      </c>
      <c r="CI189" s="80">
        <v>0</v>
      </c>
      <c r="CJ189" s="80">
        <v>0</v>
      </c>
      <c r="CK189" s="80">
        <v>206</v>
      </c>
      <c r="CL189" s="80">
        <v>4139</v>
      </c>
      <c r="CM189" s="80">
        <v>1701</v>
      </c>
      <c r="CN189" s="80">
        <v>431</v>
      </c>
      <c r="CO189" s="80">
        <v>1270</v>
      </c>
      <c r="CP189" s="80">
        <v>0</v>
      </c>
      <c r="CQ189" s="80">
        <v>2265</v>
      </c>
      <c r="CR189" s="80">
        <v>0</v>
      </c>
      <c r="CS189" s="80">
        <v>0</v>
      </c>
      <c r="CT189" s="80">
        <v>2265</v>
      </c>
      <c r="CU189" s="80">
        <v>173</v>
      </c>
      <c r="CV189" s="80">
        <v>2</v>
      </c>
      <c r="CW189" s="80">
        <v>2</v>
      </c>
      <c r="CX189" s="80">
        <v>0</v>
      </c>
      <c r="CY189" s="80">
        <v>0</v>
      </c>
      <c r="CZ189" s="80">
        <v>1088</v>
      </c>
      <c r="DA189" s="80">
        <v>0</v>
      </c>
      <c r="DB189" s="80">
        <v>0</v>
      </c>
      <c r="DC189" s="80">
        <v>0</v>
      </c>
      <c r="DD189" s="80">
        <v>0</v>
      </c>
      <c r="DE189" s="80">
        <v>0</v>
      </c>
      <c r="DF189" s="80">
        <v>0</v>
      </c>
      <c r="DG189" s="80">
        <v>264</v>
      </c>
      <c r="DH189" s="80">
        <v>0</v>
      </c>
      <c r="DI189" s="80">
        <v>0</v>
      </c>
      <c r="DJ189" s="80">
        <v>0</v>
      </c>
      <c r="DK189" s="80">
        <v>0</v>
      </c>
      <c r="DL189" s="80">
        <v>0</v>
      </c>
      <c r="DM189" s="80">
        <v>264</v>
      </c>
      <c r="DN189" s="80">
        <v>75</v>
      </c>
      <c r="DO189" s="80">
        <v>0</v>
      </c>
      <c r="DP189" s="80">
        <v>189</v>
      </c>
      <c r="DQ189" s="80">
        <v>0</v>
      </c>
      <c r="DR189" s="80">
        <v>0</v>
      </c>
      <c r="DS189" s="80">
        <v>0</v>
      </c>
      <c r="DT189" s="80">
        <v>0</v>
      </c>
      <c r="DU189" s="80">
        <v>0</v>
      </c>
      <c r="DV189" s="80">
        <v>0</v>
      </c>
      <c r="DW189" s="80">
        <v>824</v>
      </c>
      <c r="DX189" s="80">
        <v>10482</v>
      </c>
      <c r="DY189" s="80">
        <v>6474</v>
      </c>
      <c r="DZ189" s="80">
        <v>4378</v>
      </c>
      <c r="EA189" s="80">
        <v>0</v>
      </c>
      <c r="EB189" s="80">
        <v>0</v>
      </c>
      <c r="EC189" s="80">
        <v>2130</v>
      </c>
      <c r="ED189" s="80">
        <v>-34</v>
      </c>
      <c r="EE189" s="80">
        <v>0</v>
      </c>
      <c r="EF189" s="80">
        <v>0</v>
      </c>
      <c r="EG189" s="80">
        <v>0</v>
      </c>
      <c r="EH189" s="80">
        <v>40</v>
      </c>
      <c r="EI189" s="80">
        <v>0</v>
      </c>
      <c r="EJ189" s="80">
        <v>40</v>
      </c>
      <c r="EK189" s="80">
        <v>9</v>
      </c>
      <c r="EL189" s="80">
        <v>0</v>
      </c>
      <c r="EM189" s="80">
        <v>7</v>
      </c>
      <c r="EN189" s="80">
        <v>2</v>
      </c>
      <c r="EO189" s="80">
        <v>3959</v>
      </c>
      <c r="EP189" s="80">
        <v>2393</v>
      </c>
      <c r="EQ189" s="80">
        <v>0</v>
      </c>
      <c r="ER189" s="80">
        <v>2064</v>
      </c>
      <c r="ES189" s="80">
        <v>195</v>
      </c>
      <c r="ET189" s="80">
        <v>1869</v>
      </c>
      <c r="EU189" s="80">
        <v>0</v>
      </c>
      <c r="EV189" s="80">
        <v>0</v>
      </c>
      <c r="EW189" s="80">
        <v>329</v>
      </c>
      <c r="EX189" s="80">
        <v>0</v>
      </c>
      <c r="EY189" s="80">
        <v>0</v>
      </c>
      <c r="EZ189" s="80">
        <v>0</v>
      </c>
      <c r="FA189" s="80">
        <v>0</v>
      </c>
      <c r="FB189" s="80">
        <v>0</v>
      </c>
      <c r="FC189" s="80">
        <v>0</v>
      </c>
      <c r="FD189" s="80">
        <v>1566</v>
      </c>
      <c r="FE189" s="80">
        <v>0</v>
      </c>
      <c r="FF189" s="80">
        <v>347</v>
      </c>
      <c r="FG189" s="80">
        <v>70</v>
      </c>
      <c r="FH189" s="80">
        <v>277</v>
      </c>
      <c r="FI189" s="80">
        <v>0</v>
      </c>
      <c r="FJ189" s="80">
        <v>0</v>
      </c>
      <c r="FK189" s="80">
        <v>136</v>
      </c>
      <c r="FL189" s="80">
        <v>0</v>
      </c>
      <c r="FM189" s="80">
        <v>4</v>
      </c>
      <c r="FN189" s="80">
        <v>457</v>
      </c>
      <c r="FO189" s="80">
        <v>57</v>
      </c>
      <c r="FP189" s="80">
        <v>565</v>
      </c>
      <c r="FQ189" s="80">
        <v>10482</v>
      </c>
      <c r="FR189" s="80">
        <v>1010</v>
      </c>
      <c r="FS189" s="80">
        <v>855</v>
      </c>
      <c r="FT189" s="100">
        <v>4167.9887934415874</v>
      </c>
      <c r="FU189" s="100"/>
      <c r="FV189" s="100">
        <v>1575</v>
      </c>
      <c r="FW189" s="67">
        <v>298</v>
      </c>
      <c r="FX189" s="100">
        <f t="shared" si="15"/>
        <v>-5640</v>
      </c>
      <c r="FY189" s="100">
        <f t="shared" si="16"/>
        <v>-7572</v>
      </c>
      <c r="FZ189" s="100">
        <v>5149.2729612325047</v>
      </c>
      <c r="GA189" s="67">
        <v>1932</v>
      </c>
      <c r="GB189" s="58">
        <f t="shared" si="13"/>
        <v>357</v>
      </c>
      <c r="GC189" s="67">
        <v>333</v>
      </c>
      <c r="GD189" s="100">
        <v>298</v>
      </c>
      <c r="GE189" s="100">
        <v>80</v>
      </c>
      <c r="GF189" s="58">
        <f t="shared" si="14"/>
        <v>218</v>
      </c>
      <c r="GG189" s="100">
        <v>-1576.954</v>
      </c>
      <c r="GH189" s="100">
        <v>-89.405850000000001</v>
      </c>
      <c r="GI189" s="100">
        <v>-3507.3213538252476</v>
      </c>
      <c r="GJ189" s="67">
        <f t="shared" si="17"/>
        <v>35</v>
      </c>
      <c r="GK189" s="67"/>
      <c r="GM189" s="96"/>
    </row>
    <row r="190" spans="1:195" ht="13.5" customHeight="1" x14ac:dyDescent="0.2">
      <c r="A190" s="74">
        <v>854</v>
      </c>
      <c r="B190" s="75" t="s">
        <v>191</v>
      </c>
      <c r="C190" s="75" t="s">
        <v>191</v>
      </c>
      <c r="D190" s="76"/>
      <c r="E190" s="77" t="s">
        <v>222</v>
      </c>
      <c r="F190" s="78">
        <v>2</v>
      </c>
      <c r="G190" s="79">
        <v>3623</v>
      </c>
      <c r="H190" s="80">
        <v>4209</v>
      </c>
      <c r="I190" s="80">
        <v>745</v>
      </c>
      <c r="J190" s="80">
        <v>1792</v>
      </c>
      <c r="K190" s="80">
        <v>399</v>
      </c>
      <c r="L190" s="80">
        <v>1273</v>
      </c>
      <c r="M190" s="80">
        <v>0</v>
      </c>
      <c r="N190" s="80">
        <v>0</v>
      </c>
      <c r="O190" s="80">
        <v>29867</v>
      </c>
      <c r="P190" s="80">
        <v>14637</v>
      </c>
      <c r="Q190" s="80">
        <v>10947</v>
      </c>
      <c r="R190" s="80">
        <v>3690</v>
      </c>
      <c r="S190" s="80">
        <v>3120</v>
      </c>
      <c r="T190" s="80">
        <v>570</v>
      </c>
      <c r="U190" s="80">
        <v>11861</v>
      </c>
      <c r="V190" s="80">
        <v>1577</v>
      </c>
      <c r="W190" s="80">
        <v>1281</v>
      </c>
      <c r="X190" s="80">
        <v>511</v>
      </c>
      <c r="Y190" s="80">
        <v>-25658</v>
      </c>
      <c r="Z190" s="80">
        <v>11313</v>
      </c>
      <c r="AA190" s="80">
        <v>9860</v>
      </c>
      <c r="AB190" s="80">
        <v>776</v>
      </c>
      <c r="AC190" s="80">
        <v>677</v>
      </c>
      <c r="AD190" s="80">
        <v>14426</v>
      </c>
      <c r="AE190" s="80">
        <v>134</v>
      </c>
      <c r="AF190" s="80">
        <v>0</v>
      </c>
      <c r="AG190" s="80">
        <v>174</v>
      </c>
      <c r="AH190" s="80">
        <v>152</v>
      </c>
      <c r="AI190" s="80">
        <v>28</v>
      </c>
      <c r="AJ190" s="80">
        <v>12</v>
      </c>
      <c r="AK190" s="80">
        <v>215</v>
      </c>
      <c r="AL190" s="80">
        <v>1143</v>
      </c>
      <c r="AM190" s="80">
        <v>1143</v>
      </c>
      <c r="AN190" s="80">
        <v>0</v>
      </c>
      <c r="AO190" s="80">
        <v>0</v>
      </c>
      <c r="AP190" s="80">
        <v>0</v>
      </c>
      <c r="AQ190" s="80">
        <v>0</v>
      </c>
      <c r="AR190" s="80">
        <v>-928</v>
      </c>
      <c r="AS190" s="80">
        <v>52</v>
      </c>
      <c r="AT190" s="80">
        <v>0</v>
      </c>
      <c r="AU190" s="80">
        <v>0</v>
      </c>
      <c r="AV190" s="80">
        <v>-876</v>
      </c>
      <c r="AW190" s="81"/>
      <c r="AX190" s="80">
        <v>29</v>
      </c>
      <c r="AY190" s="80">
        <v>215</v>
      </c>
      <c r="AZ190" s="80">
        <v>0</v>
      </c>
      <c r="BA190" s="80">
        <v>-186</v>
      </c>
      <c r="BB190" s="80">
        <v>373</v>
      </c>
      <c r="BC190" s="80">
        <v>1266</v>
      </c>
      <c r="BD190" s="80">
        <v>313</v>
      </c>
      <c r="BE190" s="80">
        <v>1326</v>
      </c>
      <c r="BF190" s="80">
        <v>402</v>
      </c>
      <c r="BG190" s="80">
        <v>-1678</v>
      </c>
      <c r="BH190" s="80">
        <v>5</v>
      </c>
      <c r="BI190" s="80">
        <v>6</v>
      </c>
      <c r="BJ190" s="80">
        <v>11</v>
      </c>
      <c r="BK190" s="80">
        <v>-378</v>
      </c>
      <c r="BL190" s="80">
        <v>0</v>
      </c>
      <c r="BM190" s="80">
        <v>378</v>
      </c>
      <c r="BN190" s="80">
        <v>0</v>
      </c>
      <c r="BO190" s="80">
        <v>0</v>
      </c>
      <c r="BP190" s="80">
        <v>-1305</v>
      </c>
      <c r="BQ190" s="80">
        <v>-2</v>
      </c>
      <c r="BR190" s="80">
        <v>-5</v>
      </c>
      <c r="BS190" s="80">
        <v>-151</v>
      </c>
      <c r="BT190" s="80">
        <v>-1147</v>
      </c>
      <c r="BU190" s="80">
        <v>-1276</v>
      </c>
      <c r="BV190" s="80">
        <v>1796</v>
      </c>
      <c r="BW190" s="80">
        <v>3072</v>
      </c>
      <c r="BX190" s="81"/>
      <c r="BY190" s="80">
        <v>20514</v>
      </c>
      <c r="BZ190" s="80">
        <v>132</v>
      </c>
      <c r="CA190" s="80">
        <v>132</v>
      </c>
      <c r="CB190" s="80">
        <v>0</v>
      </c>
      <c r="CC190" s="80">
        <v>0</v>
      </c>
      <c r="CD190" s="80">
        <v>16262</v>
      </c>
      <c r="CE190" s="80">
        <v>1544</v>
      </c>
      <c r="CF190" s="80">
        <v>12320</v>
      </c>
      <c r="CG190" s="80">
        <v>1439</v>
      </c>
      <c r="CH190" s="80">
        <v>465</v>
      </c>
      <c r="CI190" s="80">
        <v>38</v>
      </c>
      <c r="CJ190" s="80">
        <v>38</v>
      </c>
      <c r="CK190" s="80">
        <v>456</v>
      </c>
      <c r="CL190" s="80">
        <v>4120</v>
      </c>
      <c r="CM190" s="80">
        <v>3972</v>
      </c>
      <c r="CN190" s="80">
        <v>1301</v>
      </c>
      <c r="CO190" s="80">
        <v>2671</v>
      </c>
      <c r="CP190" s="80">
        <v>0</v>
      </c>
      <c r="CQ190" s="80">
        <v>52</v>
      </c>
      <c r="CR190" s="80">
        <v>0</v>
      </c>
      <c r="CS190" s="80">
        <v>0</v>
      </c>
      <c r="CT190" s="80">
        <v>52</v>
      </c>
      <c r="CU190" s="80">
        <v>96</v>
      </c>
      <c r="CV190" s="80">
        <v>31</v>
      </c>
      <c r="CW190" s="80">
        <v>28</v>
      </c>
      <c r="CX190" s="80">
        <v>3</v>
      </c>
      <c r="CY190" s="80">
        <v>0</v>
      </c>
      <c r="CZ190" s="80">
        <v>2996</v>
      </c>
      <c r="DA190" s="80">
        <v>58</v>
      </c>
      <c r="DB190" s="80">
        <v>0</v>
      </c>
      <c r="DC190" s="80">
        <v>0</v>
      </c>
      <c r="DD190" s="80">
        <v>58</v>
      </c>
      <c r="DE190" s="80">
        <v>0</v>
      </c>
      <c r="DF190" s="80">
        <v>0</v>
      </c>
      <c r="DG190" s="80">
        <v>1140</v>
      </c>
      <c r="DH190" s="80">
        <v>10</v>
      </c>
      <c r="DI190" s="80">
        <v>9</v>
      </c>
      <c r="DJ190" s="80">
        <v>1</v>
      </c>
      <c r="DK190" s="80">
        <v>0</v>
      </c>
      <c r="DL190" s="80">
        <v>0</v>
      </c>
      <c r="DM190" s="80">
        <v>1130</v>
      </c>
      <c r="DN190" s="80">
        <v>749</v>
      </c>
      <c r="DO190" s="80">
        <v>9</v>
      </c>
      <c r="DP190" s="80">
        <v>310</v>
      </c>
      <c r="DQ190" s="80">
        <v>62</v>
      </c>
      <c r="DR190" s="80">
        <v>2</v>
      </c>
      <c r="DS190" s="80">
        <v>2</v>
      </c>
      <c r="DT190" s="80">
        <v>0</v>
      </c>
      <c r="DU190" s="80">
        <v>0</v>
      </c>
      <c r="DV190" s="80">
        <v>0</v>
      </c>
      <c r="DW190" s="80">
        <v>1796</v>
      </c>
      <c r="DX190" s="80">
        <v>23541</v>
      </c>
      <c r="DY190" s="80">
        <v>15070</v>
      </c>
      <c r="DZ190" s="80">
        <v>11287</v>
      </c>
      <c r="EA190" s="80">
        <v>0</v>
      </c>
      <c r="EB190" s="80">
        <v>0</v>
      </c>
      <c r="EC190" s="80">
        <v>4659</v>
      </c>
      <c r="ED190" s="80">
        <v>-876</v>
      </c>
      <c r="EE190" s="80">
        <v>984</v>
      </c>
      <c r="EF190" s="80">
        <v>984</v>
      </c>
      <c r="EG190" s="80">
        <v>0</v>
      </c>
      <c r="EH190" s="80">
        <v>0</v>
      </c>
      <c r="EI190" s="80">
        <v>0</v>
      </c>
      <c r="EJ190" s="80">
        <v>0</v>
      </c>
      <c r="EK190" s="80">
        <v>40</v>
      </c>
      <c r="EL190" s="80">
        <v>37</v>
      </c>
      <c r="EM190" s="80">
        <v>3</v>
      </c>
      <c r="EN190" s="80">
        <v>0</v>
      </c>
      <c r="EO190" s="80">
        <v>7447</v>
      </c>
      <c r="EP190" s="80">
        <v>2924</v>
      </c>
      <c r="EQ190" s="80">
        <v>0</v>
      </c>
      <c r="ER190" s="80">
        <v>1814</v>
      </c>
      <c r="ES190" s="80">
        <v>788</v>
      </c>
      <c r="ET190" s="80">
        <v>1026</v>
      </c>
      <c r="EU190" s="80">
        <v>0</v>
      </c>
      <c r="EV190" s="80">
        <v>0</v>
      </c>
      <c r="EW190" s="80">
        <v>1110</v>
      </c>
      <c r="EX190" s="80">
        <v>0</v>
      </c>
      <c r="EY190" s="80">
        <v>0</v>
      </c>
      <c r="EZ190" s="80">
        <v>0</v>
      </c>
      <c r="FA190" s="80">
        <v>0</v>
      </c>
      <c r="FB190" s="80">
        <v>0</v>
      </c>
      <c r="FC190" s="80">
        <v>0</v>
      </c>
      <c r="FD190" s="80">
        <v>4523</v>
      </c>
      <c r="FE190" s="80">
        <v>0</v>
      </c>
      <c r="FF190" s="80">
        <v>158</v>
      </c>
      <c r="FG190" s="80">
        <v>115</v>
      </c>
      <c r="FH190" s="80">
        <v>43</v>
      </c>
      <c r="FI190" s="80">
        <v>0</v>
      </c>
      <c r="FJ190" s="80">
        <v>0</v>
      </c>
      <c r="FK190" s="80">
        <v>180</v>
      </c>
      <c r="FL190" s="80">
        <v>0</v>
      </c>
      <c r="FM190" s="80">
        <v>2</v>
      </c>
      <c r="FN190" s="80">
        <v>1556</v>
      </c>
      <c r="FO190" s="80">
        <v>309</v>
      </c>
      <c r="FP190" s="80">
        <v>2318</v>
      </c>
      <c r="FQ190" s="80">
        <v>23541</v>
      </c>
      <c r="FR190" s="80">
        <v>5391</v>
      </c>
      <c r="FS190" s="80">
        <v>367</v>
      </c>
      <c r="FT190" s="100">
        <v>10734.689657828374</v>
      </c>
      <c r="FU190" s="100"/>
      <c r="FV190" s="100">
        <v>3659</v>
      </c>
      <c r="FW190" s="67">
        <v>815</v>
      </c>
      <c r="FX190" s="100">
        <f t="shared" si="15"/>
        <v>-17980</v>
      </c>
      <c r="FY190" s="100">
        <f t="shared" si="16"/>
        <v>-24515</v>
      </c>
      <c r="FZ190" s="100">
        <v>18650.022563125211</v>
      </c>
      <c r="GA190" s="67">
        <v>6535</v>
      </c>
      <c r="GB190" s="58">
        <f t="shared" si="13"/>
        <v>2876</v>
      </c>
      <c r="GC190" s="67">
        <v>1142</v>
      </c>
      <c r="GD190" s="100">
        <v>1792</v>
      </c>
      <c r="GE190" s="100">
        <v>138</v>
      </c>
      <c r="GF190" s="58">
        <f t="shared" si="14"/>
        <v>1654</v>
      </c>
      <c r="GG190" s="100">
        <v>-6081.2809999999999</v>
      </c>
      <c r="GH190" s="100">
        <v>-218.00720000000007</v>
      </c>
      <c r="GI190" s="100">
        <v>-12931.707090639566</v>
      </c>
      <c r="GJ190" s="67">
        <f t="shared" si="17"/>
        <v>327</v>
      </c>
      <c r="GK190" s="67"/>
      <c r="GM190" s="96"/>
    </row>
    <row r="191" spans="1:195" ht="13.5" customHeight="1" x14ac:dyDescent="0.2">
      <c r="A191" s="74">
        <v>577</v>
      </c>
      <c r="B191" s="75" t="s">
        <v>288</v>
      </c>
      <c r="C191" s="82" t="s">
        <v>288</v>
      </c>
      <c r="D191" s="76"/>
      <c r="E191" s="77" t="s">
        <v>219</v>
      </c>
      <c r="F191" s="78">
        <v>4</v>
      </c>
      <c r="G191" s="79">
        <v>10620</v>
      </c>
      <c r="H191" s="80">
        <v>7243</v>
      </c>
      <c r="I191" s="80">
        <v>2610</v>
      </c>
      <c r="J191" s="80">
        <v>2163</v>
      </c>
      <c r="K191" s="80">
        <v>1184</v>
      </c>
      <c r="L191" s="80">
        <v>1286</v>
      </c>
      <c r="M191" s="80">
        <v>0</v>
      </c>
      <c r="N191" s="80">
        <v>0</v>
      </c>
      <c r="O191" s="80">
        <v>62397</v>
      </c>
      <c r="P191" s="80">
        <v>24408</v>
      </c>
      <c r="Q191" s="80">
        <v>18825</v>
      </c>
      <c r="R191" s="80">
        <v>5583</v>
      </c>
      <c r="S191" s="80">
        <v>4525</v>
      </c>
      <c r="T191" s="80">
        <v>1058</v>
      </c>
      <c r="U191" s="80">
        <v>30191</v>
      </c>
      <c r="V191" s="80">
        <v>3068</v>
      </c>
      <c r="W191" s="80">
        <v>4129</v>
      </c>
      <c r="X191" s="80">
        <v>601</v>
      </c>
      <c r="Y191" s="80">
        <v>-55154</v>
      </c>
      <c r="Z191" s="80">
        <v>40456</v>
      </c>
      <c r="AA191" s="80">
        <v>37138</v>
      </c>
      <c r="AB191" s="80">
        <v>1354</v>
      </c>
      <c r="AC191" s="80">
        <v>1964</v>
      </c>
      <c r="AD191" s="80">
        <v>12948</v>
      </c>
      <c r="AE191" s="80">
        <v>-53</v>
      </c>
      <c r="AF191" s="80">
        <v>21</v>
      </c>
      <c r="AG191" s="80">
        <v>432</v>
      </c>
      <c r="AH191" s="80">
        <v>392</v>
      </c>
      <c r="AI191" s="80">
        <v>499</v>
      </c>
      <c r="AJ191" s="80">
        <v>7</v>
      </c>
      <c r="AK191" s="80">
        <v>-1803</v>
      </c>
      <c r="AL191" s="80">
        <v>1808</v>
      </c>
      <c r="AM191" s="80">
        <v>1808</v>
      </c>
      <c r="AN191" s="80">
        <v>0</v>
      </c>
      <c r="AO191" s="80">
        <v>0</v>
      </c>
      <c r="AP191" s="80">
        <v>0</v>
      </c>
      <c r="AQ191" s="80">
        <v>0</v>
      </c>
      <c r="AR191" s="80">
        <v>-3611</v>
      </c>
      <c r="AS191" s="80">
        <v>84</v>
      </c>
      <c r="AT191" s="80">
        <v>0</v>
      </c>
      <c r="AU191" s="80">
        <v>0</v>
      </c>
      <c r="AV191" s="80">
        <v>-3527</v>
      </c>
      <c r="AW191" s="81"/>
      <c r="AX191" s="80">
        <v>-1975</v>
      </c>
      <c r="AY191" s="80">
        <v>-1803</v>
      </c>
      <c r="AZ191" s="80">
        <v>0</v>
      </c>
      <c r="BA191" s="80">
        <v>-172</v>
      </c>
      <c r="BB191" s="80">
        <v>-5596</v>
      </c>
      <c r="BC191" s="80">
        <v>6052</v>
      </c>
      <c r="BD191" s="80">
        <v>258</v>
      </c>
      <c r="BE191" s="80">
        <v>198</v>
      </c>
      <c r="BF191" s="80">
        <v>-7571</v>
      </c>
      <c r="BG191" s="80">
        <v>8171</v>
      </c>
      <c r="BH191" s="80">
        <v>-12</v>
      </c>
      <c r="BI191" s="80">
        <v>12</v>
      </c>
      <c r="BJ191" s="80">
        <v>0</v>
      </c>
      <c r="BK191" s="80">
        <v>8442</v>
      </c>
      <c r="BL191" s="80">
        <v>0</v>
      </c>
      <c r="BM191" s="80">
        <v>3058</v>
      </c>
      <c r="BN191" s="80">
        <v>11500</v>
      </c>
      <c r="BO191" s="80">
        <v>0</v>
      </c>
      <c r="BP191" s="80">
        <v>-259</v>
      </c>
      <c r="BQ191" s="80">
        <v>-18</v>
      </c>
      <c r="BR191" s="80">
        <v>0</v>
      </c>
      <c r="BS191" s="80">
        <v>-543</v>
      </c>
      <c r="BT191" s="80">
        <v>302</v>
      </c>
      <c r="BU191" s="80">
        <v>601</v>
      </c>
      <c r="BV191" s="80">
        <v>1365</v>
      </c>
      <c r="BW191" s="80">
        <v>764</v>
      </c>
      <c r="BX191" s="81"/>
      <c r="BY191" s="80">
        <v>76415</v>
      </c>
      <c r="BZ191" s="80">
        <v>176</v>
      </c>
      <c r="CA191" s="80">
        <v>4</v>
      </c>
      <c r="CB191" s="80">
        <v>172</v>
      </c>
      <c r="CC191" s="80">
        <v>0</v>
      </c>
      <c r="CD191" s="80">
        <v>35857</v>
      </c>
      <c r="CE191" s="80">
        <v>7321</v>
      </c>
      <c r="CF191" s="80">
        <v>18940</v>
      </c>
      <c r="CG191" s="80">
        <v>4840</v>
      </c>
      <c r="CH191" s="80">
        <v>421</v>
      </c>
      <c r="CI191" s="80">
        <v>29</v>
      </c>
      <c r="CJ191" s="80">
        <v>29</v>
      </c>
      <c r="CK191" s="80">
        <v>4306</v>
      </c>
      <c r="CL191" s="80">
        <v>40382</v>
      </c>
      <c r="CM191" s="80">
        <v>23883</v>
      </c>
      <c r="CN191" s="80">
        <v>5257</v>
      </c>
      <c r="CO191" s="80">
        <v>18626</v>
      </c>
      <c r="CP191" s="80">
        <v>0</v>
      </c>
      <c r="CQ191" s="80">
        <v>16398</v>
      </c>
      <c r="CR191" s="80">
        <v>0</v>
      </c>
      <c r="CS191" s="80">
        <v>0</v>
      </c>
      <c r="CT191" s="80">
        <v>16398</v>
      </c>
      <c r="CU191" s="80">
        <v>101</v>
      </c>
      <c r="CV191" s="80">
        <v>251</v>
      </c>
      <c r="CW191" s="80">
        <v>46</v>
      </c>
      <c r="CX191" s="80">
        <v>205</v>
      </c>
      <c r="CY191" s="80">
        <v>0</v>
      </c>
      <c r="CZ191" s="80">
        <v>4880</v>
      </c>
      <c r="DA191" s="80">
        <v>0</v>
      </c>
      <c r="DB191" s="80">
        <v>0</v>
      </c>
      <c r="DC191" s="80">
        <v>0</v>
      </c>
      <c r="DD191" s="80">
        <v>0</v>
      </c>
      <c r="DE191" s="80">
        <v>0</v>
      </c>
      <c r="DF191" s="80">
        <v>0</v>
      </c>
      <c r="DG191" s="80">
        <v>3515</v>
      </c>
      <c r="DH191" s="80">
        <v>339</v>
      </c>
      <c r="DI191" s="80">
        <v>0</v>
      </c>
      <c r="DJ191" s="80">
        <v>339</v>
      </c>
      <c r="DK191" s="80">
        <v>0</v>
      </c>
      <c r="DL191" s="80">
        <v>0</v>
      </c>
      <c r="DM191" s="80">
        <v>3176</v>
      </c>
      <c r="DN191" s="80">
        <v>1481</v>
      </c>
      <c r="DO191" s="80">
        <v>0</v>
      </c>
      <c r="DP191" s="80">
        <v>930</v>
      </c>
      <c r="DQ191" s="80">
        <v>765</v>
      </c>
      <c r="DR191" s="80">
        <v>0</v>
      </c>
      <c r="DS191" s="80">
        <v>0</v>
      </c>
      <c r="DT191" s="80">
        <v>0</v>
      </c>
      <c r="DU191" s="80">
        <v>0</v>
      </c>
      <c r="DV191" s="80">
        <v>0</v>
      </c>
      <c r="DW191" s="80">
        <v>1365</v>
      </c>
      <c r="DX191" s="80">
        <v>81546</v>
      </c>
      <c r="DY191" s="80">
        <v>24568</v>
      </c>
      <c r="DZ191" s="80">
        <v>16892</v>
      </c>
      <c r="EA191" s="80">
        <v>0</v>
      </c>
      <c r="EB191" s="80">
        <v>0</v>
      </c>
      <c r="EC191" s="80">
        <v>11203</v>
      </c>
      <c r="ED191" s="80">
        <v>-3527</v>
      </c>
      <c r="EE191" s="80">
        <v>1515</v>
      </c>
      <c r="EF191" s="80">
        <v>1515</v>
      </c>
      <c r="EG191" s="80">
        <v>0</v>
      </c>
      <c r="EH191" s="80">
        <v>0</v>
      </c>
      <c r="EI191" s="80">
        <v>0</v>
      </c>
      <c r="EJ191" s="80">
        <v>0</v>
      </c>
      <c r="EK191" s="80">
        <v>447</v>
      </c>
      <c r="EL191" s="80">
        <v>46</v>
      </c>
      <c r="EM191" s="80">
        <v>287</v>
      </c>
      <c r="EN191" s="80">
        <v>114</v>
      </c>
      <c r="EO191" s="80">
        <v>55016</v>
      </c>
      <c r="EP191" s="80">
        <v>16048</v>
      </c>
      <c r="EQ191" s="80">
        <v>0</v>
      </c>
      <c r="ER191" s="80">
        <v>16048</v>
      </c>
      <c r="ES191" s="80">
        <v>7425</v>
      </c>
      <c r="ET191" s="80">
        <v>8623</v>
      </c>
      <c r="EU191" s="80">
        <v>0</v>
      </c>
      <c r="EV191" s="80">
        <v>0</v>
      </c>
      <c r="EW191" s="80">
        <v>0</v>
      </c>
      <c r="EX191" s="80">
        <v>0</v>
      </c>
      <c r="EY191" s="80">
        <v>0</v>
      </c>
      <c r="EZ191" s="80">
        <v>0</v>
      </c>
      <c r="FA191" s="80">
        <v>0</v>
      </c>
      <c r="FB191" s="80">
        <v>0</v>
      </c>
      <c r="FC191" s="80">
        <v>0</v>
      </c>
      <c r="FD191" s="80">
        <v>38968</v>
      </c>
      <c r="FE191" s="80">
        <v>0</v>
      </c>
      <c r="FF191" s="80">
        <v>32247</v>
      </c>
      <c r="FG191" s="80">
        <v>31193</v>
      </c>
      <c r="FH191" s="80">
        <v>1054</v>
      </c>
      <c r="FI191" s="80">
        <v>0</v>
      </c>
      <c r="FJ191" s="80">
        <v>0</v>
      </c>
      <c r="FK191" s="80">
        <v>0</v>
      </c>
      <c r="FL191" s="80">
        <v>0</v>
      </c>
      <c r="FM191" s="80">
        <v>216</v>
      </c>
      <c r="FN191" s="80">
        <v>2457</v>
      </c>
      <c r="FO191" s="80">
        <v>1014</v>
      </c>
      <c r="FP191" s="80">
        <v>3034</v>
      </c>
      <c r="FQ191" s="80">
        <v>81546</v>
      </c>
      <c r="FR191" s="80">
        <v>8262</v>
      </c>
      <c r="FS191" s="80">
        <v>4336</v>
      </c>
      <c r="FT191" s="100">
        <v>35275.700784100147</v>
      </c>
      <c r="FU191" s="100"/>
      <c r="FV191" s="100">
        <v>11770</v>
      </c>
      <c r="FW191" s="67">
        <v>1808</v>
      </c>
      <c r="FX191" s="100">
        <f t="shared" si="15"/>
        <v>-39576</v>
      </c>
      <c r="FY191" s="100">
        <f t="shared" si="16"/>
        <v>-53346</v>
      </c>
      <c r="FZ191" s="100">
        <v>32605.91528204628</v>
      </c>
      <c r="GA191" s="67">
        <v>13770</v>
      </c>
      <c r="GB191" s="58">
        <f t="shared" si="13"/>
        <v>2000</v>
      </c>
      <c r="GC191" s="67">
        <v>1808</v>
      </c>
      <c r="GD191" s="100">
        <v>2172</v>
      </c>
      <c r="GE191" s="100">
        <v>1360</v>
      </c>
      <c r="GF191" s="58">
        <f t="shared" si="14"/>
        <v>812</v>
      </c>
      <c r="GG191" s="100">
        <v>-21746.34</v>
      </c>
      <c r="GH191" s="100">
        <v>-422.3764500000002</v>
      </c>
      <c r="GI191" s="100">
        <v>-10384.048130816955</v>
      </c>
      <c r="GJ191" s="67">
        <f t="shared" si="17"/>
        <v>0</v>
      </c>
      <c r="GK191" s="67"/>
      <c r="GM191" s="96"/>
    </row>
    <row r="192" spans="1:195" ht="13.5" customHeight="1" x14ac:dyDescent="0.2">
      <c r="A192" s="74">
        <v>584</v>
      </c>
      <c r="B192" s="75" t="s">
        <v>127</v>
      </c>
      <c r="C192" s="75" t="s">
        <v>127</v>
      </c>
      <c r="D192" s="76"/>
      <c r="E192" s="77" t="s">
        <v>228</v>
      </c>
      <c r="F192" s="78">
        <v>2</v>
      </c>
      <c r="G192" s="79">
        <v>2931</v>
      </c>
      <c r="H192" s="80">
        <v>3403</v>
      </c>
      <c r="I192" s="80">
        <v>1311</v>
      </c>
      <c r="J192" s="80">
        <v>948</v>
      </c>
      <c r="K192" s="80">
        <v>419</v>
      </c>
      <c r="L192" s="80">
        <v>725</v>
      </c>
      <c r="M192" s="80">
        <v>0</v>
      </c>
      <c r="N192" s="80">
        <v>0</v>
      </c>
      <c r="O192" s="80">
        <v>19820</v>
      </c>
      <c r="P192" s="80">
        <v>10082</v>
      </c>
      <c r="Q192" s="80">
        <v>7811</v>
      </c>
      <c r="R192" s="80">
        <v>2271</v>
      </c>
      <c r="S192" s="80">
        <v>1876</v>
      </c>
      <c r="T192" s="80">
        <v>395</v>
      </c>
      <c r="U192" s="80">
        <v>7000</v>
      </c>
      <c r="V192" s="80">
        <v>1380</v>
      </c>
      <c r="W192" s="80">
        <v>1213</v>
      </c>
      <c r="X192" s="80">
        <v>145</v>
      </c>
      <c r="Y192" s="80">
        <v>-16417</v>
      </c>
      <c r="Z192" s="80">
        <v>7463</v>
      </c>
      <c r="AA192" s="80">
        <v>6430</v>
      </c>
      <c r="AB192" s="80">
        <v>560</v>
      </c>
      <c r="AC192" s="80">
        <v>473</v>
      </c>
      <c r="AD192" s="80">
        <v>11647</v>
      </c>
      <c r="AE192" s="80">
        <v>304</v>
      </c>
      <c r="AF192" s="80">
        <v>317</v>
      </c>
      <c r="AG192" s="80">
        <v>18</v>
      </c>
      <c r="AH192" s="80">
        <v>3</v>
      </c>
      <c r="AI192" s="80">
        <v>19</v>
      </c>
      <c r="AJ192" s="80">
        <v>12</v>
      </c>
      <c r="AK192" s="80">
        <v>2997</v>
      </c>
      <c r="AL192" s="80">
        <v>1143</v>
      </c>
      <c r="AM192" s="80">
        <v>1143</v>
      </c>
      <c r="AN192" s="80">
        <v>0</v>
      </c>
      <c r="AO192" s="80">
        <v>0</v>
      </c>
      <c r="AP192" s="80">
        <v>0</v>
      </c>
      <c r="AQ192" s="80">
        <v>0</v>
      </c>
      <c r="AR192" s="80">
        <v>1854</v>
      </c>
      <c r="AS192" s="80">
        <v>6</v>
      </c>
      <c r="AT192" s="80">
        <v>0</v>
      </c>
      <c r="AU192" s="80">
        <v>-800</v>
      </c>
      <c r="AV192" s="80">
        <v>1060</v>
      </c>
      <c r="AW192" s="81"/>
      <c r="AX192" s="80">
        <v>3001</v>
      </c>
      <c r="AY192" s="80">
        <v>2997</v>
      </c>
      <c r="AZ192" s="80">
        <v>0</v>
      </c>
      <c r="BA192" s="80">
        <v>4</v>
      </c>
      <c r="BB192" s="80">
        <v>-2030</v>
      </c>
      <c r="BC192" s="80">
        <v>3040</v>
      </c>
      <c r="BD192" s="80">
        <v>1001</v>
      </c>
      <c r="BE192" s="80">
        <v>9</v>
      </c>
      <c r="BF192" s="80">
        <v>971</v>
      </c>
      <c r="BG192" s="80">
        <v>-1173</v>
      </c>
      <c r="BH192" s="80">
        <v>0</v>
      </c>
      <c r="BI192" s="80">
        <v>0</v>
      </c>
      <c r="BJ192" s="80">
        <v>0</v>
      </c>
      <c r="BK192" s="80">
        <v>-770</v>
      </c>
      <c r="BL192" s="80">
        <v>1212</v>
      </c>
      <c r="BM192" s="80">
        <v>182</v>
      </c>
      <c r="BN192" s="80">
        <v>-1800</v>
      </c>
      <c r="BO192" s="80">
        <v>0</v>
      </c>
      <c r="BP192" s="80">
        <v>-403</v>
      </c>
      <c r="BQ192" s="80">
        <v>5</v>
      </c>
      <c r="BR192" s="80">
        <v>1</v>
      </c>
      <c r="BS192" s="80">
        <v>-5</v>
      </c>
      <c r="BT192" s="80">
        <v>-404</v>
      </c>
      <c r="BU192" s="80">
        <v>-202</v>
      </c>
      <c r="BV192" s="80">
        <v>5050</v>
      </c>
      <c r="BW192" s="80">
        <v>5252</v>
      </c>
      <c r="BX192" s="81"/>
      <c r="BY192" s="80">
        <v>19292</v>
      </c>
      <c r="BZ192" s="80">
        <v>161</v>
      </c>
      <c r="CA192" s="80">
        <v>0</v>
      </c>
      <c r="CB192" s="80">
        <v>161</v>
      </c>
      <c r="CC192" s="80">
        <v>0</v>
      </c>
      <c r="CD192" s="80">
        <v>17410</v>
      </c>
      <c r="CE192" s="80">
        <v>908</v>
      </c>
      <c r="CF192" s="80">
        <v>10360</v>
      </c>
      <c r="CG192" s="80">
        <v>5127</v>
      </c>
      <c r="CH192" s="80">
        <v>522</v>
      </c>
      <c r="CI192" s="80">
        <v>20</v>
      </c>
      <c r="CJ192" s="80">
        <v>20</v>
      </c>
      <c r="CK192" s="80">
        <v>473</v>
      </c>
      <c r="CL192" s="80">
        <v>1721</v>
      </c>
      <c r="CM192" s="80">
        <v>1721</v>
      </c>
      <c r="CN192" s="80">
        <v>528</v>
      </c>
      <c r="CO192" s="80">
        <v>1193</v>
      </c>
      <c r="CP192" s="80">
        <v>0</v>
      </c>
      <c r="CQ192" s="80">
        <v>0</v>
      </c>
      <c r="CR192" s="80">
        <v>0</v>
      </c>
      <c r="CS192" s="80">
        <v>0</v>
      </c>
      <c r="CT192" s="80">
        <v>0</v>
      </c>
      <c r="CU192" s="80">
        <v>0</v>
      </c>
      <c r="CV192" s="80">
        <v>20</v>
      </c>
      <c r="CW192" s="80">
        <v>1</v>
      </c>
      <c r="CX192" s="80">
        <v>0</v>
      </c>
      <c r="CY192" s="80">
        <v>19</v>
      </c>
      <c r="CZ192" s="80">
        <v>6483</v>
      </c>
      <c r="DA192" s="80">
        <v>6</v>
      </c>
      <c r="DB192" s="80">
        <v>6</v>
      </c>
      <c r="DC192" s="80">
        <v>0</v>
      </c>
      <c r="DD192" s="80">
        <v>0</v>
      </c>
      <c r="DE192" s="80">
        <v>0</v>
      </c>
      <c r="DF192" s="80">
        <v>0</v>
      </c>
      <c r="DG192" s="80">
        <v>1426</v>
      </c>
      <c r="DH192" s="80">
        <v>590</v>
      </c>
      <c r="DI192" s="80">
        <v>0</v>
      </c>
      <c r="DJ192" s="80">
        <v>590</v>
      </c>
      <c r="DK192" s="80">
        <v>0</v>
      </c>
      <c r="DL192" s="80">
        <v>0</v>
      </c>
      <c r="DM192" s="80">
        <v>836</v>
      </c>
      <c r="DN192" s="80">
        <v>330</v>
      </c>
      <c r="DO192" s="80">
        <v>32</v>
      </c>
      <c r="DP192" s="80">
        <v>75</v>
      </c>
      <c r="DQ192" s="80">
        <v>399</v>
      </c>
      <c r="DR192" s="80">
        <v>4681</v>
      </c>
      <c r="DS192" s="80">
        <v>1585</v>
      </c>
      <c r="DT192" s="80">
        <v>3096</v>
      </c>
      <c r="DU192" s="80">
        <v>0</v>
      </c>
      <c r="DV192" s="80">
        <v>0</v>
      </c>
      <c r="DW192" s="80">
        <v>370</v>
      </c>
      <c r="DX192" s="80">
        <v>25795</v>
      </c>
      <c r="DY192" s="80">
        <v>16515</v>
      </c>
      <c r="DZ192" s="80">
        <v>9239</v>
      </c>
      <c r="EA192" s="80">
        <v>0</v>
      </c>
      <c r="EB192" s="80">
        <v>3371</v>
      </c>
      <c r="EC192" s="80">
        <v>2844</v>
      </c>
      <c r="ED192" s="80">
        <v>1061</v>
      </c>
      <c r="EE192" s="80">
        <v>191</v>
      </c>
      <c r="EF192" s="80">
        <v>191</v>
      </c>
      <c r="EG192" s="80">
        <v>0</v>
      </c>
      <c r="EH192" s="80">
        <v>250</v>
      </c>
      <c r="EI192" s="80">
        <v>0</v>
      </c>
      <c r="EJ192" s="80">
        <v>250</v>
      </c>
      <c r="EK192" s="80">
        <v>86</v>
      </c>
      <c r="EL192" s="80">
        <v>0</v>
      </c>
      <c r="EM192" s="80">
        <v>0</v>
      </c>
      <c r="EN192" s="80">
        <v>86</v>
      </c>
      <c r="EO192" s="80">
        <v>8753</v>
      </c>
      <c r="EP192" s="80">
        <v>1581</v>
      </c>
      <c r="EQ192" s="80">
        <v>0</v>
      </c>
      <c r="ER192" s="80">
        <v>1210</v>
      </c>
      <c r="ES192" s="80">
        <v>0</v>
      </c>
      <c r="ET192" s="80">
        <v>1210</v>
      </c>
      <c r="EU192" s="80">
        <v>0</v>
      </c>
      <c r="EV192" s="80">
        <v>0</v>
      </c>
      <c r="EW192" s="80">
        <v>345</v>
      </c>
      <c r="EX192" s="80">
        <v>0</v>
      </c>
      <c r="EY192" s="80">
        <v>0</v>
      </c>
      <c r="EZ192" s="80">
        <v>0</v>
      </c>
      <c r="FA192" s="80">
        <v>26</v>
      </c>
      <c r="FB192" s="80">
        <v>0</v>
      </c>
      <c r="FC192" s="80">
        <v>0</v>
      </c>
      <c r="FD192" s="80">
        <v>7172</v>
      </c>
      <c r="FE192" s="80">
        <v>0</v>
      </c>
      <c r="FF192" s="80">
        <v>5052</v>
      </c>
      <c r="FG192" s="80">
        <v>5000</v>
      </c>
      <c r="FH192" s="80">
        <v>52</v>
      </c>
      <c r="FI192" s="80">
        <v>0</v>
      </c>
      <c r="FJ192" s="80">
        <v>0</v>
      </c>
      <c r="FK192" s="80">
        <v>22</v>
      </c>
      <c r="FL192" s="80">
        <v>0</v>
      </c>
      <c r="FM192" s="80">
        <v>0</v>
      </c>
      <c r="FN192" s="80">
        <v>608</v>
      </c>
      <c r="FO192" s="80">
        <v>204</v>
      </c>
      <c r="FP192" s="80">
        <v>1286</v>
      </c>
      <c r="FQ192" s="80">
        <v>25795</v>
      </c>
      <c r="FR192" s="80">
        <v>0</v>
      </c>
      <c r="FS192" s="80">
        <v>3</v>
      </c>
      <c r="FT192" s="100">
        <v>11895.230266418308</v>
      </c>
      <c r="FU192" s="100"/>
      <c r="FV192" s="100">
        <v>5098</v>
      </c>
      <c r="FW192" s="67">
        <v>1049</v>
      </c>
      <c r="FX192" s="100">
        <f t="shared" si="15"/>
        <v>-8767</v>
      </c>
      <c r="FY192" s="100">
        <f t="shared" si="16"/>
        <v>-15274</v>
      </c>
      <c r="FZ192" s="100">
        <v>9580.6202547454723</v>
      </c>
      <c r="GA192" s="67">
        <v>6507</v>
      </c>
      <c r="GB192" s="58">
        <f t="shared" si="13"/>
        <v>1409</v>
      </c>
      <c r="GC192" s="67">
        <v>1142</v>
      </c>
      <c r="GD192" s="100">
        <v>954</v>
      </c>
      <c r="GE192" s="100">
        <v>225</v>
      </c>
      <c r="GF192" s="58">
        <f t="shared" si="14"/>
        <v>729</v>
      </c>
      <c r="GG192" s="100">
        <v>-3582.8910000000001</v>
      </c>
      <c r="GH192" s="100">
        <v>-179.44915000000009</v>
      </c>
      <c r="GI192" s="100">
        <v>-5764.5185300215862</v>
      </c>
      <c r="GJ192" s="67">
        <f t="shared" si="17"/>
        <v>93</v>
      </c>
      <c r="GK192" s="67"/>
      <c r="GM192" s="96"/>
    </row>
    <row r="193" spans="1:195" ht="13.5" customHeight="1" x14ac:dyDescent="0.2">
      <c r="A193" s="74">
        <v>588</v>
      </c>
      <c r="B193" s="75" t="s">
        <v>128</v>
      </c>
      <c r="C193" s="75" t="s">
        <v>128</v>
      </c>
      <c r="D193" s="76"/>
      <c r="E193" s="77" t="s">
        <v>220</v>
      </c>
      <c r="F193" s="78">
        <v>1</v>
      </c>
      <c r="G193" s="79">
        <v>1817</v>
      </c>
      <c r="H193" s="80">
        <v>2465</v>
      </c>
      <c r="I193" s="80">
        <v>1269</v>
      </c>
      <c r="J193" s="80">
        <v>532</v>
      </c>
      <c r="K193" s="80">
        <v>136</v>
      </c>
      <c r="L193" s="80">
        <v>528</v>
      </c>
      <c r="M193" s="80">
        <v>0</v>
      </c>
      <c r="N193" s="80">
        <v>68</v>
      </c>
      <c r="O193" s="80">
        <v>13531</v>
      </c>
      <c r="P193" s="80">
        <v>6052</v>
      </c>
      <c r="Q193" s="80">
        <v>4629</v>
      </c>
      <c r="R193" s="80">
        <v>1423</v>
      </c>
      <c r="S193" s="80">
        <v>1212</v>
      </c>
      <c r="T193" s="80">
        <v>211</v>
      </c>
      <c r="U193" s="80">
        <v>6168</v>
      </c>
      <c r="V193" s="80">
        <v>701</v>
      </c>
      <c r="W193" s="80">
        <v>464</v>
      </c>
      <c r="X193" s="80">
        <v>146</v>
      </c>
      <c r="Y193" s="80">
        <v>-10998</v>
      </c>
      <c r="Z193" s="80">
        <v>5701</v>
      </c>
      <c r="AA193" s="80">
        <v>4103</v>
      </c>
      <c r="AB193" s="80">
        <v>818</v>
      </c>
      <c r="AC193" s="80">
        <v>780</v>
      </c>
      <c r="AD193" s="80">
        <v>6109</v>
      </c>
      <c r="AE193" s="80">
        <v>16</v>
      </c>
      <c r="AF193" s="80">
        <v>1</v>
      </c>
      <c r="AG193" s="80">
        <v>48</v>
      </c>
      <c r="AH193" s="80">
        <v>46</v>
      </c>
      <c r="AI193" s="80">
        <v>33</v>
      </c>
      <c r="AJ193" s="80">
        <v>0</v>
      </c>
      <c r="AK193" s="80">
        <v>828</v>
      </c>
      <c r="AL193" s="80">
        <v>685</v>
      </c>
      <c r="AM193" s="80">
        <v>685</v>
      </c>
      <c r="AN193" s="80">
        <v>0</v>
      </c>
      <c r="AO193" s="80">
        <v>0</v>
      </c>
      <c r="AP193" s="80">
        <v>0</v>
      </c>
      <c r="AQ193" s="80">
        <v>0</v>
      </c>
      <c r="AR193" s="80">
        <v>143</v>
      </c>
      <c r="AS193" s="80">
        <v>0</v>
      </c>
      <c r="AT193" s="80">
        <v>0</v>
      </c>
      <c r="AU193" s="80">
        <v>0</v>
      </c>
      <c r="AV193" s="80">
        <v>143</v>
      </c>
      <c r="AW193" s="81"/>
      <c r="AX193" s="80">
        <v>808</v>
      </c>
      <c r="AY193" s="80">
        <v>828</v>
      </c>
      <c r="AZ193" s="80">
        <v>0</v>
      </c>
      <c r="BA193" s="80">
        <v>-20</v>
      </c>
      <c r="BB193" s="80">
        <v>-248</v>
      </c>
      <c r="BC193" s="80">
        <v>270</v>
      </c>
      <c r="BD193" s="80">
        <v>0</v>
      </c>
      <c r="BE193" s="80">
        <v>22</v>
      </c>
      <c r="BF193" s="80">
        <v>560</v>
      </c>
      <c r="BG193" s="80">
        <v>-668</v>
      </c>
      <c r="BH193" s="80">
        <v>10</v>
      </c>
      <c r="BI193" s="80">
        <v>0</v>
      </c>
      <c r="BJ193" s="80">
        <v>10</v>
      </c>
      <c r="BK193" s="80">
        <v>-573</v>
      </c>
      <c r="BL193" s="80">
        <v>0</v>
      </c>
      <c r="BM193" s="80">
        <v>273</v>
      </c>
      <c r="BN193" s="80">
        <v>-300</v>
      </c>
      <c r="BO193" s="80">
        <v>122</v>
      </c>
      <c r="BP193" s="80">
        <v>-227</v>
      </c>
      <c r="BQ193" s="80">
        <v>0</v>
      </c>
      <c r="BR193" s="80">
        <v>0</v>
      </c>
      <c r="BS193" s="80">
        <v>-176</v>
      </c>
      <c r="BT193" s="80">
        <v>-51</v>
      </c>
      <c r="BU193" s="80">
        <v>-109</v>
      </c>
      <c r="BV193" s="80">
        <v>1657</v>
      </c>
      <c r="BW193" s="80">
        <v>1766</v>
      </c>
      <c r="BX193" s="81"/>
      <c r="BY193" s="80">
        <v>11107</v>
      </c>
      <c r="BZ193" s="80">
        <v>209</v>
      </c>
      <c r="CA193" s="80">
        <v>0</v>
      </c>
      <c r="CB193" s="80">
        <v>209</v>
      </c>
      <c r="CC193" s="80">
        <v>0</v>
      </c>
      <c r="CD193" s="80">
        <v>9428</v>
      </c>
      <c r="CE193" s="80">
        <v>1219</v>
      </c>
      <c r="CF193" s="80">
        <v>5185</v>
      </c>
      <c r="CG193" s="80">
        <v>2841</v>
      </c>
      <c r="CH193" s="80">
        <v>183</v>
      </c>
      <c r="CI193" s="80">
        <v>0</v>
      </c>
      <c r="CJ193" s="80">
        <v>0</v>
      </c>
      <c r="CK193" s="80">
        <v>0</v>
      </c>
      <c r="CL193" s="80">
        <v>1470</v>
      </c>
      <c r="CM193" s="80">
        <v>1117</v>
      </c>
      <c r="CN193" s="80">
        <v>719</v>
      </c>
      <c r="CO193" s="80">
        <v>398</v>
      </c>
      <c r="CP193" s="80">
        <v>0</v>
      </c>
      <c r="CQ193" s="80">
        <v>225</v>
      </c>
      <c r="CR193" s="80">
        <v>0</v>
      </c>
      <c r="CS193" s="80">
        <v>0</v>
      </c>
      <c r="CT193" s="80">
        <v>225</v>
      </c>
      <c r="CU193" s="80">
        <v>128</v>
      </c>
      <c r="CV193" s="80">
        <v>1250</v>
      </c>
      <c r="CW193" s="80">
        <v>0</v>
      </c>
      <c r="CX193" s="80">
        <v>1250</v>
      </c>
      <c r="CY193" s="80">
        <v>0</v>
      </c>
      <c r="CZ193" s="80">
        <v>2313</v>
      </c>
      <c r="DA193" s="80">
        <v>11</v>
      </c>
      <c r="DB193" s="80">
        <v>11</v>
      </c>
      <c r="DC193" s="80">
        <v>0</v>
      </c>
      <c r="DD193" s="80">
        <v>0</v>
      </c>
      <c r="DE193" s="80">
        <v>0</v>
      </c>
      <c r="DF193" s="80">
        <v>0</v>
      </c>
      <c r="DG193" s="80">
        <v>645</v>
      </c>
      <c r="DH193" s="80">
        <v>112</v>
      </c>
      <c r="DI193" s="80">
        <v>0</v>
      </c>
      <c r="DJ193" s="80">
        <v>112</v>
      </c>
      <c r="DK193" s="80">
        <v>0</v>
      </c>
      <c r="DL193" s="80">
        <v>0</v>
      </c>
      <c r="DM193" s="80">
        <v>533</v>
      </c>
      <c r="DN193" s="80">
        <v>371</v>
      </c>
      <c r="DO193" s="80">
        <v>14</v>
      </c>
      <c r="DP193" s="80">
        <v>127</v>
      </c>
      <c r="DQ193" s="80">
        <v>21</v>
      </c>
      <c r="DR193" s="80">
        <v>87</v>
      </c>
      <c r="DS193" s="80">
        <v>87</v>
      </c>
      <c r="DT193" s="80">
        <v>0</v>
      </c>
      <c r="DU193" s="80">
        <v>0</v>
      </c>
      <c r="DV193" s="80">
        <v>0</v>
      </c>
      <c r="DW193" s="80">
        <v>1570</v>
      </c>
      <c r="DX193" s="80">
        <v>14670</v>
      </c>
      <c r="DY193" s="80">
        <v>6173</v>
      </c>
      <c r="DZ193" s="80">
        <v>5437</v>
      </c>
      <c r="EA193" s="80">
        <v>0</v>
      </c>
      <c r="EB193" s="80">
        <v>0</v>
      </c>
      <c r="EC193" s="80">
        <v>593</v>
      </c>
      <c r="ED193" s="80">
        <v>143</v>
      </c>
      <c r="EE193" s="80">
        <v>0</v>
      </c>
      <c r="EF193" s="80">
        <v>0</v>
      </c>
      <c r="EG193" s="80">
        <v>0</v>
      </c>
      <c r="EH193" s="80">
        <v>0</v>
      </c>
      <c r="EI193" s="80">
        <v>0</v>
      </c>
      <c r="EJ193" s="80">
        <v>0</v>
      </c>
      <c r="EK193" s="80">
        <v>1250</v>
      </c>
      <c r="EL193" s="80">
        <v>0</v>
      </c>
      <c r="EM193" s="80">
        <v>1250</v>
      </c>
      <c r="EN193" s="80">
        <v>0</v>
      </c>
      <c r="EO193" s="80">
        <v>7247</v>
      </c>
      <c r="EP193" s="80">
        <v>5265</v>
      </c>
      <c r="EQ193" s="80">
        <v>0</v>
      </c>
      <c r="ER193" s="80">
        <v>5028</v>
      </c>
      <c r="ES193" s="80">
        <v>0</v>
      </c>
      <c r="ET193" s="80">
        <v>5028</v>
      </c>
      <c r="EU193" s="80">
        <v>0</v>
      </c>
      <c r="EV193" s="80">
        <v>0</v>
      </c>
      <c r="EW193" s="80">
        <v>0</v>
      </c>
      <c r="EX193" s="80">
        <v>0</v>
      </c>
      <c r="EY193" s="80">
        <v>0</v>
      </c>
      <c r="EZ193" s="80">
        <v>0</v>
      </c>
      <c r="FA193" s="80">
        <v>237</v>
      </c>
      <c r="FB193" s="80">
        <v>0</v>
      </c>
      <c r="FC193" s="80">
        <v>0</v>
      </c>
      <c r="FD193" s="80">
        <v>1982</v>
      </c>
      <c r="FE193" s="80">
        <v>0</v>
      </c>
      <c r="FF193" s="80">
        <v>271</v>
      </c>
      <c r="FG193" s="80">
        <v>0</v>
      </c>
      <c r="FH193" s="80">
        <v>271</v>
      </c>
      <c r="FI193" s="80">
        <v>0</v>
      </c>
      <c r="FJ193" s="80">
        <v>0</v>
      </c>
      <c r="FK193" s="80">
        <v>0</v>
      </c>
      <c r="FL193" s="80">
        <v>6</v>
      </c>
      <c r="FM193" s="80">
        <v>20</v>
      </c>
      <c r="FN193" s="80">
        <v>925</v>
      </c>
      <c r="FO193" s="80">
        <v>135</v>
      </c>
      <c r="FP193" s="80">
        <v>625</v>
      </c>
      <c r="FQ193" s="80">
        <v>14670</v>
      </c>
      <c r="FR193" s="80">
        <v>0</v>
      </c>
      <c r="FS193" s="80">
        <v>106</v>
      </c>
      <c r="FT193" s="100">
        <v>6384.3337958603215</v>
      </c>
      <c r="FU193" s="100"/>
      <c r="FV193" s="100">
        <v>2683</v>
      </c>
      <c r="FW193" s="67">
        <v>678</v>
      </c>
      <c r="FX193" s="100">
        <f t="shared" si="15"/>
        <v>-6599</v>
      </c>
      <c r="FY193" s="100">
        <f t="shared" si="16"/>
        <v>-10313</v>
      </c>
      <c r="FZ193" s="100">
        <v>7280.1524885912677</v>
      </c>
      <c r="GA193" s="67">
        <v>3714</v>
      </c>
      <c r="GB193" s="58">
        <f t="shared" si="13"/>
        <v>1031</v>
      </c>
      <c r="GC193" s="67">
        <v>685</v>
      </c>
      <c r="GD193" s="100">
        <v>530</v>
      </c>
      <c r="GE193" s="100">
        <v>90</v>
      </c>
      <c r="GF193" s="58">
        <f t="shared" si="14"/>
        <v>440</v>
      </c>
      <c r="GG193" s="100">
        <v>-2332.4969999999998</v>
      </c>
      <c r="GH193" s="100">
        <v>-240.89375000000013</v>
      </c>
      <c r="GI193" s="100">
        <v>-4760.4137795205634</v>
      </c>
      <c r="GJ193" s="67">
        <f t="shared" si="17"/>
        <v>7</v>
      </c>
      <c r="GK193" s="67"/>
      <c r="GM193" s="96"/>
    </row>
    <row r="194" spans="1:195" ht="13.5" customHeight="1" x14ac:dyDescent="0.2">
      <c r="A194" s="74">
        <v>592</v>
      </c>
      <c r="B194" s="75" t="s">
        <v>129</v>
      </c>
      <c r="C194" s="75" t="s">
        <v>129</v>
      </c>
      <c r="D194" s="76"/>
      <c r="E194" s="77" t="s">
        <v>231</v>
      </c>
      <c r="F194" s="78">
        <v>2</v>
      </c>
      <c r="G194" s="79">
        <v>4008</v>
      </c>
      <c r="H194" s="80">
        <v>3468</v>
      </c>
      <c r="I194" s="80">
        <v>1308</v>
      </c>
      <c r="J194" s="80">
        <v>988</v>
      </c>
      <c r="K194" s="80">
        <v>570</v>
      </c>
      <c r="L194" s="80">
        <v>602</v>
      </c>
      <c r="M194" s="80">
        <v>0</v>
      </c>
      <c r="N194" s="80">
        <v>0</v>
      </c>
      <c r="O194" s="80">
        <v>25449</v>
      </c>
      <c r="P194" s="80">
        <v>11612</v>
      </c>
      <c r="Q194" s="80">
        <v>8871</v>
      </c>
      <c r="R194" s="80">
        <v>2741</v>
      </c>
      <c r="S194" s="80">
        <v>2216</v>
      </c>
      <c r="T194" s="80">
        <v>525</v>
      </c>
      <c r="U194" s="80">
        <v>10481</v>
      </c>
      <c r="V194" s="80">
        <v>1607</v>
      </c>
      <c r="W194" s="80">
        <v>1406</v>
      </c>
      <c r="X194" s="80">
        <v>343</v>
      </c>
      <c r="Y194" s="80">
        <v>-21981</v>
      </c>
      <c r="Z194" s="80">
        <v>13040</v>
      </c>
      <c r="AA194" s="80">
        <v>11283</v>
      </c>
      <c r="AB194" s="80">
        <v>858</v>
      </c>
      <c r="AC194" s="80">
        <v>899</v>
      </c>
      <c r="AD194" s="80">
        <v>11179</v>
      </c>
      <c r="AE194" s="80">
        <v>378</v>
      </c>
      <c r="AF194" s="80">
        <v>1</v>
      </c>
      <c r="AG194" s="80">
        <v>474</v>
      </c>
      <c r="AH194" s="80">
        <v>6</v>
      </c>
      <c r="AI194" s="80">
        <v>37</v>
      </c>
      <c r="AJ194" s="80">
        <v>60</v>
      </c>
      <c r="AK194" s="80">
        <v>2616</v>
      </c>
      <c r="AL194" s="80">
        <v>1032</v>
      </c>
      <c r="AM194" s="80">
        <v>1032</v>
      </c>
      <c r="AN194" s="80">
        <v>0</v>
      </c>
      <c r="AO194" s="80">
        <v>0</v>
      </c>
      <c r="AP194" s="80">
        <v>0</v>
      </c>
      <c r="AQ194" s="80">
        <v>0</v>
      </c>
      <c r="AR194" s="80">
        <v>1584</v>
      </c>
      <c r="AS194" s="80">
        <v>7</v>
      </c>
      <c r="AT194" s="80">
        <v>0</v>
      </c>
      <c r="AU194" s="80">
        <v>0</v>
      </c>
      <c r="AV194" s="80">
        <v>1591</v>
      </c>
      <c r="AW194" s="81"/>
      <c r="AX194" s="80">
        <v>2559</v>
      </c>
      <c r="AY194" s="80">
        <v>2616</v>
      </c>
      <c r="AZ194" s="80">
        <v>0</v>
      </c>
      <c r="BA194" s="80">
        <v>-57</v>
      </c>
      <c r="BB194" s="80">
        <v>-659</v>
      </c>
      <c r="BC194" s="80">
        <v>726</v>
      </c>
      <c r="BD194" s="80">
        <v>0</v>
      </c>
      <c r="BE194" s="80">
        <v>67</v>
      </c>
      <c r="BF194" s="80">
        <v>1900</v>
      </c>
      <c r="BG194" s="80">
        <v>-1530</v>
      </c>
      <c r="BH194" s="80">
        <v>5</v>
      </c>
      <c r="BI194" s="80">
        <v>0</v>
      </c>
      <c r="BJ194" s="80">
        <v>5</v>
      </c>
      <c r="BK194" s="80">
        <v>-1861</v>
      </c>
      <c r="BL194" s="80">
        <v>0</v>
      </c>
      <c r="BM194" s="80">
        <v>661</v>
      </c>
      <c r="BN194" s="80">
        <v>-1200</v>
      </c>
      <c r="BO194" s="80">
        <v>0</v>
      </c>
      <c r="BP194" s="80">
        <v>326</v>
      </c>
      <c r="BQ194" s="80">
        <v>70</v>
      </c>
      <c r="BR194" s="80">
        <v>0</v>
      </c>
      <c r="BS194" s="80">
        <v>149</v>
      </c>
      <c r="BT194" s="80">
        <v>107</v>
      </c>
      <c r="BU194" s="80">
        <v>370</v>
      </c>
      <c r="BV194" s="80">
        <v>4947</v>
      </c>
      <c r="BW194" s="80">
        <v>4577</v>
      </c>
      <c r="BX194" s="81"/>
      <c r="BY194" s="80">
        <v>23456</v>
      </c>
      <c r="BZ194" s="80">
        <v>0</v>
      </c>
      <c r="CA194" s="80">
        <v>0</v>
      </c>
      <c r="CB194" s="80">
        <v>0</v>
      </c>
      <c r="CC194" s="80">
        <v>0</v>
      </c>
      <c r="CD194" s="80">
        <v>20128</v>
      </c>
      <c r="CE194" s="80">
        <v>2096</v>
      </c>
      <c r="CF194" s="80">
        <v>10733</v>
      </c>
      <c r="CG194" s="80">
        <v>6203</v>
      </c>
      <c r="CH194" s="80">
        <v>212</v>
      </c>
      <c r="CI194" s="80">
        <v>15</v>
      </c>
      <c r="CJ194" s="80">
        <v>15</v>
      </c>
      <c r="CK194" s="80">
        <v>869</v>
      </c>
      <c r="CL194" s="80">
        <v>3328</v>
      </c>
      <c r="CM194" s="80">
        <v>3309</v>
      </c>
      <c r="CN194" s="80">
        <v>1006</v>
      </c>
      <c r="CO194" s="80">
        <v>2303</v>
      </c>
      <c r="CP194" s="80">
        <v>0</v>
      </c>
      <c r="CQ194" s="80">
        <v>9</v>
      </c>
      <c r="CR194" s="80">
        <v>0</v>
      </c>
      <c r="CS194" s="80">
        <v>0</v>
      </c>
      <c r="CT194" s="80">
        <v>9</v>
      </c>
      <c r="CU194" s="80">
        <v>10</v>
      </c>
      <c r="CV194" s="80">
        <v>11</v>
      </c>
      <c r="CW194" s="80">
        <v>0</v>
      </c>
      <c r="CX194" s="80">
        <v>11</v>
      </c>
      <c r="CY194" s="80">
        <v>0</v>
      </c>
      <c r="CZ194" s="80">
        <v>5419</v>
      </c>
      <c r="DA194" s="80">
        <v>0</v>
      </c>
      <c r="DB194" s="80">
        <v>0</v>
      </c>
      <c r="DC194" s="80">
        <v>0</v>
      </c>
      <c r="DD194" s="80">
        <v>0</v>
      </c>
      <c r="DE194" s="80">
        <v>0</v>
      </c>
      <c r="DF194" s="80">
        <v>0</v>
      </c>
      <c r="DG194" s="80">
        <v>473</v>
      </c>
      <c r="DH194" s="80">
        <v>0</v>
      </c>
      <c r="DI194" s="80">
        <v>0</v>
      </c>
      <c r="DJ194" s="80">
        <v>0</v>
      </c>
      <c r="DK194" s="80">
        <v>0</v>
      </c>
      <c r="DL194" s="80">
        <v>0</v>
      </c>
      <c r="DM194" s="80">
        <v>473</v>
      </c>
      <c r="DN194" s="80">
        <v>418</v>
      </c>
      <c r="DO194" s="80">
        <v>0</v>
      </c>
      <c r="DP194" s="80">
        <v>55</v>
      </c>
      <c r="DQ194" s="80">
        <v>0</v>
      </c>
      <c r="DR194" s="80">
        <v>4216</v>
      </c>
      <c r="DS194" s="80">
        <v>883</v>
      </c>
      <c r="DT194" s="80">
        <v>918</v>
      </c>
      <c r="DU194" s="80">
        <v>2415</v>
      </c>
      <c r="DV194" s="80">
        <v>0</v>
      </c>
      <c r="DW194" s="80">
        <v>730</v>
      </c>
      <c r="DX194" s="80">
        <v>28886</v>
      </c>
      <c r="DY194" s="80">
        <v>18189</v>
      </c>
      <c r="DZ194" s="80">
        <v>9181</v>
      </c>
      <c r="EA194" s="80">
        <v>0</v>
      </c>
      <c r="EB194" s="80">
        <v>0</v>
      </c>
      <c r="EC194" s="80">
        <v>7417</v>
      </c>
      <c r="ED194" s="80">
        <v>1591</v>
      </c>
      <c r="EE194" s="80">
        <v>356</v>
      </c>
      <c r="EF194" s="80">
        <v>356</v>
      </c>
      <c r="EG194" s="80">
        <v>0</v>
      </c>
      <c r="EH194" s="80">
        <v>0</v>
      </c>
      <c r="EI194" s="80">
        <v>0</v>
      </c>
      <c r="EJ194" s="80">
        <v>0</v>
      </c>
      <c r="EK194" s="80">
        <v>98</v>
      </c>
      <c r="EL194" s="80">
        <v>0</v>
      </c>
      <c r="EM194" s="80">
        <v>62</v>
      </c>
      <c r="EN194" s="80">
        <v>36</v>
      </c>
      <c r="EO194" s="80">
        <v>10243</v>
      </c>
      <c r="EP194" s="80">
        <v>5068</v>
      </c>
      <c r="EQ194" s="80">
        <v>0</v>
      </c>
      <c r="ER194" s="80">
        <v>4245</v>
      </c>
      <c r="ES194" s="80">
        <v>113</v>
      </c>
      <c r="ET194" s="80">
        <v>4132</v>
      </c>
      <c r="EU194" s="80">
        <v>0</v>
      </c>
      <c r="EV194" s="80">
        <v>0</v>
      </c>
      <c r="EW194" s="80">
        <v>198</v>
      </c>
      <c r="EX194" s="80">
        <v>0</v>
      </c>
      <c r="EY194" s="80">
        <v>6</v>
      </c>
      <c r="EZ194" s="80">
        <v>0</v>
      </c>
      <c r="FA194" s="80">
        <v>619</v>
      </c>
      <c r="FB194" s="80">
        <v>0</v>
      </c>
      <c r="FC194" s="80">
        <v>0</v>
      </c>
      <c r="FD194" s="80">
        <v>5175</v>
      </c>
      <c r="FE194" s="80">
        <v>0</v>
      </c>
      <c r="FF194" s="80">
        <v>2346</v>
      </c>
      <c r="FG194" s="80">
        <v>1170</v>
      </c>
      <c r="FH194" s="80">
        <v>1176</v>
      </c>
      <c r="FI194" s="80">
        <v>0</v>
      </c>
      <c r="FJ194" s="80">
        <v>0</v>
      </c>
      <c r="FK194" s="80">
        <v>65</v>
      </c>
      <c r="FL194" s="80">
        <v>0</v>
      </c>
      <c r="FM194" s="80">
        <v>81</v>
      </c>
      <c r="FN194" s="80">
        <v>578</v>
      </c>
      <c r="FO194" s="80">
        <v>965</v>
      </c>
      <c r="FP194" s="80">
        <v>1140</v>
      </c>
      <c r="FQ194" s="80">
        <v>28886</v>
      </c>
      <c r="FR194" s="80">
        <v>6344</v>
      </c>
      <c r="FS194" s="80">
        <v>445</v>
      </c>
      <c r="FT194" s="100">
        <v>15372.683018797392</v>
      </c>
      <c r="FU194" s="100"/>
      <c r="FV194" s="100">
        <v>5868</v>
      </c>
      <c r="FW194" s="67">
        <v>1012</v>
      </c>
      <c r="FX194" s="100">
        <f t="shared" si="15"/>
        <v>-13909</v>
      </c>
      <c r="FY194" s="100">
        <f t="shared" si="16"/>
        <v>-20949</v>
      </c>
      <c r="FZ194" s="100">
        <v>11843.093481344909</v>
      </c>
      <c r="GA194" s="67">
        <v>7040</v>
      </c>
      <c r="GB194" s="58">
        <f t="shared" si="13"/>
        <v>1172</v>
      </c>
      <c r="GC194" s="67">
        <v>1031</v>
      </c>
      <c r="GD194" s="100">
        <v>941</v>
      </c>
      <c r="GE194" s="100">
        <v>340</v>
      </c>
      <c r="GF194" s="58">
        <f t="shared" si="14"/>
        <v>601</v>
      </c>
      <c r="GG194" s="100">
        <v>-6236.0730000000003</v>
      </c>
      <c r="GH194" s="100">
        <v>-279.82205000000016</v>
      </c>
      <c r="GI194" s="100">
        <v>-5533.6270497559099</v>
      </c>
      <c r="GJ194" s="67">
        <f t="shared" si="17"/>
        <v>19</v>
      </c>
      <c r="GK194" s="67"/>
      <c r="GM194" s="96"/>
    </row>
    <row r="195" spans="1:195" ht="13.5" customHeight="1" x14ac:dyDescent="0.2">
      <c r="A195" s="74">
        <v>593</v>
      </c>
      <c r="B195" s="75" t="s">
        <v>130</v>
      </c>
      <c r="C195" s="75" t="s">
        <v>130</v>
      </c>
      <c r="D195" s="76"/>
      <c r="E195" s="77" t="s">
        <v>220</v>
      </c>
      <c r="F195" s="78">
        <v>4</v>
      </c>
      <c r="G195" s="79">
        <v>18801</v>
      </c>
      <c r="H195" s="80">
        <v>23870</v>
      </c>
      <c r="I195" s="80">
        <v>7708</v>
      </c>
      <c r="J195" s="80">
        <v>9014</v>
      </c>
      <c r="K195" s="80">
        <v>1875</v>
      </c>
      <c r="L195" s="80">
        <v>5273</v>
      </c>
      <c r="M195" s="80">
        <v>0</v>
      </c>
      <c r="N195" s="80">
        <v>154</v>
      </c>
      <c r="O195" s="80">
        <v>135280</v>
      </c>
      <c r="P195" s="80">
        <v>53699</v>
      </c>
      <c r="Q195" s="80">
        <v>39555</v>
      </c>
      <c r="R195" s="80">
        <v>14144</v>
      </c>
      <c r="S195" s="80">
        <v>11894</v>
      </c>
      <c r="T195" s="80">
        <v>2250</v>
      </c>
      <c r="U195" s="80">
        <v>63906</v>
      </c>
      <c r="V195" s="80">
        <v>9003</v>
      </c>
      <c r="W195" s="80">
        <v>5601</v>
      </c>
      <c r="X195" s="80">
        <v>3071</v>
      </c>
      <c r="Y195" s="80">
        <v>-111256</v>
      </c>
      <c r="Z195" s="80">
        <v>67328</v>
      </c>
      <c r="AA195" s="80">
        <v>58853</v>
      </c>
      <c r="AB195" s="80">
        <v>4706</v>
      </c>
      <c r="AC195" s="80">
        <v>3769</v>
      </c>
      <c r="AD195" s="80">
        <v>46303</v>
      </c>
      <c r="AE195" s="80">
        <v>-33</v>
      </c>
      <c r="AF195" s="80">
        <v>26</v>
      </c>
      <c r="AG195" s="80">
        <v>565</v>
      </c>
      <c r="AH195" s="80">
        <v>529</v>
      </c>
      <c r="AI195" s="80">
        <v>596</v>
      </c>
      <c r="AJ195" s="80">
        <v>28</v>
      </c>
      <c r="AK195" s="80">
        <v>2342</v>
      </c>
      <c r="AL195" s="80">
        <v>6290</v>
      </c>
      <c r="AM195" s="80">
        <v>6290</v>
      </c>
      <c r="AN195" s="80">
        <v>0</v>
      </c>
      <c r="AO195" s="80">
        <v>6928</v>
      </c>
      <c r="AP195" s="80">
        <v>6928</v>
      </c>
      <c r="AQ195" s="80">
        <v>0</v>
      </c>
      <c r="AR195" s="80">
        <v>2980</v>
      </c>
      <c r="AS195" s="80">
        <v>35</v>
      </c>
      <c r="AT195" s="80">
        <v>0</v>
      </c>
      <c r="AU195" s="80">
        <v>0</v>
      </c>
      <c r="AV195" s="80">
        <v>3015</v>
      </c>
      <c r="AW195" s="81"/>
      <c r="AX195" s="80">
        <v>2305</v>
      </c>
      <c r="AY195" s="80">
        <v>2342</v>
      </c>
      <c r="AZ195" s="80">
        <v>6928</v>
      </c>
      <c r="BA195" s="80">
        <v>-6965</v>
      </c>
      <c r="BB195" s="80">
        <v>6924</v>
      </c>
      <c r="BC195" s="80">
        <v>16090</v>
      </c>
      <c r="BD195" s="80">
        <v>2514</v>
      </c>
      <c r="BE195" s="80">
        <v>20500</v>
      </c>
      <c r="BF195" s="80">
        <v>9229</v>
      </c>
      <c r="BG195" s="80">
        <v>-9703</v>
      </c>
      <c r="BH195" s="80">
        <v>-11441</v>
      </c>
      <c r="BI195" s="80">
        <v>11650</v>
      </c>
      <c r="BJ195" s="80">
        <v>209</v>
      </c>
      <c r="BK195" s="80">
        <v>3902</v>
      </c>
      <c r="BL195" s="80">
        <v>16900</v>
      </c>
      <c r="BM195" s="80">
        <v>12998</v>
      </c>
      <c r="BN195" s="80">
        <v>0</v>
      </c>
      <c r="BO195" s="80">
        <v>0</v>
      </c>
      <c r="BP195" s="80">
        <v>-2164</v>
      </c>
      <c r="BQ195" s="80">
        <v>-12</v>
      </c>
      <c r="BR195" s="80">
        <v>129</v>
      </c>
      <c r="BS195" s="80">
        <v>1399</v>
      </c>
      <c r="BT195" s="80">
        <v>-3680</v>
      </c>
      <c r="BU195" s="80">
        <v>-474</v>
      </c>
      <c r="BV195" s="80">
        <v>384</v>
      </c>
      <c r="BW195" s="80">
        <v>858</v>
      </c>
      <c r="BX195" s="81"/>
      <c r="BY195" s="80">
        <v>143250</v>
      </c>
      <c r="BZ195" s="80">
        <v>820</v>
      </c>
      <c r="CA195" s="80">
        <v>51</v>
      </c>
      <c r="CB195" s="80">
        <v>769</v>
      </c>
      <c r="CC195" s="80">
        <v>0</v>
      </c>
      <c r="CD195" s="80">
        <v>104665</v>
      </c>
      <c r="CE195" s="80">
        <v>24832</v>
      </c>
      <c r="CF195" s="80">
        <v>66189</v>
      </c>
      <c r="CG195" s="80">
        <v>11044</v>
      </c>
      <c r="CH195" s="80">
        <v>1457</v>
      </c>
      <c r="CI195" s="80">
        <v>9</v>
      </c>
      <c r="CJ195" s="80">
        <v>9</v>
      </c>
      <c r="CK195" s="80">
        <v>1134</v>
      </c>
      <c r="CL195" s="80">
        <v>37765</v>
      </c>
      <c r="CM195" s="80">
        <v>24330</v>
      </c>
      <c r="CN195" s="80">
        <v>3636</v>
      </c>
      <c r="CO195" s="80">
        <v>20694</v>
      </c>
      <c r="CP195" s="80">
        <v>0</v>
      </c>
      <c r="CQ195" s="80">
        <v>13226</v>
      </c>
      <c r="CR195" s="80">
        <v>0</v>
      </c>
      <c r="CS195" s="80">
        <v>0</v>
      </c>
      <c r="CT195" s="80">
        <v>13226</v>
      </c>
      <c r="CU195" s="80">
        <v>209</v>
      </c>
      <c r="CV195" s="80">
        <v>35</v>
      </c>
      <c r="CW195" s="80">
        <v>9</v>
      </c>
      <c r="CX195" s="80">
        <v>16</v>
      </c>
      <c r="CY195" s="80">
        <v>10</v>
      </c>
      <c r="CZ195" s="80">
        <v>4975</v>
      </c>
      <c r="DA195" s="80">
        <v>0</v>
      </c>
      <c r="DB195" s="80">
        <v>0</v>
      </c>
      <c r="DC195" s="80">
        <v>0</v>
      </c>
      <c r="DD195" s="80">
        <v>0</v>
      </c>
      <c r="DE195" s="80">
        <v>0</v>
      </c>
      <c r="DF195" s="80">
        <v>0</v>
      </c>
      <c r="DG195" s="80">
        <v>4591</v>
      </c>
      <c r="DH195" s="80">
        <v>679</v>
      </c>
      <c r="DI195" s="80">
        <v>0</v>
      </c>
      <c r="DJ195" s="80">
        <v>0</v>
      </c>
      <c r="DK195" s="80">
        <v>679</v>
      </c>
      <c r="DL195" s="80">
        <v>0</v>
      </c>
      <c r="DM195" s="80">
        <v>3912</v>
      </c>
      <c r="DN195" s="80">
        <v>2078</v>
      </c>
      <c r="DO195" s="80">
        <v>40</v>
      </c>
      <c r="DP195" s="80">
        <v>1183</v>
      </c>
      <c r="DQ195" s="80">
        <v>611</v>
      </c>
      <c r="DR195" s="80">
        <v>0</v>
      </c>
      <c r="DS195" s="80">
        <v>0</v>
      </c>
      <c r="DT195" s="80">
        <v>0</v>
      </c>
      <c r="DU195" s="80">
        <v>0</v>
      </c>
      <c r="DV195" s="80">
        <v>0</v>
      </c>
      <c r="DW195" s="80">
        <v>384</v>
      </c>
      <c r="DX195" s="80">
        <v>148260</v>
      </c>
      <c r="DY195" s="80">
        <v>59407</v>
      </c>
      <c r="DZ195" s="80">
        <v>58501</v>
      </c>
      <c r="EA195" s="80">
        <v>0</v>
      </c>
      <c r="EB195" s="80">
        <v>139</v>
      </c>
      <c r="EC195" s="80">
        <v>-2248</v>
      </c>
      <c r="ED195" s="80">
        <v>3015</v>
      </c>
      <c r="EE195" s="80">
        <v>256</v>
      </c>
      <c r="EF195" s="80">
        <v>256</v>
      </c>
      <c r="EG195" s="80">
        <v>0</v>
      </c>
      <c r="EH195" s="80">
        <v>920</v>
      </c>
      <c r="EI195" s="80">
        <v>920</v>
      </c>
      <c r="EJ195" s="80">
        <v>0</v>
      </c>
      <c r="EK195" s="80">
        <v>564</v>
      </c>
      <c r="EL195" s="80">
        <v>63</v>
      </c>
      <c r="EM195" s="80">
        <v>351</v>
      </c>
      <c r="EN195" s="80">
        <v>150</v>
      </c>
      <c r="EO195" s="80">
        <v>87114</v>
      </c>
      <c r="EP195" s="80">
        <v>38722</v>
      </c>
      <c r="EQ195" s="80">
        <v>0</v>
      </c>
      <c r="ER195" s="80">
        <v>38687</v>
      </c>
      <c r="ES195" s="80">
        <v>234</v>
      </c>
      <c r="ET195" s="80">
        <v>38453</v>
      </c>
      <c r="EU195" s="80">
        <v>0</v>
      </c>
      <c r="EV195" s="80">
        <v>0</v>
      </c>
      <c r="EW195" s="80">
        <v>0</v>
      </c>
      <c r="EX195" s="80">
        <v>0</v>
      </c>
      <c r="EY195" s="80">
        <v>0</v>
      </c>
      <c r="EZ195" s="80">
        <v>0</v>
      </c>
      <c r="FA195" s="80">
        <v>35</v>
      </c>
      <c r="FB195" s="80">
        <v>0</v>
      </c>
      <c r="FC195" s="80">
        <v>0</v>
      </c>
      <c r="FD195" s="80">
        <v>48392</v>
      </c>
      <c r="FE195" s="80">
        <v>0</v>
      </c>
      <c r="FF195" s="80">
        <v>32844</v>
      </c>
      <c r="FG195" s="80">
        <v>25143</v>
      </c>
      <c r="FH195" s="80">
        <v>7701</v>
      </c>
      <c r="FI195" s="80">
        <v>0</v>
      </c>
      <c r="FJ195" s="80">
        <v>0</v>
      </c>
      <c r="FK195" s="80">
        <v>0</v>
      </c>
      <c r="FL195" s="80">
        <v>0</v>
      </c>
      <c r="FM195" s="80">
        <v>11</v>
      </c>
      <c r="FN195" s="80">
        <v>7821</v>
      </c>
      <c r="FO195" s="80">
        <v>989</v>
      </c>
      <c r="FP195" s="80">
        <v>6727</v>
      </c>
      <c r="FQ195" s="80">
        <v>148261</v>
      </c>
      <c r="FR195" s="80">
        <v>14842</v>
      </c>
      <c r="FS195" s="80">
        <v>3388</v>
      </c>
      <c r="FT195" s="100">
        <v>58903.077818416343</v>
      </c>
      <c r="FU195" s="100"/>
      <c r="FV195" s="100">
        <v>27541</v>
      </c>
      <c r="FW195" s="67">
        <v>6106</v>
      </c>
      <c r="FX195" s="100">
        <f t="shared" si="15"/>
        <v>-65401</v>
      </c>
      <c r="FY195" s="100">
        <f t="shared" si="16"/>
        <v>-104966</v>
      </c>
      <c r="FZ195" s="100">
        <v>79096.206025093867</v>
      </c>
      <c r="GA195" s="67">
        <v>39565</v>
      </c>
      <c r="GB195" s="58">
        <f t="shared" si="13"/>
        <v>12024</v>
      </c>
      <c r="GC195" s="67">
        <v>6286</v>
      </c>
      <c r="GD195" s="100">
        <v>8968</v>
      </c>
      <c r="GE195" s="100">
        <v>1291</v>
      </c>
      <c r="GF195" s="58">
        <f t="shared" si="14"/>
        <v>7677</v>
      </c>
      <c r="GG195" s="100">
        <v>-33005.991999999998</v>
      </c>
      <c r="GH195" s="100">
        <v>-1338.4755500000008</v>
      </c>
      <c r="GI195" s="100">
        <v>-45846.003476487946</v>
      </c>
      <c r="GJ195" s="67">
        <f t="shared" si="17"/>
        <v>180</v>
      </c>
      <c r="GK195" s="67"/>
      <c r="GM195" s="96"/>
    </row>
    <row r="196" spans="1:195" ht="13.5" customHeight="1" x14ac:dyDescent="0.2">
      <c r="A196" s="74">
        <v>595</v>
      </c>
      <c r="B196" s="75" t="s">
        <v>131</v>
      </c>
      <c r="C196" s="75" t="s">
        <v>131</v>
      </c>
      <c r="D196" s="76"/>
      <c r="E196" s="77" t="s">
        <v>239</v>
      </c>
      <c r="F196" s="78">
        <v>2</v>
      </c>
      <c r="G196" s="79">
        <v>4740</v>
      </c>
      <c r="H196" s="80">
        <v>4604</v>
      </c>
      <c r="I196" s="80">
        <v>1165</v>
      </c>
      <c r="J196" s="80">
        <v>1581</v>
      </c>
      <c r="K196" s="80">
        <v>457</v>
      </c>
      <c r="L196" s="80">
        <v>1401</v>
      </c>
      <c r="M196" s="80">
        <v>0</v>
      </c>
      <c r="N196" s="80">
        <v>16</v>
      </c>
      <c r="O196" s="80">
        <v>37204</v>
      </c>
      <c r="P196" s="80">
        <v>13049</v>
      </c>
      <c r="Q196" s="80">
        <v>9503</v>
      </c>
      <c r="R196" s="80">
        <v>3546</v>
      </c>
      <c r="S196" s="80">
        <v>3011</v>
      </c>
      <c r="T196" s="80">
        <v>535</v>
      </c>
      <c r="U196" s="80">
        <v>20451</v>
      </c>
      <c r="V196" s="80">
        <v>1922</v>
      </c>
      <c r="W196" s="80">
        <v>1385</v>
      </c>
      <c r="X196" s="80">
        <v>397</v>
      </c>
      <c r="Y196" s="80">
        <v>-32584</v>
      </c>
      <c r="Z196" s="80">
        <v>13605</v>
      </c>
      <c r="AA196" s="80">
        <v>11000</v>
      </c>
      <c r="AB196" s="80">
        <v>1452</v>
      </c>
      <c r="AC196" s="80">
        <v>1153</v>
      </c>
      <c r="AD196" s="80">
        <v>19024</v>
      </c>
      <c r="AE196" s="80">
        <v>405</v>
      </c>
      <c r="AF196" s="80">
        <v>65</v>
      </c>
      <c r="AG196" s="80">
        <v>459</v>
      </c>
      <c r="AH196" s="80">
        <v>374</v>
      </c>
      <c r="AI196" s="80">
        <v>116</v>
      </c>
      <c r="AJ196" s="80">
        <v>3</v>
      </c>
      <c r="AK196" s="80">
        <v>450</v>
      </c>
      <c r="AL196" s="80">
        <v>1179</v>
      </c>
      <c r="AM196" s="80">
        <v>1179</v>
      </c>
      <c r="AN196" s="80">
        <v>0</v>
      </c>
      <c r="AO196" s="80">
        <v>345</v>
      </c>
      <c r="AP196" s="80">
        <v>352</v>
      </c>
      <c r="AQ196" s="80">
        <v>7</v>
      </c>
      <c r="AR196" s="80">
        <v>-384</v>
      </c>
      <c r="AS196" s="80">
        <v>0</v>
      </c>
      <c r="AT196" s="80">
        <v>0</v>
      </c>
      <c r="AU196" s="80">
        <v>0</v>
      </c>
      <c r="AV196" s="80">
        <v>-384</v>
      </c>
      <c r="AW196" s="81"/>
      <c r="AX196" s="80">
        <v>457</v>
      </c>
      <c r="AY196" s="80">
        <v>450</v>
      </c>
      <c r="AZ196" s="80">
        <v>345</v>
      </c>
      <c r="BA196" s="80">
        <v>-338</v>
      </c>
      <c r="BB196" s="80">
        <v>-2712</v>
      </c>
      <c r="BC196" s="80">
        <v>3371</v>
      </c>
      <c r="BD196" s="80">
        <v>31</v>
      </c>
      <c r="BE196" s="80">
        <v>628</v>
      </c>
      <c r="BF196" s="80">
        <v>-2255</v>
      </c>
      <c r="BG196" s="80">
        <v>76</v>
      </c>
      <c r="BH196" s="80">
        <v>33</v>
      </c>
      <c r="BI196" s="80">
        <v>0</v>
      </c>
      <c r="BJ196" s="80">
        <v>33</v>
      </c>
      <c r="BK196" s="80">
        <v>-1284</v>
      </c>
      <c r="BL196" s="80">
        <v>186</v>
      </c>
      <c r="BM196" s="80">
        <v>1575</v>
      </c>
      <c r="BN196" s="80">
        <v>105</v>
      </c>
      <c r="BO196" s="80">
        <v>0</v>
      </c>
      <c r="BP196" s="80">
        <v>1327</v>
      </c>
      <c r="BQ196" s="80">
        <v>4</v>
      </c>
      <c r="BR196" s="80">
        <v>0</v>
      </c>
      <c r="BS196" s="80">
        <v>779</v>
      </c>
      <c r="BT196" s="80">
        <v>544</v>
      </c>
      <c r="BU196" s="80">
        <v>-2178</v>
      </c>
      <c r="BV196" s="80">
        <v>1701</v>
      </c>
      <c r="BW196" s="80">
        <v>3879</v>
      </c>
      <c r="BX196" s="81"/>
      <c r="BY196" s="80">
        <v>28151</v>
      </c>
      <c r="BZ196" s="80">
        <v>164</v>
      </c>
      <c r="CA196" s="80">
        <v>24</v>
      </c>
      <c r="CB196" s="80">
        <v>140</v>
      </c>
      <c r="CC196" s="80">
        <v>0</v>
      </c>
      <c r="CD196" s="80">
        <v>21528</v>
      </c>
      <c r="CE196" s="80">
        <v>3552</v>
      </c>
      <c r="CF196" s="80">
        <v>12653</v>
      </c>
      <c r="CG196" s="80">
        <v>4910</v>
      </c>
      <c r="CH196" s="80">
        <v>203</v>
      </c>
      <c r="CI196" s="80">
        <v>46</v>
      </c>
      <c r="CJ196" s="80">
        <v>46</v>
      </c>
      <c r="CK196" s="80">
        <v>164</v>
      </c>
      <c r="CL196" s="80">
        <v>6459</v>
      </c>
      <c r="CM196" s="80">
        <v>5600</v>
      </c>
      <c r="CN196" s="80">
        <v>2898</v>
      </c>
      <c r="CO196" s="80">
        <v>2702</v>
      </c>
      <c r="CP196" s="80">
        <v>0</v>
      </c>
      <c r="CQ196" s="80">
        <v>859</v>
      </c>
      <c r="CR196" s="80">
        <v>0</v>
      </c>
      <c r="CS196" s="80">
        <v>0</v>
      </c>
      <c r="CT196" s="80">
        <v>859</v>
      </c>
      <c r="CU196" s="80">
        <v>0</v>
      </c>
      <c r="CV196" s="80">
        <v>155</v>
      </c>
      <c r="CW196" s="80">
        <v>0</v>
      </c>
      <c r="CX196" s="80">
        <v>0</v>
      </c>
      <c r="CY196" s="80">
        <v>155</v>
      </c>
      <c r="CZ196" s="80">
        <v>2388</v>
      </c>
      <c r="DA196" s="80">
        <v>0</v>
      </c>
      <c r="DB196" s="80">
        <v>0</v>
      </c>
      <c r="DC196" s="80">
        <v>0</v>
      </c>
      <c r="DD196" s="80">
        <v>0</v>
      </c>
      <c r="DE196" s="80">
        <v>0</v>
      </c>
      <c r="DF196" s="80">
        <v>0</v>
      </c>
      <c r="DG196" s="80">
        <v>687</v>
      </c>
      <c r="DH196" s="80">
        <v>15</v>
      </c>
      <c r="DI196" s="80">
        <v>0</v>
      </c>
      <c r="DJ196" s="80">
        <v>5</v>
      </c>
      <c r="DK196" s="80">
        <v>10</v>
      </c>
      <c r="DL196" s="80">
        <v>0</v>
      </c>
      <c r="DM196" s="80">
        <v>672</v>
      </c>
      <c r="DN196" s="80">
        <v>303</v>
      </c>
      <c r="DO196" s="80">
        <v>0</v>
      </c>
      <c r="DP196" s="80">
        <v>369</v>
      </c>
      <c r="DQ196" s="80">
        <v>0</v>
      </c>
      <c r="DR196" s="80">
        <v>1304</v>
      </c>
      <c r="DS196" s="80">
        <v>0</v>
      </c>
      <c r="DT196" s="80">
        <v>1304</v>
      </c>
      <c r="DU196" s="80">
        <v>0</v>
      </c>
      <c r="DV196" s="80">
        <v>0</v>
      </c>
      <c r="DW196" s="80">
        <v>397</v>
      </c>
      <c r="DX196" s="80">
        <v>30694</v>
      </c>
      <c r="DY196" s="80">
        <v>17475</v>
      </c>
      <c r="DZ196" s="80">
        <v>19314</v>
      </c>
      <c r="EA196" s="80">
        <v>0</v>
      </c>
      <c r="EB196" s="80">
        <v>0</v>
      </c>
      <c r="EC196" s="80">
        <v>-1455</v>
      </c>
      <c r="ED196" s="80">
        <v>-384</v>
      </c>
      <c r="EE196" s="80">
        <v>0</v>
      </c>
      <c r="EF196" s="80">
        <v>0</v>
      </c>
      <c r="EG196" s="80">
        <v>0</v>
      </c>
      <c r="EH196" s="80">
        <v>0</v>
      </c>
      <c r="EI196" s="80">
        <v>0</v>
      </c>
      <c r="EJ196" s="80">
        <v>0</v>
      </c>
      <c r="EK196" s="80">
        <v>167</v>
      </c>
      <c r="EL196" s="80">
        <v>0</v>
      </c>
      <c r="EM196" s="80">
        <v>0</v>
      </c>
      <c r="EN196" s="80">
        <v>167</v>
      </c>
      <c r="EO196" s="80">
        <v>13052</v>
      </c>
      <c r="EP196" s="80">
        <v>7627</v>
      </c>
      <c r="EQ196" s="80">
        <v>0</v>
      </c>
      <c r="ER196" s="80">
        <v>7585</v>
      </c>
      <c r="ES196" s="80">
        <v>595</v>
      </c>
      <c r="ET196" s="80">
        <v>6990</v>
      </c>
      <c r="EU196" s="80">
        <v>0</v>
      </c>
      <c r="EV196" s="80">
        <v>0</v>
      </c>
      <c r="EW196" s="80">
        <v>1</v>
      </c>
      <c r="EX196" s="80">
        <v>0</v>
      </c>
      <c r="EY196" s="80">
        <v>0</v>
      </c>
      <c r="EZ196" s="80">
        <v>0</v>
      </c>
      <c r="FA196" s="80">
        <v>0</v>
      </c>
      <c r="FB196" s="80">
        <v>0</v>
      </c>
      <c r="FC196" s="80">
        <v>41</v>
      </c>
      <c r="FD196" s="80">
        <v>5425</v>
      </c>
      <c r="FE196" s="80">
        <v>0</v>
      </c>
      <c r="FF196" s="80">
        <v>1546</v>
      </c>
      <c r="FG196" s="80">
        <v>466</v>
      </c>
      <c r="FH196" s="80">
        <v>1080</v>
      </c>
      <c r="FI196" s="80">
        <v>0</v>
      </c>
      <c r="FJ196" s="80">
        <v>0</v>
      </c>
      <c r="FK196" s="80">
        <v>29</v>
      </c>
      <c r="FL196" s="80">
        <v>0</v>
      </c>
      <c r="FM196" s="80">
        <v>134</v>
      </c>
      <c r="FN196" s="80">
        <v>967</v>
      </c>
      <c r="FO196" s="80">
        <v>330</v>
      </c>
      <c r="FP196" s="80">
        <v>2419</v>
      </c>
      <c r="FQ196" s="80">
        <v>30694</v>
      </c>
      <c r="FR196" s="80">
        <v>985</v>
      </c>
      <c r="FS196" s="80">
        <v>1275</v>
      </c>
      <c r="FT196" s="100">
        <v>15879.457625174073</v>
      </c>
      <c r="FU196" s="100"/>
      <c r="FV196" s="100">
        <v>6064</v>
      </c>
      <c r="FW196" s="67">
        <v>1143</v>
      </c>
      <c r="FX196" s="100">
        <f t="shared" si="15"/>
        <v>-23470</v>
      </c>
      <c r="FY196" s="100">
        <f t="shared" si="16"/>
        <v>-31405</v>
      </c>
      <c r="FZ196" s="100">
        <v>22489.054276525985</v>
      </c>
      <c r="GA196" s="67">
        <v>7935</v>
      </c>
      <c r="GB196" s="58">
        <f t="shared" si="13"/>
        <v>1871</v>
      </c>
      <c r="GC196" s="67">
        <v>1179</v>
      </c>
      <c r="GD196" s="100">
        <v>1582</v>
      </c>
      <c r="GE196" s="100">
        <v>274</v>
      </c>
      <c r="GF196" s="58">
        <f t="shared" si="14"/>
        <v>1308</v>
      </c>
      <c r="GG196" s="100">
        <v>-6207.42</v>
      </c>
      <c r="GH196" s="100">
        <v>-436.09480000000019</v>
      </c>
      <c r="GI196" s="100">
        <v>-16069.585405865688</v>
      </c>
      <c r="GJ196" s="67">
        <f t="shared" si="17"/>
        <v>36</v>
      </c>
      <c r="GK196" s="67"/>
      <c r="GM196" s="96"/>
    </row>
    <row r="197" spans="1:195" ht="13.5" customHeight="1" x14ac:dyDescent="0.2">
      <c r="A197" s="74">
        <v>601</v>
      </c>
      <c r="B197" s="75" t="s">
        <v>132</v>
      </c>
      <c r="C197" s="75" t="s">
        <v>132</v>
      </c>
      <c r="D197" s="76"/>
      <c r="E197" s="77" t="s">
        <v>231</v>
      </c>
      <c r="F197" s="78">
        <v>2</v>
      </c>
      <c r="G197" s="79">
        <v>4221</v>
      </c>
      <c r="H197" s="80">
        <v>14667</v>
      </c>
      <c r="I197" s="80">
        <v>12033</v>
      </c>
      <c r="J197" s="80">
        <v>499</v>
      </c>
      <c r="K197" s="80">
        <v>442</v>
      </c>
      <c r="L197" s="80">
        <v>1693</v>
      </c>
      <c r="M197" s="80">
        <v>0</v>
      </c>
      <c r="N197" s="80">
        <v>0</v>
      </c>
      <c r="O197" s="80">
        <v>41766</v>
      </c>
      <c r="P197" s="80">
        <v>14170</v>
      </c>
      <c r="Q197" s="80">
        <v>10739</v>
      </c>
      <c r="R197" s="80">
        <v>3431</v>
      </c>
      <c r="S197" s="80">
        <v>2869</v>
      </c>
      <c r="T197" s="80">
        <v>562</v>
      </c>
      <c r="U197" s="80">
        <v>22770</v>
      </c>
      <c r="V197" s="80">
        <v>2145</v>
      </c>
      <c r="W197" s="80">
        <v>803</v>
      </c>
      <c r="X197" s="80">
        <v>1878</v>
      </c>
      <c r="Y197" s="80">
        <v>-27099</v>
      </c>
      <c r="Z197" s="80">
        <v>12480</v>
      </c>
      <c r="AA197" s="80">
        <v>10132</v>
      </c>
      <c r="AB197" s="80">
        <v>1473</v>
      </c>
      <c r="AC197" s="80">
        <v>875</v>
      </c>
      <c r="AD197" s="80">
        <v>17259</v>
      </c>
      <c r="AE197" s="80">
        <v>28</v>
      </c>
      <c r="AF197" s="80">
        <v>315</v>
      </c>
      <c r="AG197" s="80">
        <v>69</v>
      </c>
      <c r="AH197" s="80">
        <v>0</v>
      </c>
      <c r="AI197" s="80">
        <v>179</v>
      </c>
      <c r="AJ197" s="80">
        <v>177</v>
      </c>
      <c r="AK197" s="80">
        <v>2668</v>
      </c>
      <c r="AL197" s="80">
        <v>1499</v>
      </c>
      <c r="AM197" s="80">
        <v>1499</v>
      </c>
      <c r="AN197" s="80">
        <v>0</v>
      </c>
      <c r="AO197" s="80">
        <v>0</v>
      </c>
      <c r="AP197" s="80">
        <v>0</v>
      </c>
      <c r="AQ197" s="80">
        <v>0</v>
      </c>
      <c r="AR197" s="80">
        <v>1169</v>
      </c>
      <c r="AS197" s="80">
        <v>107</v>
      </c>
      <c r="AT197" s="80">
        <v>0</v>
      </c>
      <c r="AU197" s="80">
        <v>0</v>
      </c>
      <c r="AV197" s="80">
        <v>1276</v>
      </c>
      <c r="AW197" s="81"/>
      <c r="AX197" s="80">
        <v>2641</v>
      </c>
      <c r="AY197" s="80">
        <v>2668</v>
      </c>
      <c r="AZ197" s="80">
        <v>0</v>
      </c>
      <c r="BA197" s="80">
        <v>-27</v>
      </c>
      <c r="BB197" s="80">
        <v>-926</v>
      </c>
      <c r="BC197" s="80">
        <v>1033</v>
      </c>
      <c r="BD197" s="80">
        <v>0</v>
      </c>
      <c r="BE197" s="80">
        <v>107</v>
      </c>
      <c r="BF197" s="80">
        <v>1715</v>
      </c>
      <c r="BG197" s="80">
        <v>-2611</v>
      </c>
      <c r="BH197" s="80">
        <v>0</v>
      </c>
      <c r="BI197" s="80">
        <v>0</v>
      </c>
      <c r="BJ197" s="80">
        <v>0</v>
      </c>
      <c r="BK197" s="80">
        <v>-1194</v>
      </c>
      <c r="BL197" s="80">
        <v>0</v>
      </c>
      <c r="BM197" s="80">
        <v>1194</v>
      </c>
      <c r="BN197" s="80">
        <v>0</v>
      </c>
      <c r="BO197" s="80">
        <v>0</v>
      </c>
      <c r="BP197" s="80">
        <v>-1417</v>
      </c>
      <c r="BQ197" s="80">
        <v>-16</v>
      </c>
      <c r="BR197" s="80">
        <v>0</v>
      </c>
      <c r="BS197" s="80">
        <v>106</v>
      </c>
      <c r="BT197" s="80">
        <v>-1507</v>
      </c>
      <c r="BU197" s="80">
        <v>-896</v>
      </c>
      <c r="BV197" s="80">
        <v>8640</v>
      </c>
      <c r="BW197" s="80">
        <v>9536</v>
      </c>
      <c r="BX197" s="81"/>
      <c r="BY197" s="80">
        <v>35122</v>
      </c>
      <c r="BZ197" s="80">
        <v>445</v>
      </c>
      <c r="CA197" s="80">
        <v>62</v>
      </c>
      <c r="CB197" s="80">
        <v>383</v>
      </c>
      <c r="CC197" s="80">
        <v>0</v>
      </c>
      <c r="CD197" s="80">
        <v>27314</v>
      </c>
      <c r="CE197" s="80">
        <v>3179</v>
      </c>
      <c r="CF197" s="80">
        <v>20356</v>
      </c>
      <c r="CG197" s="80">
        <v>2543</v>
      </c>
      <c r="CH197" s="80">
        <v>365</v>
      </c>
      <c r="CI197" s="80">
        <v>0</v>
      </c>
      <c r="CJ197" s="80">
        <v>0</v>
      </c>
      <c r="CK197" s="80">
        <v>871</v>
      </c>
      <c r="CL197" s="80">
        <v>7363</v>
      </c>
      <c r="CM197" s="80">
        <v>6863</v>
      </c>
      <c r="CN197" s="80">
        <v>1472</v>
      </c>
      <c r="CO197" s="80">
        <v>5391</v>
      </c>
      <c r="CP197" s="80">
        <v>0</v>
      </c>
      <c r="CQ197" s="80">
        <v>0</v>
      </c>
      <c r="CR197" s="80">
        <v>0</v>
      </c>
      <c r="CS197" s="80">
        <v>0</v>
      </c>
      <c r="CT197" s="80">
        <v>0</v>
      </c>
      <c r="CU197" s="80">
        <v>500</v>
      </c>
      <c r="CV197" s="80">
        <v>0</v>
      </c>
      <c r="CW197" s="80">
        <v>0</v>
      </c>
      <c r="CX197" s="80">
        <v>0</v>
      </c>
      <c r="CY197" s="80">
        <v>0</v>
      </c>
      <c r="CZ197" s="80">
        <v>10392</v>
      </c>
      <c r="DA197" s="80">
        <v>0</v>
      </c>
      <c r="DB197" s="80">
        <v>0</v>
      </c>
      <c r="DC197" s="80">
        <v>0</v>
      </c>
      <c r="DD197" s="80">
        <v>0</v>
      </c>
      <c r="DE197" s="80">
        <v>0</v>
      </c>
      <c r="DF197" s="80">
        <v>0</v>
      </c>
      <c r="DG197" s="80">
        <v>1753</v>
      </c>
      <c r="DH197" s="80">
        <v>722</v>
      </c>
      <c r="DI197" s="80">
        <v>0</v>
      </c>
      <c r="DJ197" s="80">
        <v>0</v>
      </c>
      <c r="DK197" s="80">
        <v>722</v>
      </c>
      <c r="DL197" s="80">
        <v>0</v>
      </c>
      <c r="DM197" s="80">
        <v>1031</v>
      </c>
      <c r="DN197" s="80">
        <v>801</v>
      </c>
      <c r="DO197" s="80">
        <v>0</v>
      </c>
      <c r="DP197" s="80">
        <v>230</v>
      </c>
      <c r="DQ197" s="80">
        <v>0</v>
      </c>
      <c r="DR197" s="80">
        <v>6003</v>
      </c>
      <c r="DS197" s="80">
        <v>4732</v>
      </c>
      <c r="DT197" s="80">
        <v>0</v>
      </c>
      <c r="DU197" s="80">
        <v>1271</v>
      </c>
      <c r="DV197" s="80">
        <v>0</v>
      </c>
      <c r="DW197" s="80">
        <v>2636</v>
      </c>
      <c r="DX197" s="80">
        <v>45514</v>
      </c>
      <c r="DY197" s="80">
        <v>24048</v>
      </c>
      <c r="DZ197" s="80">
        <v>13673</v>
      </c>
      <c r="EA197" s="80">
        <v>0</v>
      </c>
      <c r="EB197" s="80">
        <v>0</v>
      </c>
      <c r="EC197" s="80">
        <v>9098</v>
      </c>
      <c r="ED197" s="80">
        <v>1277</v>
      </c>
      <c r="EE197" s="80">
        <v>1427</v>
      </c>
      <c r="EF197" s="80">
        <v>1427</v>
      </c>
      <c r="EG197" s="80">
        <v>0</v>
      </c>
      <c r="EH197" s="80">
        <v>0</v>
      </c>
      <c r="EI197" s="80">
        <v>0</v>
      </c>
      <c r="EJ197" s="80">
        <v>0</v>
      </c>
      <c r="EK197" s="80">
        <v>95</v>
      </c>
      <c r="EL197" s="80">
        <v>6</v>
      </c>
      <c r="EM197" s="80">
        <v>0</v>
      </c>
      <c r="EN197" s="80">
        <v>89</v>
      </c>
      <c r="EO197" s="80">
        <v>19945</v>
      </c>
      <c r="EP197" s="80">
        <v>12100</v>
      </c>
      <c r="EQ197" s="80">
        <v>0</v>
      </c>
      <c r="ER197" s="80">
        <v>12095</v>
      </c>
      <c r="ES197" s="80">
        <v>0</v>
      </c>
      <c r="ET197" s="80">
        <v>12095</v>
      </c>
      <c r="EU197" s="80">
        <v>0</v>
      </c>
      <c r="EV197" s="80">
        <v>0</v>
      </c>
      <c r="EW197" s="80">
        <v>5</v>
      </c>
      <c r="EX197" s="80">
        <v>0</v>
      </c>
      <c r="EY197" s="80">
        <v>0</v>
      </c>
      <c r="EZ197" s="80">
        <v>0</v>
      </c>
      <c r="FA197" s="80">
        <v>0</v>
      </c>
      <c r="FB197" s="80">
        <v>0</v>
      </c>
      <c r="FC197" s="80">
        <v>0</v>
      </c>
      <c r="FD197" s="80">
        <v>7845</v>
      </c>
      <c r="FE197" s="80">
        <v>0</v>
      </c>
      <c r="FF197" s="80">
        <v>4690</v>
      </c>
      <c r="FG197" s="80">
        <v>0</v>
      </c>
      <c r="FH197" s="80">
        <v>4690</v>
      </c>
      <c r="FI197" s="80">
        <v>0</v>
      </c>
      <c r="FJ197" s="80">
        <v>0</v>
      </c>
      <c r="FK197" s="80">
        <v>4</v>
      </c>
      <c r="FL197" s="80">
        <v>0</v>
      </c>
      <c r="FM197" s="80">
        <v>0</v>
      </c>
      <c r="FN197" s="80">
        <v>1136</v>
      </c>
      <c r="FO197" s="80">
        <v>411</v>
      </c>
      <c r="FP197" s="80">
        <v>1604</v>
      </c>
      <c r="FQ197" s="80">
        <v>45515</v>
      </c>
      <c r="FR197" s="80">
        <v>4607</v>
      </c>
      <c r="FS197" s="80">
        <v>7284</v>
      </c>
      <c r="FT197" s="100">
        <v>26709.291669095455</v>
      </c>
      <c r="FU197" s="100"/>
      <c r="FV197" s="100">
        <v>16777</v>
      </c>
      <c r="FW197" s="67">
        <v>1449</v>
      </c>
      <c r="FX197" s="100">
        <f t="shared" si="15"/>
        <v>-8763</v>
      </c>
      <c r="FY197" s="100">
        <f t="shared" si="16"/>
        <v>-25600</v>
      </c>
      <c r="FZ197" s="100">
        <v>16593.367060042492</v>
      </c>
      <c r="GA197" s="67">
        <v>16837</v>
      </c>
      <c r="GB197" s="58">
        <f t="shared" si="13"/>
        <v>60</v>
      </c>
      <c r="GC197" s="67">
        <v>1496</v>
      </c>
      <c r="GD197" s="100">
        <v>498</v>
      </c>
      <c r="GE197" s="100">
        <v>498</v>
      </c>
      <c r="GF197" s="58">
        <f t="shared" si="14"/>
        <v>0</v>
      </c>
      <c r="GG197" s="100">
        <v>-5685.9260000000004</v>
      </c>
      <c r="GH197" s="100">
        <v>-457.54560000000009</v>
      </c>
      <c r="GI197" s="100">
        <v>-10623.092940088723</v>
      </c>
      <c r="GJ197" s="67">
        <f t="shared" si="17"/>
        <v>47</v>
      </c>
      <c r="GK197" s="67"/>
      <c r="GM197" s="96"/>
    </row>
    <row r="198" spans="1:195" ht="13.5" customHeight="1" x14ac:dyDescent="0.2">
      <c r="A198" s="74">
        <v>607</v>
      </c>
      <c r="B198" s="75" t="s">
        <v>133</v>
      </c>
      <c r="C198" s="75" t="s">
        <v>133</v>
      </c>
      <c r="D198" s="76"/>
      <c r="E198" s="77" t="s">
        <v>242</v>
      </c>
      <c r="F198" s="78">
        <v>2</v>
      </c>
      <c r="G198" s="79">
        <v>4556</v>
      </c>
      <c r="H198" s="80">
        <v>4438</v>
      </c>
      <c r="I198" s="80">
        <v>1434</v>
      </c>
      <c r="J198" s="80">
        <v>1328</v>
      </c>
      <c r="K198" s="80">
        <v>611</v>
      </c>
      <c r="L198" s="80">
        <v>1065</v>
      </c>
      <c r="M198" s="80">
        <v>0</v>
      </c>
      <c r="N198" s="80">
        <v>0</v>
      </c>
      <c r="O198" s="80">
        <v>29380</v>
      </c>
      <c r="P198" s="80">
        <v>13346</v>
      </c>
      <c r="Q198" s="80">
        <v>9898</v>
      </c>
      <c r="R198" s="80">
        <v>3448</v>
      </c>
      <c r="S198" s="80">
        <v>2817</v>
      </c>
      <c r="T198" s="80">
        <v>631</v>
      </c>
      <c r="U198" s="80">
        <v>12032</v>
      </c>
      <c r="V198" s="80">
        <v>1758</v>
      </c>
      <c r="W198" s="80">
        <v>1920</v>
      </c>
      <c r="X198" s="80">
        <v>324</v>
      </c>
      <c r="Y198" s="80">
        <v>-24942</v>
      </c>
      <c r="Z198" s="80">
        <v>12189</v>
      </c>
      <c r="AA198" s="80">
        <v>10195</v>
      </c>
      <c r="AB198" s="80">
        <v>1097</v>
      </c>
      <c r="AC198" s="80">
        <v>897</v>
      </c>
      <c r="AD198" s="80">
        <v>14960</v>
      </c>
      <c r="AE198" s="80">
        <v>159</v>
      </c>
      <c r="AF198" s="80">
        <v>24</v>
      </c>
      <c r="AG198" s="80">
        <v>235</v>
      </c>
      <c r="AH198" s="80">
        <v>235</v>
      </c>
      <c r="AI198" s="80">
        <v>41</v>
      </c>
      <c r="AJ198" s="80">
        <v>59</v>
      </c>
      <c r="AK198" s="80">
        <v>2366</v>
      </c>
      <c r="AL198" s="80">
        <v>1224</v>
      </c>
      <c r="AM198" s="80">
        <v>1224</v>
      </c>
      <c r="AN198" s="80">
        <v>0</v>
      </c>
      <c r="AO198" s="80">
        <v>0</v>
      </c>
      <c r="AP198" s="80">
        <v>0</v>
      </c>
      <c r="AQ198" s="80">
        <v>0</v>
      </c>
      <c r="AR198" s="80">
        <v>1142</v>
      </c>
      <c r="AS198" s="80">
        <v>331</v>
      </c>
      <c r="AT198" s="80">
        <v>-1430</v>
      </c>
      <c r="AU198" s="80">
        <v>0</v>
      </c>
      <c r="AV198" s="80">
        <v>43</v>
      </c>
      <c r="AW198" s="81"/>
      <c r="AX198" s="80">
        <v>2420</v>
      </c>
      <c r="AY198" s="80">
        <v>2366</v>
      </c>
      <c r="AZ198" s="80">
        <v>0</v>
      </c>
      <c r="BA198" s="80">
        <v>54</v>
      </c>
      <c r="BB198" s="80">
        <v>-1162</v>
      </c>
      <c r="BC198" s="80">
        <v>1166</v>
      </c>
      <c r="BD198" s="80">
        <v>0</v>
      </c>
      <c r="BE198" s="80">
        <v>4</v>
      </c>
      <c r="BF198" s="80">
        <v>1258</v>
      </c>
      <c r="BG198" s="80">
        <v>-203</v>
      </c>
      <c r="BH198" s="80">
        <v>80</v>
      </c>
      <c r="BI198" s="80">
        <v>0</v>
      </c>
      <c r="BJ198" s="80">
        <v>80</v>
      </c>
      <c r="BK198" s="80">
        <v>-396</v>
      </c>
      <c r="BL198" s="80">
        <v>0</v>
      </c>
      <c r="BM198" s="80">
        <v>396</v>
      </c>
      <c r="BN198" s="80">
        <v>0</v>
      </c>
      <c r="BO198" s="80">
        <v>0</v>
      </c>
      <c r="BP198" s="80">
        <v>113</v>
      </c>
      <c r="BQ198" s="80">
        <v>38</v>
      </c>
      <c r="BR198" s="80">
        <v>0</v>
      </c>
      <c r="BS198" s="80">
        <v>306</v>
      </c>
      <c r="BT198" s="80">
        <v>-231</v>
      </c>
      <c r="BU198" s="80">
        <v>1055</v>
      </c>
      <c r="BV198" s="80">
        <v>8115</v>
      </c>
      <c r="BW198" s="80">
        <v>7060</v>
      </c>
      <c r="BX198" s="81"/>
      <c r="BY198" s="80">
        <v>24382</v>
      </c>
      <c r="BZ198" s="80">
        <v>99</v>
      </c>
      <c r="CA198" s="80">
        <v>0</v>
      </c>
      <c r="CB198" s="80">
        <v>99</v>
      </c>
      <c r="CC198" s="80">
        <v>0</v>
      </c>
      <c r="CD198" s="80">
        <v>16090</v>
      </c>
      <c r="CE198" s="80">
        <v>1069</v>
      </c>
      <c r="CF198" s="80">
        <v>9636</v>
      </c>
      <c r="CG198" s="80">
        <v>4775</v>
      </c>
      <c r="CH198" s="80">
        <v>389</v>
      </c>
      <c r="CI198" s="80">
        <v>0</v>
      </c>
      <c r="CJ198" s="80">
        <v>0</v>
      </c>
      <c r="CK198" s="80">
        <v>221</v>
      </c>
      <c r="CL198" s="80">
        <v>8193</v>
      </c>
      <c r="CM198" s="80">
        <v>7725</v>
      </c>
      <c r="CN198" s="80">
        <v>1423</v>
      </c>
      <c r="CO198" s="80">
        <v>6302</v>
      </c>
      <c r="CP198" s="80">
        <v>0</v>
      </c>
      <c r="CQ198" s="80">
        <v>468</v>
      </c>
      <c r="CR198" s="80">
        <v>0</v>
      </c>
      <c r="CS198" s="80">
        <v>0</v>
      </c>
      <c r="CT198" s="80">
        <v>468</v>
      </c>
      <c r="CU198" s="80">
        <v>0</v>
      </c>
      <c r="CV198" s="80">
        <v>-25</v>
      </c>
      <c r="CW198" s="80">
        <v>12</v>
      </c>
      <c r="CX198" s="80">
        <v>-37</v>
      </c>
      <c r="CY198" s="80">
        <v>0</v>
      </c>
      <c r="CZ198" s="80">
        <v>9607</v>
      </c>
      <c r="DA198" s="80">
        <v>0</v>
      </c>
      <c r="DB198" s="80">
        <v>0</v>
      </c>
      <c r="DC198" s="80">
        <v>0</v>
      </c>
      <c r="DD198" s="80">
        <v>0</v>
      </c>
      <c r="DE198" s="80">
        <v>0</v>
      </c>
      <c r="DF198" s="80">
        <v>0</v>
      </c>
      <c r="DG198" s="80">
        <v>1492</v>
      </c>
      <c r="DH198" s="80">
        <v>209</v>
      </c>
      <c r="DI198" s="80">
        <v>0</v>
      </c>
      <c r="DJ198" s="80">
        <v>0</v>
      </c>
      <c r="DK198" s="80">
        <v>209</v>
      </c>
      <c r="DL198" s="80">
        <v>0</v>
      </c>
      <c r="DM198" s="80">
        <v>1283</v>
      </c>
      <c r="DN198" s="80">
        <v>402</v>
      </c>
      <c r="DO198" s="80">
        <v>109</v>
      </c>
      <c r="DP198" s="80">
        <v>629</v>
      </c>
      <c r="DQ198" s="80">
        <v>143</v>
      </c>
      <c r="DR198" s="80">
        <v>0</v>
      </c>
      <c r="DS198" s="80">
        <v>0</v>
      </c>
      <c r="DT198" s="80">
        <v>0</v>
      </c>
      <c r="DU198" s="80">
        <v>0</v>
      </c>
      <c r="DV198" s="80">
        <v>0</v>
      </c>
      <c r="DW198" s="80">
        <v>8115</v>
      </c>
      <c r="DX198" s="80">
        <v>33964</v>
      </c>
      <c r="DY198" s="80">
        <v>15724</v>
      </c>
      <c r="DZ198" s="80">
        <v>8881</v>
      </c>
      <c r="EA198" s="80">
        <v>0</v>
      </c>
      <c r="EB198" s="80">
        <v>0</v>
      </c>
      <c r="EC198" s="80">
        <v>6800</v>
      </c>
      <c r="ED198" s="80">
        <v>43</v>
      </c>
      <c r="EE198" s="80">
        <v>12917</v>
      </c>
      <c r="EF198" s="80">
        <v>7228</v>
      </c>
      <c r="EG198" s="80">
        <v>5689</v>
      </c>
      <c r="EH198" s="80">
        <v>50</v>
      </c>
      <c r="EI198" s="80">
        <v>0</v>
      </c>
      <c r="EJ198" s="80">
        <v>50</v>
      </c>
      <c r="EK198" s="80">
        <v>16</v>
      </c>
      <c r="EL198" s="80">
        <v>4</v>
      </c>
      <c r="EM198" s="80">
        <v>12</v>
      </c>
      <c r="EN198" s="80">
        <v>0</v>
      </c>
      <c r="EO198" s="80">
        <v>5258</v>
      </c>
      <c r="EP198" s="80">
        <v>1735</v>
      </c>
      <c r="EQ198" s="80">
        <v>0</v>
      </c>
      <c r="ER198" s="80">
        <v>1350</v>
      </c>
      <c r="ES198" s="80">
        <v>0</v>
      </c>
      <c r="ET198" s="80">
        <v>1350</v>
      </c>
      <c r="EU198" s="80">
        <v>0</v>
      </c>
      <c r="EV198" s="80">
        <v>0</v>
      </c>
      <c r="EW198" s="80">
        <v>0</v>
      </c>
      <c r="EX198" s="80">
        <v>0</v>
      </c>
      <c r="EY198" s="80">
        <v>31</v>
      </c>
      <c r="EZ198" s="80">
        <v>0</v>
      </c>
      <c r="FA198" s="80">
        <v>354</v>
      </c>
      <c r="FB198" s="80">
        <v>0</v>
      </c>
      <c r="FC198" s="80">
        <v>0</v>
      </c>
      <c r="FD198" s="80">
        <v>3523</v>
      </c>
      <c r="FE198" s="80">
        <v>0</v>
      </c>
      <c r="FF198" s="80">
        <v>300</v>
      </c>
      <c r="FG198" s="80">
        <v>0</v>
      </c>
      <c r="FH198" s="80">
        <v>300</v>
      </c>
      <c r="FI198" s="80">
        <v>0</v>
      </c>
      <c r="FJ198" s="80">
        <v>0</v>
      </c>
      <c r="FK198" s="80">
        <v>39</v>
      </c>
      <c r="FL198" s="80">
        <v>0</v>
      </c>
      <c r="FM198" s="80">
        <v>0</v>
      </c>
      <c r="FN198" s="80">
        <v>1676</v>
      </c>
      <c r="FO198" s="80">
        <v>216</v>
      </c>
      <c r="FP198" s="80">
        <v>1292</v>
      </c>
      <c r="FQ198" s="80">
        <v>33965</v>
      </c>
      <c r="FR198" s="80">
        <v>0</v>
      </c>
      <c r="FS198" s="80">
        <v>199</v>
      </c>
      <c r="FT198" s="100">
        <v>13877.781651941994</v>
      </c>
      <c r="FU198" s="100"/>
      <c r="FV198" s="100">
        <v>5294</v>
      </c>
      <c r="FW198" s="67">
        <v>1107</v>
      </c>
      <c r="FX198" s="100">
        <f t="shared" si="15"/>
        <v>-16497</v>
      </c>
      <c r="FY198" s="100">
        <f t="shared" si="16"/>
        <v>-23718</v>
      </c>
      <c r="FZ198" s="100">
        <v>16240.109960221253</v>
      </c>
      <c r="GA198" s="67">
        <v>7221</v>
      </c>
      <c r="GB198" s="58">
        <f t="shared" si="13"/>
        <v>1927</v>
      </c>
      <c r="GC198" s="67">
        <v>1223</v>
      </c>
      <c r="GD198" s="100">
        <v>1456</v>
      </c>
      <c r="GE198" s="100">
        <v>440</v>
      </c>
      <c r="GF198" s="58">
        <f t="shared" si="14"/>
        <v>1016</v>
      </c>
      <c r="GG198" s="100">
        <v>-6046.5140000000001</v>
      </c>
      <c r="GH198" s="100">
        <v>-336.53670000000017</v>
      </c>
      <c r="GI198" s="100">
        <v>-10129.316724785765</v>
      </c>
      <c r="GJ198" s="67">
        <f t="shared" si="17"/>
        <v>116</v>
      </c>
      <c r="GK198" s="67"/>
      <c r="GM198" s="96"/>
    </row>
    <row r="199" spans="1:195" ht="13.5" customHeight="1" x14ac:dyDescent="0.2">
      <c r="A199" s="74">
        <v>614</v>
      </c>
      <c r="B199" s="75" t="s">
        <v>134</v>
      </c>
      <c r="C199" s="75" t="s">
        <v>134</v>
      </c>
      <c r="D199" s="76"/>
      <c r="E199" s="77" t="s">
        <v>222</v>
      </c>
      <c r="F199" s="78">
        <v>2</v>
      </c>
      <c r="G199" s="79">
        <v>3477</v>
      </c>
      <c r="H199" s="80">
        <v>8138</v>
      </c>
      <c r="I199" s="80">
        <v>4344</v>
      </c>
      <c r="J199" s="80">
        <v>1792</v>
      </c>
      <c r="K199" s="80">
        <v>594</v>
      </c>
      <c r="L199" s="80">
        <v>1408</v>
      </c>
      <c r="M199" s="80">
        <v>0</v>
      </c>
      <c r="N199" s="80">
        <v>0</v>
      </c>
      <c r="O199" s="80">
        <v>33495</v>
      </c>
      <c r="P199" s="80">
        <v>16908</v>
      </c>
      <c r="Q199" s="80">
        <v>12665</v>
      </c>
      <c r="R199" s="80">
        <v>4243</v>
      </c>
      <c r="S199" s="80">
        <v>3505</v>
      </c>
      <c r="T199" s="80">
        <v>738</v>
      </c>
      <c r="U199" s="80">
        <v>13353</v>
      </c>
      <c r="V199" s="80">
        <v>2080</v>
      </c>
      <c r="W199" s="80">
        <v>940</v>
      </c>
      <c r="X199" s="80">
        <v>214</v>
      </c>
      <c r="Y199" s="80">
        <v>-25357</v>
      </c>
      <c r="Z199" s="80">
        <v>10557</v>
      </c>
      <c r="AA199" s="80">
        <v>8723</v>
      </c>
      <c r="AB199" s="80">
        <v>707</v>
      </c>
      <c r="AC199" s="80">
        <v>1127</v>
      </c>
      <c r="AD199" s="80">
        <v>15319</v>
      </c>
      <c r="AE199" s="80">
        <v>231</v>
      </c>
      <c r="AF199" s="80">
        <v>18</v>
      </c>
      <c r="AG199" s="80">
        <v>487</v>
      </c>
      <c r="AH199" s="80">
        <v>0</v>
      </c>
      <c r="AI199" s="80">
        <v>225</v>
      </c>
      <c r="AJ199" s="80">
        <v>49</v>
      </c>
      <c r="AK199" s="80">
        <v>750</v>
      </c>
      <c r="AL199" s="80">
        <v>1078</v>
      </c>
      <c r="AM199" s="80">
        <v>1078</v>
      </c>
      <c r="AN199" s="80">
        <v>0</v>
      </c>
      <c r="AO199" s="80">
        <v>0</v>
      </c>
      <c r="AP199" s="80">
        <v>0</v>
      </c>
      <c r="AQ199" s="80">
        <v>0</v>
      </c>
      <c r="AR199" s="80">
        <v>-328</v>
      </c>
      <c r="AS199" s="80">
        <v>163</v>
      </c>
      <c r="AT199" s="80">
        <v>0</v>
      </c>
      <c r="AU199" s="80">
        <v>0</v>
      </c>
      <c r="AV199" s="80">
        <v>-165</v>
      </c>
      <c r="AW199" s="81"/>
      <c r="AX199" s="80">
        <v>748</v>
      </c>
      <c r="AY199" s="80">
        <v>750</v>
      </c>
      <c r="AZ199" s="80">
        <v>0</v>
      </c>
      <c r="BA199" s="80">
        <v>-2</v>
      </c>
      <c r="BB199" s="80">
        <v>-332</v>
      </c>
      <c r="BC199" s="80">
        <v>334</v>
      </c>
      <c r="BD199" s="80">
        <v>0</v>
      </c>
      <c r="BE199" s="80">
        <v>2</v>
      </c>
      <c r="BF199" s="80">
        <v>416</v>
      </c>
      <c r="BG199" s="80">
        <v>-221</v>
      </c>
      <c r="BH199" s="80">
        <v>18</v>
      </c>
      <c r="BI199" s="80">
        <v>0</v>
      </c>
      <c r="BJ199" s="80">
        <v>18</v>
      </c>
      <c r="BK199" s="80">
        <v>82</v>
      </c>
      <c r="BL199" s="80">
        <v>1600</v>
      </c>
      <c r="BM199" s="80">
        <v>1518</v>
      </c>
      <c r="BN199" s="80">
        <v>0</v>
      </c>
      <c r="BO199" s="80">
        <v>0</v>
      </c>
      <c r="BP199" s="80">
        <v>-321</v>
      </c>
      <c r="BQ199" s="80">
        <v>0</v>
      </c>
      <c r="BR199" s="80">
        <v>-1</v>
      </c>
      <c r="BS199" s="80">
        <v>-423</v>
      </c>
      <c r="BT199" s="80">
        <v>103</v>
      </c>
      <c r="BU199" s="80">
        <v>194</v>
      </c>
      <c r="BV199" s="80">
        <v>7961</v>
      </c>
      <c r="BW199" s="80">
        <v>7767</v>
      </c>
      <c r="BX199" s="81"/>
      <c r="BY199" s="80">
        <v>28863</v>
      </c>
      <c r="BZ199" s="80">
        <v>6</v>
      </c>
      <c r="CA199" s="80">
        <v>0</v>
      </c>
      <c r="CB199" s="80">
        <v>6</v>
      </c>
      <c r="CC199" s="80">
        <v>0</v>
      </c>
      <c r="CD199" s="80">
        <v>20496</v>
      </c>
      <c r="CE199" s="80">
        <v>2101</v>
      </c>
      <c r="CF199" s="80">
        <v>16735</v>
      </c>
      <c r="CG199" s="80">
        <v>1333</v>
      </c>
      <c r="CH199" s="80">
        <v>173</v>
      </c>
      <c r="CI199" s="80">
        <v>35</v>
      </c>
      <c r="CJ199" s="80">
        <v>35</v>
      </c>
      <c r="CK199" s="80">
        <v>119</v>
      </c>
      <c r="CL199" s="80">
        <v>8361</v>
      </c>
      <c r="CM199" s="80">
        <v>7959</v>
      </c>
      <c r="CN199" s="80">
        <v>938</v>
      </c>
      <c r="CO199" s="80">
        <v>7021</v>
      </c>
      <c r="CP199" s="80">
        <v>0</v>
      </c>
      <c r="CQ199" s="80">
        <v>402</v>
      </c>
      <c r="CR199" s="80">
        <v>0</v>
      </c>
      <c r="CS199" s="80">
        <v>0</v>
      </c>
      <c r="CT199" s="80">
        <v>402</v>
      </c>
      <c r="CU199" s="80">
        <v>0</v>
      </c>
      <c r="CV199" s="80">
        <v>21</v>
      </c>
      <c r="CW199" s="80">
        <v>3</v>
      </c>
      <c r="CX199" s="80">
        <v>18</v>
      </c>
      <c r="CY199" s="80">
        <v>0</v>
      </c>
      <c r="CZ199" s="80">
        <v>9727</v>
      </c>
      <c r="DA199" s="80">
        <v>42</v>
      </c>
      <c r="DB199" s="80">
        <v>0</v>
      </c>
      <c r="DC199" s="80">
        <v>0</v>
      </c>
      <c r="DD199" s="80">
        <v>42</v>
      </c>
      <c r="DE199" s="80">
        <v>0</v>
      </c>
      <c r="DF199" s="80">
        <v>0</v>
      </c>
      <c r="DG199" s="80">
        <v>1724</v>
      </c>
      <c r="DH199" s="80">
        <v>500</v>
      </c>
      <c r="DI199" s="80">
        <v>500</v>
      </c>
      <c r="DJ199" s="80">
        <v>0</v>
      </c>
      <c r="DK199" s="80">
        <v>0</v>
      </c>
      <c r="DL199" s="80">
        <v>0</v>
      </c>
      <c r="DM199" s="80">
        <v>1224</v>
      </c>
      <c r="DN199" s="80">
        <v>740</v>
      </c>
      <c r="DO199" s="80">
        <v>0</v>
      </c>
      <c r="DP199" s="80">
        <v>195</v>
      </c>
      <c r="DQ199" s="80">
        <v>289</v>
      </c>
      <c r="DR199" s="80">
        <v>5150</v>
      </c>
      <c r="DS199" s="80">
        <v>0</v>
      </c>
      <c r="DT199" s="80">
        <v>5150</v>
      </c>
      <c r="DU199" s="80">
        <v>0</v>
      </c>
      <c r="DV199" s="80">
        <v>0</v>
      </c>
      <c r="DW199" s="80">
        <v>2811</v>
      </c>
      <c r="DX199" s="80">
        <v>38611</v>
      </c>
      <c r="DY199" s="80">
        <v>17307</v>
      </c>
      <c r="DZ199" s="80">
        <v>15226</v>
      </c>
      <c r="EA199" s="80">
        <v>0</v>
      </c>
      <c r="EB199" s="80">
        <v>2246</v>
      </c>
      <c r="EC199" s="80">
        <v>0</v>
      </c>
      <c r="ED199" s="80">
        <v>-165</v>
      </c>
      <c r="EE199" s="80">
        <v>2098</v>
      </c>
      <c r="EF199" s="80">
        <v>2098</v>
      </c>
      <c r="EG199" s="80">
        <v>0</v>
      </c>
      <c r="EH199" s="80">
        <v>0</v>
      </c>
      <c r="EI199" s="80">
        <v>0</v>
      </c>
      <c r="EJ199" s="80">
        <v>0</v>
      </c>
      <c r="EK199" s="80">
        <v>21</v>
      </c>
      <c r="EL199" s="80">
        <v>3</v>
      </c>
      <c r="EM199" s="80">
        <v>18</v>
      </c>
      <c r="EN199" s="80">
        <v>0</v>
      </c>
      <c r="EO199" s="80">
        <v>19185</v>
      </c>
      <c r="EP199" s="80">
        <v>13394</v>
      </c>
      <c r="EQ199" s="80">
        <v>0</v>
      </c>
      <c r="ER199" s="80">
        <v>13142</v>
      </c>
      <c r="ES199" s="80">
        <v>6332</v>
      </c>
      <c r="ET199" s="80">
        <v>6810</v>
      </c>
      <c r="EU199" s="80">
        <v>0</v>
      </c>
      <c r="EV199" s="80">
        <v>0</v>
      </c>
      <c r="EW199" s="80">
        <v>226</v>
      </c>
      <c r="EX199" s="80">
        <v>0</v>
      </c>
      <c r="EY199" s="80">
        <v>17</v>
      </c>
      <c r="EZ199" s="80">
        <v>0</v>
      </c>
      <c r="FA199" s="80">
        <v>4</v>
      </c>
      <c r="FB199" s="80">
        <v>0</v>
      </c>
      <c r="FC199" s="80">
        <v>5</v>
      </c>
      <c r="FD199" s="80">
        <v>5791</v>
      </c>
      <c r="FE199" s="80">
        <v>0</v>
      </c>
      <c r="FF199" s="80">
        <v>1274</v>
      </c>
      <c r="FG199" s="80">
        <v>427</v>
      </c>
      <c r="FH199" s="80">
        <v>847</v>
      </c>
      <c r="FI199" s="80">
        <v>0</v>
      </c>
      <c r="FJ199" s="80">
        <v>0</v>
      </c>
      <c r="FK199" s="80">
        <v>31</v>
      </c>
      <c r="FL199" s="80">
        <v>0</v>
      </c>
      <c r="FM199" s="80">
        <v>40</v>
      </c>
      <c r="FN199" s="80">
        <v>1695</v>
      </c>
      <c r="FO199" s="80">
        <v>285</v>
      </c>
      <c r="FP199" s="80">
        <v>2466</v>
      </c>
      <c r="FQ199" s="80">
        <v>38611</v>
      </c>
      <c r="FR199" s="80">
        <v>0</v>
      </c>
      <c r="FS199" s="80">
        <v>4921</v>
      </c>
      <c r="FT199" s="100">
        <v>15591.378210442781</v>
      </c>
      <c r="FU199" s="100"/>
      <c r="FV199" s="100">
        <v>8718</v>
      </c>
      <c r="FW199" s="67">
        <v>1020</v>
      </c>
      <c r="FX199" s="100">
        <f t="shared" si="15"/>
        <v>-12896</v>
      </c>
      <c r="FY199" s="100">
        <f t="shared" si="16"/>
        <v>-24279</v>
      </c>
      <c r="FZ199" s="100">
        <v>18082.14538242518</v>
      </c>
      <c r="GA199" s="67">
        <v>11383</v>
      </c>
      <c r="GB199" s="58">
        <f t="shared" si="13"/>
        <v>2665</v>
      </c>
      <c r="GC199" s="67">
        <v>1078</v>
      </c>
      <c r="GD199" s="100">
        <v>1828</v>
      </c>
      <c r="GE199" s="100">
        <v>854</v>
      </c>
      <c r="GF199" s="58">
        <f t="shared" si="14"/>
        <v>974</v>
      </c>
      <c r="GG199" s="100">
        <v>-4843.8620000000001</v>
      </c>
      <c r="GH199" s="100">
        <v>-233.23760000000013</v>
      </c>
      <c r="GI199" s="100">
        <v>-13854.739665221588</v>
      </c>
      <c r="GJ199" s="67">
        <f t="shared" si="17"/>
        <v>58</v>
      </c>
      <c r="GK199" s="67"/>
      <c r="GM199" s="96"/>
    </row>
    <row r="200" spans="1:195" ht="13.5" customHeight="1" x14ac:dyDescent="0.2">
      <c r="A200" s="74">
        <v>615</v>
      </c>
      <c r="B200" s="75" t="s">
        <v>135</v>
      </c>
      <c r="C200" s="75" t="s">
        <v>135</v>
      </c>
      <c r="D200" s="76"/>
      <c r="E200" s="77" t="s">
        <v>216</v>
      </c>
      <c r="F200" s="78">
        <v>3</v>
      </c>
      <c r="G200" s="79">
        <v>8257</v>
      </c>
      <c r="H200" s="80">
        <v>8810</v>
      </c>
      <c r="I200" s="80">
        <v>5406</v>
      </c>
      <c r="J200" s="80">
        <v>832</v>
      </c>
      <c r="K200" s="80">
        <v>1003</v>
      </c>
      <c r="L200" s="80">
        <v>1569</v>
      </c>
      <c r="M200" s="80">
        <v>0</v>
      </c>
      <c r="N200" s="80">
        <v>39</v>
      </c>
      <c r="O200" s="80">
        <v>64588</v>
      </c>
      <c r="P200" s="80">
        <v>16155</v>
      </c>
      <c r="Q200" s="80">
        <v>11368</v>
      </c>
      <c r="R200" s="80">
        <v>4787</v>
      </c>
      <c r="S200" s="80">
        <v>4159</v>
      </c>
      <c r="T200" s="80">
        <v>628</v>
      </c>
      <c r="U200" s="80">
        <v>43108</v>
      </c>
      <c r="V200" s="80">
        <v>3022</v>
      </c>
      <c r="W200" s="80">
        <v>1159</v>
      </c>
      <c r="X200" s="80">
        <v>1144</v>
      </c>
      <c r="Y200" s="80">
        <v>-55739</v>
      </c>
      <c r="Z200" s="80">
        <v>23214</v>
      </c>
      <c r="AA200" s="80">
        <v>18865</v>
      </c>
      <c r="AB200" s="80">
        <v>2527</v>
      </c>
      <c r="AC200" s="80">
        <v>1822</v>
      </c>
      <c r="AD200" s="80">
        <v>38040</v>
      </c>
      <c r="AE200" s="80">
        <v>445</v>
      </c>
      <c r="AF200" s="80">
        <v>61</v>
      </c>
      <c r="AG200" s="80">
        <v>646</v>
      </c>
      <c r="AH200" s="80">
        <v>0</v>
      </c>
      <c r="AI200" s="80">
        <v>219</v>
      </c>
      <c r="AJ200" s="80">
        <v>43</v>
      </c>
      <c r="AK200" s="80">
        <v>5960</v>
      </c>
      <c r="AL200" s="80">
        <v>3505</v>
      </c>
      <c r="AM200" s="80">
        <v>3505</v>
      </c>
      <c r="AN200" s="80">
        <v>0</v>
      </c>
      <c r="AO200" s="80">
        <v>0</v>
      </c>
      <c r="AP200" s="80">
        <v>0</v>
      </c>
      <c r="AQ200" s="80">
        <v>0</v>
      </c>
      <c r="AR200" s="80">
        <v>2455</v>
      </c>
      <c r="AS200" s="80">
        <v>103</v>
      </c>
      <c r="AT200" s="80">
        <v>0</v>
      </c>
      <c r="AU200" s="80">
        <v>69</v>
      </c>
      <c r="AV200" s="80">
        <v>2627</v>
      </c>
      <c r="AW200" s="81"/>
      <c r="AX200" s="80">
        <v>6004</v>
      </c>
      <c r="AY200" s="80">
        <v>5960</v>
      </c>
      <c r="AZ200" s="80">
        <v>0</v>
      </c>
      <c r="BA200" s="80">
        <v>44</v>
      </c>
      <c r="BB200" s="80">
        <v>-1483</v>
      </c>
      <c r="BC200" s="80">
        <v>3072</v>
      </c>
      <c r="BD200" s="80">
        <v>707</v>
      </c>
      <c r="BE200" s="80">
        <v>882</v>
      </c>
      <c r="BF200" s="80">
        <v>4521</v>
      </c>
      <c r="BG200" s="80">
        <v>-4065</v>
      </c>
      <c r="BH200" s="80">
        <v>0</v>
      </c>
      <c r="BI200" s="80">
        <v>0</v>
      </c>
      <c r="BJ200" s="80">
        <v>0</v>
      </c>
      <c r="BK200" s="80">
        <v>-352</v>
      </c>
      <c r="BL200" s="80">
        <v>2088</v>
      </c>
      <c r="BM200" s="80">
        <v>2608</v>
      </c>
      <c r="BN200" s="80">
        <v>168</v>
      </c>
      <c r="BO200" s="80">
        <v>-414</v>
      </c>
      <c r="BP200" s="80">
        <v>-3299</v>
      </c>
      <c r="BQ200" s="80">
        <v>6</v>
      </c>
      <c r="BR200" s="80">
        <v>0</v>
      </c>
      <c r="BS200" s="80">
        <v>-2964</v>
      </c>
      <c r="BT200" s="80">
        <v>-341</v>
      </c>
      <c r="BU200" s="80">
        <v>453</v>
      </c>
      <c r="BV200" s="80">
        <v>13019</v>
      </c>
      <c r="BW200" s="80">
        <v>12566</v>
      </c>
      <c r="BX200" s="81"/>
      <c r="BY200" s="80">
        <v>71084</v>
      </c>
      <c r="BZ200" s="80">
        <v>927</v>
      </c>
      <c r="CA200" s="80">
        <v>0</v>
      </c>
      <c r="CB200" s="80">
        <v>927</v>
      </c>
      <c r="CC200" s="80">
        <v>0</v>
      </c>
      <c r="CD200" s="80">
        <v>61913</v>
      </c>
      <c r="CE200" s="80">
        <v>7751</v>
      </c>
      <c r="CF200" s="80">
        <v>39533</v>
      </c>
      <c r="CG200" s="80">
        <v>12450</v>
      </c>
      <c r="CH200" s="80">
        <v>298</v>
      </c>
      <c r="CI200" s="80">
        <v>33</v>
      </c>
      <c r="CJ200" s="80">
        <v>33</v>
      </c>
      <c r="CK200" s="80">
        <v>1848</v>
      </c>
      <c r="CL200" s="80">
        <v>8244</v>
      </c>
      <c r="CM200" s="80">
        <v>8190</v>
      </c>
      <c r="CN200" s="80">
        <v>4468</v>
      </c>
      <c r="CO200" s="80">
        <v>3722</v>
      </c>
      <c r="CP200" s="80">
        <v>0</v>
      </c>
      <c r="CQ200" s="80">
        <v>54</v>
      </c>
      <c r="CR200" s="80">
        <v>0</v>
      </c>
      <c r="CS200" s="80">
        <v>0</v>
      </c>
      <c r="CT200" s="80">
        <v>54</v>
      </c>
      <c r="CU200" s="80">
        <v>0</v>
      </c>
      <c r="CV200" s="80">
        <v>133</v>
      </c>
      <c r="CW200" s="80">
        <v>2</v>
      </c>
      <c r="CX200" s="80">
        <v>15</v>
      </c>
      <c r="CY200" s="80">
        <v>116</v>
      </c>
      <c r="CZ200" s="80">
        <v>19812</v>
      </c>
      <c r="DA200" s="80">
        <v>81</v>
      </c>
      <c r="DB200" s="80">
        <v>81</v>
      </c>
      <c r="DC200" s="80">
        <v>0</v>
      </c>
      <c r="DD200" s="80">
        <v>0</v>
      </c>
      <c r="DE200" s="80">
        <v>0</v>
      </c>
      <c r="DF200" s="80">
        <v>0</v>
      </c>
      <c r="DG200" s="80">
        <v>6712</v>
      </c>
      <c r="DH200" s="80">
        <v>3462</v>
      </c>
      <c r="DI200" s="80">
        <v>31</v>
      </c>
      <c r="DJ200" s="80">
        <v>3431</v>
      </c>
      <c r="DK200" s="80">
        <v>0</v>
      </c>
      <c r="DL200" s="80">
        <v>0</v>
      </c>
      <c r="DM200" s="80">
        <v>3250</v>
      </c>
      <c r="DN200" s="80">
        <v>1550</v>
      </c>
      <c r="DO200" s="80">
        <v>271</v>
      </c>
      <c r="DP200" s="80">
        <v>266</v>
      </c>
      <c r="DQ200" s="80">
        <v>1163</v>
      </c>
      <c r="DR200" s="80">
        <v>12856</v>
      </c>
      <c r="DS200" s="80">
        <v>5</v>
      </c>
      <c r="DT200" s="80">
        <v>8057</v>
      </c>
      <c r="DU200" s="80">
        <v>4794</v>
      </c>
      <c r="DV200" s="80">
        <v>0</v>
      </c>
      <c r="DW200" s="80">
        <v>163</v>
      </c>
      <c r="DX200" s="80">
        <v>91029</v>
      </c>
      <c r="DY200" s="80">
        <v>59280</v>
      </c>
      <c r="DZ200" s="80">
        <v>43017</v>
      </c>
      <c r="EA200" s="80">
        <v>0</v>
      </c>
      <c r="EB200" s="80">
        <v>6024</v>
      </c>
      <c r="EC200" s="80">
        <v>7612</v>
      </c>
      <c r="ED200" s="80">
        <v>2627</v>
      </c>
      <c r="EE200" s="80">
        <v>1777</v>
      </c>
      <c r="EF200" s="80">
        <v>1777</v>
      </c>
      <c r="EG200" s="80">
        <v>0</v>
      </c>
      <c r="EH200" s="80">
        <v>3449</v>
      </c>
      <c r="EI200" s="80">
        <v>0</v>
      </c>
      <c r="EJ200" s="80">
        <v>3449</v>
      </c>
      <c r="EK200" s="80">
        <v>152</v>
      </c>
      <c r="EL200" s="80">
        <v>0</v>
      </c>
      <c r="EM200" s="80">
        <v>17</v>
      </c>
      <c r="EN200" s="80">
        <v>135</v>
      </c>
      <c r="EO200" s="80">
        <v>26371</v>
      </c>
      <c r="EP200" s="80">
        <v>17851</v>
      </c>
      <c r="EQ200" s="80">
        <v>0</v>
      </c>
      <c r="ER200" s="80">
        <v>16145</v>
      </c>
      <c r="ES200" s="80">
        <v>6787</v>
      </c>
      <c r="ET200" s="80">
        <v>9358</v>
      </c>
      <c r="EU200" s="80">
        <v>0</v>
      </c>
      <c r="EV200" s="80">
        <v>0</v>
      </c>
      <c r="EW200" s="80">
        <v>400</v>
      </c>
      <c r="EX200" s="80">
        <v>0</v>
      </c>
      <c r="EY200" s="80">
        <v>0</v>
      </c>
      <c r="EZ200" s="80">
        <v>0</v>
      </c>
      <c r="FA200" s="80">
        <v>1306</v>
      </c>
      <c r="FB200" s="80">
        <v>0</v>
      </c>
      <c r="FC200" s="80">
        <v>0</v>
      </c>
      <c r="FD200" s="80">
        <v>8520</v>
      </c>
      <c r="FE200" s="80">
        <v>0</v>
      </c>
      <c r="FF200" s="80">
        <v>4100</v>
      </c>
      <c r="FG200" s="80">
        <v>1450</v>
      </c>
      <c r="FH200" s="80">
        <v>1650</v>
      </c>
      <c r="FI200" s="80">
        <v>1000</v>
      </c>
      <c r="FJ200" s="80">
        <v>0</v>
      </c>
      <c r="FK200" s="80">
        <v>200</v>
      </c>
      <c r="FL200" s="80">
        <v>0</v>
      </c>
      <c r="FM200" s="80">
        <v>344</v>
      </c>
      <c r="FN200" s="80">
        <v>1853</v>
      </c>
      <c r="FO200" s="80">
        <v>268</v>
      </c>
      <c r="FP200" s="80">
        <v>1755</v>
      </c>
      <c r="FQ200" s="80">
        <v>91029</v>
      </c>
      <c r="FR200" s="80">
        <v>3387</v>
      </c>
      <c r="FS200" s="80">
        <v>15815</v>
      </c>
      <c r="FT200" s="100">
        <v>36123.853856572721</v>
      </c>
      <c r="FU200" s="100"/>
      <c r="FV200" s="100">
        <v>15276</v>
      </c>
      <c r="FW200" s="67">
        <v>3499</v>
      </c>
      <c r="FX200" s="100">
        <f t="shared" si="15"/>
        <v>-36089</v>
      </c>
      <c r="FY200" s="100">
        <f t="shared" si="16"/>
        <v>-52234</v>
      </c>
      <c r="FZ200" s="100">
        <v>33709.644632210176</v>
      </c>
      <c r="GA200" s="67">
        <v>16145</v>
      </c>
      <c r="GB200" s="58">
        <f t="shared" si="13"/>
        <v>869</v>
      </c>
      <c r="GC200" s="67">
        <v>3503</v>
      </c>
      <c r="GD200" s="100">
        <v>831</v>
      </c>
      <c r="GE200" s="100">
        <v>758</v>
      </c>
      <c r="GF200" s="58">
        <f t="shared" si="14"/>
        <v>73</v>
      </c>
      <c r="GG200" s="100">
        <v>-10983.117</v>
      </c>
      <c r="GH200" s="100">
        <v>-780.90295000000015</v>
      </c>
      <c r="GI200" s="100">
        <v>-22469.074209758732</v>
      </c>
      <c r="GJ200" s="67">
        <f t="shared" si="17"/>
        <v>4</v>
      </c>
      <c r="GK200" s="67"/>
      <c r="GM200" s="96"/>
    </row>
    <row r="201" spans="1:195" ht="13.5" customHeight="1" x14ac:dyDescent="0.2">
      <c r="A201" s="74">
        <v>616</v>
      </c>
      <c r="B201" s="75" t="s">
        <v>136</v>
      </c>
      <c r="C201" s="75" t="s">
        <v>136</v>
      </c>
      <c r="D201" s="76"/>
      <c r="E201" s="77" t="s">
        <v>218</v>
      </c>
      <c r="F201" s="78">
        <v>1</v>
      </c>
      <c r="G201" s="79">
        <v>1971</v>
      </c>
      <c r="H201" s="80">
        <v>1718</v>
      </c>
      <c r="I201" s="80">
        <v>594</v>
      </c>
      <c r="J201" s="80">
        <v>216</v>
      </c>
      <c r="K201" s="80">
        <v>327</v>
      </c>
      <c r="L201" s="80">
        <v>581</v>
      </c>
      <c r="M201" s="80">
        <v>0</v>
      </c>
      <c r="N201" s="80">
        <v>0</v>
      </c>
      <c r="O201" s="80">
        <v>12175</v>
      </c>
      <c r="P201" s="80">
        <v>2720</v>
      </c>
      <c r="Q201" s="80">
        <v>2038</v>
      </c>
      <c r="R201" s="80">
        <v>682</v>
      </c>
      <c r="S201" s="80">
        <v>613</v>
      </c>
      <c r="T201" s="80">
        <v>69</v>
      </c>
      <c r="U201" s="80">
        <v>8586</v>
      </c>
      <c r="V201" s="80">
        <v>556</v>
      </c>
      <c r="W201" s="80">
        <v>223</v>
      </c>
      <c r="X201" s="80">
        <v>90</v>
      </c>
      <c r="Y201" s="80">
        <v>-10457</v>
      </c>
      <c r="Z201" s="80">
        <v>7220</v>
      </c>
      <c r="AA201" s="80">
        <v>6446</v>
      </c>
      <c r="AB201" s="80">
        <v>340</v>
      </c>
      <c r="AC201" s="80">
        <v>434</v>
      </c>
      <c r="AD201" s="80">
        <v>3626</v>
      </c>
      <c r="AE201" s="80">
        <v>17</v>
      </c>
      <c r="AF201" s="80">
        <v>0</v>
      </c>
      <c r="AG201" s="80">
        <v>143</v>
      </c>
      <c r="AH201" s="80">
        <v>140</v>
      </c>
      <c r="AI201" s="80">
        <v>125</v>
      </c>
      <c r="AJ201" s="80">
        <v>1</v>
      </c>
      <c r="AK201" s="80">
        <v>406</v>
      </c>
      <c r="AL201" s="80">
        <v>463</v>
      </c>
      <c r="AM201" s="80">
        <v>463</v>
      </c>
      <c r="AN201" s="80">
        <v>0</v>
      </c>
      <c r="AO201" s="80">
        <v>0</v>
      </c>
      <c r="AP201" s="80">
        <v>0</v>
      </c>
      <c r="AQ201" s="80">
        <v>0</v>
      </c>
      <c r="AR201" s="80">
        <v>-57</v>
      </c>
      <c r="AS201" s="80">
        <v>0</v>
      </c>
      <c r="AT201" s="80">
        <v>0</v>
      </c>
      <c r="AU201" s="80">
        <v>0</v>
      </c>
      <c r="AV201" s="80">
        <v>-57</v>
      </c>
      <c r="AW201" s="81"/>
      <c r="AX201" s="80">
        <v>181</v>
      </c>
      <c r="AY201" s="80">
        <v>406</v>
      </c>
      <c r="AZ201" s="80">
        <v>0</v>
      </c>
      <c r="BA201" s="80">
        <v>-225</v>
      </c>
      <c r="BB201" s="80">
        <v>303</v>
      </c>
      <c r="BC201" s="80">
        <v>29</v>
      </c>
      <c r="BD201" s="80">
        <v>0</v>
      </c>
      <c r="BE201" s="80">
        <v>332</v>
      </c>
      <c r="BF201" s="80">
        <v>484</v>
      </c>
      <c r="BG201" s="80">
        <v>-511</v>
      </c>
      <c r="BH201" s="80">
        <v>-3</v>
      </c>
      <c r="BI201" s="80">
        <v>3</v>
      </c>
      <c r="BJ201" s="80">
        <v>0</v>
      </c>
      <c r="BK201" s="80">
        <v>-132</v>
      </c>
      <c r="BL201" s="80">
        <v>2000</v>
      </c>
      <c r="BM201" s="80">
        <v>782</v>
      </c>
      <c r="BN201" s="80">
        <v>-1350</v>
      </c>
      <c r="BO201" s="80">
        <v>0</v>
      </c>
      <c r="BP201" s="80">
        <v>-376</v>
      </c>
      <c r="BQ201" s="80">
        <v>0</v>
      </c>
      <c r="BR201" s="80">
        <v>2</v>
      </c>
      <c r="BS201" s="80">
        <v>-350</v>
      </c>
      <c r="BT201" s="80">
        <v>-28</v>
      </c>
      <c r="BU201" s="80">
        <v>-26</v>
      </c>
      <c r="BV201" s="80">
        <v>720</v>
      </c>
      <c r="BW201" s="80">
        <v>746</v>
      </c>
      <c r="BX201" s="81"/>
      <c r="BY201" s="80">
        <v>11273</v>
      </c>
      <c r="BZ201" s="80">
        <v>503</v>
      </c>
      <c r="CA201" s="80">
        <v>503</v>
      </c>
      <c r="CB201" s="80">
        <v>0</v>
      </c>
      <c r="CC201" s="80">
        <v>0</v>
      </c>
      <c r="CD201" s="80">
        <v>8292</v>
      </c>
      <c r="CE201" s="80">
        <v>1261</v>
      </c>
      <c r="CF201" s="80">
        <v>3913</v>
      </c>
      <c r="CG201" s="80">
        <v>3014</v>
      </c>
      <c r="CH201" s="80">
        <v>0</v>
      </c>
      <c r="CI201" s="80">
        <v>0</v>
      </c>
      <c r="CJ201" s="80">
        <v>0</v>
      </c>
      <c r="CK201" s="80">
        <v>104</v>
      </c>
      <c r="CL201" s="80">
        <v>2478</v>
      </c>
      <c r="CM201" s="80">
        <v>2478</v>
      </c>
      <c r="CN201" s="80">
        <v>1222</v>
      </c>
      <c r="CO201" s="80">
        <v>1256</v>
      </c>
      <c r="CP201" s="80">
        <v>0</v>
      </c>
      <c r="CQ201" s="80">
        <v>0</v>
      </c>
      <c r="CR201" s="80">
        <v>0</v>
      </c>
      <c r="CS201" s="80">
        <v>0</v>
      </c>
      <c r="CT201" s="80">
        <v>0</v>
      </c>
      <c r="CU201" s="80">
        <v>0</v>
      </c>
      <c r="CV201" s="80">
        <v>0</v>
      </c>
      <c r="CW201" s="80">
        <v>0</v>
      </c>
      <c r="CX201" s="80">
        <v>0</v>
      </c>
      <c r="CY201" s="80">
        <v>0</v>
      </c>
      <c r="CZ201" s="80">
        <v>1391</v>
      </c>
      <c r="DA201" s="80">
        <v>97</v>
      </c>
      <c r="DB201" s="80">
        <v>97</v>
      </c>
      <c r="DC201" s="80">
        <v>0</v>
      </c>
      <c r="DD201" s="80">
        <v>0</v>
      </c>
      <c r="DE201" s="80">
        <v>0</v>
      </c>
      <c r="DF201" s="80">
        <v>0</v>
      </c>
      <c r="DG201" s="80">
        <v>573</v>
      </c>
      <c r="DH201" s="80">
        <v>0</v>
      </c>
      <c r="DI201" s="80">
        <v>0</v>
      </c>
      <c r="DJ201" s="80">
        <v>0</v>
      </c>
      <c r="DK201" s="80">
        <v>0</v>
      </c>
      <c r="DL201" s="80">
        <v>0</v>
      </c>
      <c r="DM201" s="80">
        <v>573</v>
      </c>
      <c r="DN201" s="80">
        <v>117</v>
      </c>
      <c r="DO201" s="80">
        <v>0</v>
      </c>
      <c r="DP201" s="80">
        <v>27</v>
      </c>
      <c r="DQ201" s="80">
        <v>429</v>
      </c>
      <c r="DR201" s="80">
        <v>7</v>
      </c>
      <c r="DS201" s="80">
        <v>7</v>
      </c>
      <c r="DT201" s="80">
        <v>0</v>
      </c>
      <c r="DU201" s="80">
        <v>0</v>
      </c>
      <c r="DV201" s="80">
        <v>0</v>
      </c>
      <c r="DW201" s="80">
        <v>714</v>
      </c>
      <c r="DX201" s="80">
        <v>12664</v>
      </c>
      <c r="DY201" s="80">
        <v>5320</v>
      </c>
      <c r="DZ201" s="80">
        <v>4548</v>
      </c>
      <c r="EA201" s="80">
        <v>0</v>
      </c>
      <c r="EB201" s="80">
        <v>0</v>
      </c>
      <c r="EC201" s="80">
        <v>829</v>
      </c>
      <c r="ED201" s="80">
        <v>-57</v>
      </c>
      <c r="EE201" s="80">
        <v>0</v>
      </c>
      <c r="EF201" s="80">
        <v>0</v>
      </c>
      <c r="EG201" s="80">
        <v>0</v>
      </c>
      <c r="EH201" s="80">
        <v>42</v>
      </c>
      <c r="EI201" s="80">
        <v>0</v>
      </c>
      <c r="EJ201" s="80">
        <v>42</v>
      </c>
      <c r="EK201" s="80">
        <v>0</v>
      </c>
      <c r="EL201" s="80">
        <v>0</v>
      </c>
      <c r="EM201" s="80">
        <v>0</v>
      </c>
      <c r="EN201" s="80">
        <v>0</v>
      </c>
      <c r="EO201" s="80">
        <v>7302</v>
      </c>
      <c r="EP201" s="80">
        <v>4163</v>
      </c>
      <c r="EQ201" s="80">
        <v>0</v>
      </c>
      <c r="ER201" s="80">
        <v>3599</v>
      </c>
      <c r="ES201" s="80">
        <v>0</v>
      </c>
      <c r="ET201" s="80">
        <v>3599</v>
      </c>
      <c r="EU201" s="80">
        <v>0</v>
      </c>
      <c r="EV201" s="80">
        <v>0</v>
      </c>
      <c r="EW201" s="80">
        <v>0</v>
      </c>
      <c r="EX201" s="80">
        <v>0</v>
      </c>
      <c r="EY201" s="80">
        <v>33</v>
      </c>
      <c r="EZ201" s="80">
        <v>0</v>
      </c>
      <c r="FA201" s="80">
        <v>531</v>
      </c>
      <c r="FB201" s="80">
        <v>0</v>
      </c>
      <c r="FC201" s="80">
        <v>0</v>
      </c>
      <c r="FD201" s="80">
        <v>3139</v>
      </c>
      <c r="FE201" s="80">
        <v>0</v>
      </c>
      <c r="FF201" s="80">
        <v>2047</v>
      </c>
      <c r="FG201" s="80">
        <v>1100</v>
      </c>
      <c r="FH201" s="80">
        <v>947</v>
      </c>
      <c r="FI201" s="80">
        <v>0</v>
      </c>
      <c r="FJ201" s="80">
        <v>0</v>
      </c>
      <c r="FK201" s="80">
        <v>0</v>
      </c>
      <c r="FL201" s="80">
        <v>0</v>
      </c>
      <c r="FM201" s="80">
        <v>2</v>
      </c>
      <c r="FN201" s="80">
        <v>677</v>
      </c>
      <c r="FO201" s="80">
        <v>90</v>
      </c>
      <c r="FP201" s="80">
        <v>323</v>
      </c>
      <c r="FQ201" s="80">
        <v>12664</v>
      </c>
      <c r="FR201" s="80">
        <v>0</v>
      </c>
      <c r="FS201" s="80">
        <v>823</v>
      </c>
      <c r="FT201" s="100">
        <v>6443.8436258100455</v>
      </c>
      <c r="FU201" s="100"/>
      <c r="FV201" s="100">
        <v>2493</v>
      </c>
      <c r="FW201" s="67">
        <v>454</v>
      </c>
      <c r="FX201" s="100">
        <f t="shared" si="15"/>
        <v>-7341</v>
      </c>
      <c r="FY201" s="100">
        <f t="shared" si="16"/>
        <v>-9994</v>
      </c>
      <c r="FZ201" s="100">
        <v>5994.2856930216203</v>
      </c>
      <c r="GA201" s="67">
        <v>2653</v>
      </c>
      <c r="GB201" s="58">
        <f t="shared" si="13"/>
        <v>160</v>
      </c>
      <c r="GC201" s="67">
        <v>463</v>
      </c>
      <c r="GD201" s="100">
        <v>214</v>
      </c>
      <c r="GE201" s="100">
        <v>213</v>
      </c>
      <c r="GF201" s="58">
        <f t="shared" si="14"/>
        <v>1</v>
      </c>
      <c r="GG201" s="100">
        <v>-3501.1730000000002</v>
      </c>
      <c r="GH201" s="100">
        <v>-134.92810000000006</v>
      </c>
      <c r="GI201" s="100">
        <v>-2480.2541934522574</v>
      </c>
      <c r="GJ201" s="67">
        <f t="shared" si="17"/>
        <v>9</v>
      </c>
      <c r="GK201" s="67"/>
      <c r="GM201" s="96"/>
    </row>
    <row r="202" spans="1:195" ht="13.5" customHeight="1" x14ac:dyDescent="0.2">
      <c r="A202" s="74">
        <v>619</v>
      </c>
      <c r="B202" s="75" t="s">
        <v>137</v>
      </c>
      <c r="C202" s="75" t="s">
        <v>137</v>
      </c>
      <c r="D202" s="76"/>
      <c r="E202" s="77" t="s">
        <v>214</v>
      </c>
      <c r="F202" s="78">
        <v>2</v>
      </c>
      <c r="G202" s="79">
        <v>3049</v>
      </c>
      <c r="H202" s="80">
        <v>2916</v>
      </c>
      <c r="I202" s="80">
        <v>1353</v>
      </c>
      <c r="J202" s="80">
        <v>156</v>
      </c>
      <c r="K202" s="80">
        <v>433</v>
      </c>
      <c r="L202" s="80">
        <v>974</v>
      </c>
      <c r="M202" s="80">
        <v>0</v>
      </c>
      <c r="N202" s="80">
        <v>0</v>
      </c>
      <c r="O202" s="80">
        <v>21438</v>
      </c>
      <c r="P202" s="80">
        <v>6074</v>
      </c>
      <c r="Q202" s="80">
        <v>4449</v>
      </c>
      <c r="R202" s="80">
        <v>1625</v>
      </c>
      <c r="S202" s="80">
        <v>1409</v>
      </c>
      <c r="T202" s="80">
        <v>216</v>
      </c>
      <c r="U202" s="80">
        <v>13800</v>
      </c>
      <c r="V202" s="80">
        <v>1188</v>
      </c>
      <c r="W202" s="80">
        <v>286</v>
      </c>
      <c r="X202" s="80">
        <v>90</v>
      </c>
      <c r="Y202" s="80">
        <v>-18522</v>
      </c>
      <c r="Z202" s="80">
        <v>8989</v>
      </c>
      <c r="AA202" s="80">
        <v>7872</v>
      </c>
      <c r="AB202" s="80">
        <v>502</v>
      </c>
      <c r="AC202" s="80">
        <v>615</v>
      </c>
      <c r="AD202" s="80">
        <v>10862</v>
      </c>
      <c r="AE202" s="80">
        <v>-16</v>
      </c>
      <c r="AF202" s="80">
        <v>6</v>
      </c>
      <c r="AG202" s="80">
        <v>7</v>
      </c>
      <c r="AH202" s="80">
        <v>2</v>
      </c>
      <c r="AI202" s="80">
        <v>29</v>
      </c>
      <c r="AJ202" s="80">
        <v>0</v>
      </c>
      <c r="AK202" s="80">
        <v>1313</v>
      </c>
      <c r="AL202" s="80">
        <v>771</v>
      </c>
      <c r="AM202" s="80">
        <v>771</v>
      </c>
      <c r="AN202" s="80">
        <v>0</v>
      </c>
      <c r="AO202" s="80">
        <v>0</v>
      </c>
      <c r="AP202" s="80">
        <v>0</v>
      </c>
      <c r="AQ202" s="80">
        <v>0</v>
      </c>
      <c r="AR202" s="80">
        <v>542</v>
      </c>
      <c r="AS202" s="80">
        <v>-51</v>
      </c>
      <c r="AT202" s="80">
        <v>107</v>
      </c>
      <c r="AU202" s="80">
        <v>0</v>
      </c>
      <c r="AV202" s="80">
        <v>598</v>
      </c>
      <c r="AW202" s="81"/>
      <c r="AX202" s="80">
        <v>1313</v>
      </c>
      <c r="AY202" s="80">
        <v>1313</v>
      </c>
      <c r="AZ202" s="80">
        <v>0</v>
      </c>
      <c r="BA202" s="80">
        <v>0</v>
      </c>
      <c r="BB202" s="80">
        <v>-986</v>
      </c>
      <c r="BC202" s="80">
        <v>1095</v>
      </c>
      <c r="BD202" s="80">
        <v>55</v>
      </c>
      <c r="BE202" s="80">
        <v>54</v>
      </c>
      <c r="BF202" s="80">
        <v>327</v>
      </c>
      <c r="BG202" s="80">
        <v>-1057</v>
      </c>
      <c r="BH202" s="80">
        <v>0</v>
      </c>
      <c r="BI202" s="80">
        <v>0</v>
      </c>
      <c r="BJ202" s="80">
        <v>0</v>
      </c>
      <c r="BK202" s="80">
        <v>-869</v>
      </c>
      <c r="BL202" s="80">
        <v>0</v>
      </c>
      <c r="BM202" s="80">
        <v>469</v>
      </c>
      <c r="BN202" s="80">
        <v>-400</v>
      </c>
      <c r="BO202" s="80">
        <v>0</v>
      </c>
      <c r="BP202" s="80">
        <v>-188</v>
      </c>
      <c r="BQ202" s="80">
        <v>-10</v>
      </c>
      <c r="BR202" s="80">
        <v>42</v>
      </c>
      <c r="BS202" s="80">
        <v>292</v>
      </c>
      <c r="BT202" s="80">
        <v>-512</v>
      </c>
      <c r="BU202" s="80">
        <v>-729</v>
      </c>
      <c r="BV202" s="80">
        <v>252</v>
      </c>
      <c r="BW202" s="80">
        <v>981</v>
      </c>
      <c r="BX202" s="81"/>
      <c r="BY202" s="80">
        <v>16479</v>
      </c>
      <c r="BZ202" s="80">
        <v>147</v>
      </c>
      <c r="CA202" s="80">
        <v>0</v>
      </c>
      <c r="CB202" s="80">
        <v>147</v>
      </c>
      <c r="CC202" s="80">
        <v>0</v>
      </c>
      <c r="CD202" s="80">
        <v>12476</v>
      </c>
      <c r="CE202" s="80">
        <v>1359</v>
      </c>
      <c r="CF202" s="80">
        <v>7707</v>
      </c>
      <c r="CG202" s="80">
        <v>2558</v>
      </c>
      <c r="CH202" s="80">
        <v>17</v>
      </c>
      <c r="CI202" s="80">
        <v>29</v>
      </c>
      <c r="CJ202" s="80">
        <v>29</v>
      </c>
      <c r="CK202" s="80">
        <v>806</v>
      </c>
      <c r="CL202" s="80">
        <v>3856</v>
      </c>
      <c r="CM202" s="80">
        <v>3627</v>
      </c>
      <c r="CN202" s="80">
        <v>2038</v>
      </c>
      <c r="CO202" s="80">
        <v>1589</v>
      </c>
      <c r="CP202" s="80">
        <v>0</v>
      </c>
      <c r="CQ202" s="80">
        <v>227</v>
      </c>
      <c r="CR202" s="80">
        <v>0</v>
      </c>
      <c r="CS202" s="80">
        <v>14</v>
      </c>
      <c r="CT202" s="80">
        <v>213</v>
      </c>
      <c r="CU202" s="80">
        <v>2</v>
      </c>
      <c r="CV202" s="80">
        <v>0</v>
      </c>
      <c r="CW202" s="80">
        <v>0</v>
      </c>
      <c r="CX202" s="80">
        <v>0</v>
      </c>
      <c r="CY202" s="80">
        <v>0</v>
      </c>
      <c r="CZ202" s="80">
        <v>1208</v>
      </c>
      <c r="DA202" s="80">
        <v>57</v>
      </c>
      <c r="DB202" s="80">
        <v>57</v>
      </c>
      <c r="DC202" s="80">
        <v>0</v>
      </c>
      <c r="DD202" s="80">
        <v>0</v>
      </c>
      <c r="DE202" s="80">
        <v>0</v>
      </c>
      <c r="DF202" s="80">
        <v>0</v>
      </c>
      <c r="DG202" s="80">
        <v>899</v>
      </c>
      <c r="DH202" s="80">
        <v>0</v>
      </c>
      <c r="DI202" s="80">
        <v>0</v>
      </c>
      <c r="DJ202" s="80">
        <v>0</v>
      </c>
      <c r="DK202" s="80">
        <v>0</v>
      </c>
      <c r="DL202" s="80">
        <v>0</v>
      </c>
      <c r="DM202" s="80">
        <v>899</v>
      </c>
      <c r="DN202" s="80">
        <v>212</v>
      </c>
      <c r="DO202" s="80">
        <v>0</v>
      </c>
      <c r="DP202" s="80">
        <v>216</v>
      </c>
      <c r="DQ202" s="80">
        <v>471</v>
      </c>
      <c r="DR202" s="80">
        <v>0</v>
      </c>
      <c r="DS202" s="80">
        <v>0</v>
      </c>
      <c r="DT202" s="80">
        <v>0</v>
      </c>
      <c r="DU202" s="80">
        <v>0</v>
      </c>
      <c r="DV202" s="80">
        <v>0</v>
      </c>
      <c r="DW202" s="80">
        <v>252</v>
      </c>
      <c r="DX202" s="80">
        <v>17687</v>
      </c>
      <c r="DY202" s="80">
        <v>12555</v>
      </c>
      <c r="DZ202" s="80">
        <v>9791</v>
      </c>
      <c r="EA202" s="80">
        <v>0</v>
      </c>
      <c r="EB202" s="80">
        <v>0</v>
      </c>
      <c r="EC202" s="80">
        <v>2166</v>
      </c>
      <c r="ED202" s="80">
        <v>598</v>
      </c>
      <c r="EE202" s="80">
        <v>838</v>
      </c>
      <c r="EF202" s="80">
        <v>838</v>
      </c>
      <c r="EG202" s="80">
        <v>0</v>
      </c>
      <c r="EH202" s="80">
        <v>0</v>
      </c>
      <c r="EI202" s="80">
        <v>0</v>
      </c>
      <c r="EJ202" s="80">
        <v>0</v>
      </c>
      <c r="EK202" s="80">
        <v>145</v>
      </c>
      <c r="EL202" s="80">
        <v>0</v>
      </c>
      <c r="EM202" s="80">
        <v>145</v>
      </c>
      <c r="EN202" s="80">
        <v>0</v>
      </c>
      <c r="EO202" s="80">
        <v>4149</v>
      </c>
      <c r="EP202" s="80">
        <v>1665</v>
      </c>
      <c r="EQ202" s="80">
        <v>0</v>
      </c>
      <c r="ER202" s="80">
        <v>1291</v>
      </c>
      <c r="ES202" s="80">
        <v>241</v>
      </c>
      <c r="ET202" s="80">
        <v>1050</v>
      </c>
      <c r="EU202" s="80">
        <v>0</v>
      </c>
      <c r="EV202" s="80">
        <v>0</v>
      </c>
      <c r="EW202" s="80">
        <v>0</v>
      </c>
      <c r="EX202" s="80">
        <v>0</v>
      </c>
      <c r="EY202" s="80">
        <v>0</v>
      </c>
      <c r="EZ202" s="80">
        <v>0</v>
      </c>
      <c r="FA202" s="80">
        <v>374</v>
      </c>
      <c r="FB202" s="80">
        <v>0</v>
      </c>
      <c r="FC202" s="80">
        <v>0</v>
      </c>
      <c r="FD202" s="80">
        <v>2484</v>
      </c>
      <c r="FE202" s="80">
        <v>0</v>
      </c>
      <c r="FF202" s="80">
        <v>1069</v>
      </c>
      <c r="FG202" s="80">
        <v>919</v>
      </c>
      <c r="FH202" s="80">
        <v>150</v>
      </c>
      <c r="FI202" s="80">
        <v>0</v>
      </c>
      <c r="FJ202" s="80">
        <v>0</v>
      </c>
      <c r="FK202" s="80">
        <v>0</v>
      </c>
      <c r="FL202" s="80">
        <v>0</v>
      </c>
      <c r="FM202" s="80">
        <v>37</v>
      </c>
      <c r="FN202" s="80">
        <v>600</v>
      </c>
      <c r="FO202" s="80">
        <v>144</v>
      </c>
      <c r="FP202" s="80">
        <v>634</v>
      </c>
      <c r="FQ202" s="80">
        <v>17687</v>
      </c>
      <c r="FR202" s="80">
        <v>762</v>
      </c>
      <c r="FS202" s="80">
        <v>1904</v>
      </c>
      <c r="FT202" s="100">
        <v>11185.865453982267</v>
      </c>
      <c r="FU202" s="100"/>
      <c r="FV202" s="100">
        <v>4678</v>
      </c>
      <c r="FW202" s="67">
        <v>762</v>
      </c>
      <c r="FX202" s="100">
        <f t="shared" si="15"/>
        <v>-12930</v>
      </c>
      <c r="FY202" s="100">
        <f t="shared" si="16"/>
        <v>-17751</v>
      </c>
      <c r="FZ202" s="100">
        <v>11713.783006550359</v>
      </c>
      <c r="GA202" s="67">
        <v>4821</v>
      </c>
      <c r="GB202" s="58">
        <f t="shared" ref="GB202:GB265" si="18">GA202-FV202</f>
        <v>143</v>
      </c>
      <c r="GC202" s="67">
        <v>771</v>
      </c>
      <c r="GD202" s="100">
        <v>153</v>
      </c>
      <c r="GE202" s="100">
        <v>153</v>
      </c>
      <c r="GF202" s="58">
        <f t="shared" ref="GF202:GF265" si="19">GD202-GE202</f>
        <v>0</v>
      </c>
      <c r="GG202" s="100">
        <v>-4393.9769999999999</v>
      </c>
      <c r="GH202" s="100">
        <v>-173.54170000000008</v>
      </c>
      <c r="GI202" s="100">
        <v>-7393.6860361683621</v>
      </c>
      <c r="GJ202" s="67">
        <f t="shared" si="17"/>
        <v>9</v>
      </c>
      <c r="GK202" s="67"/>
      <c r="GM202" s="96"/>
    </row>
    <row r="203" spans="1:195" ht="13.5" customHeight="1" x14ac:dyDescent="0.2">
      <c r="A203" s="74">
        <v>620</v>
      </c>
      <c r="B203" s="75" t="s">
        <v>138</v>
      </c>
      <c r="C203" s="75" t="s">
        <v>138</v>
      </c>
      <c r="D203" s="76"/>
      <c r="E203" s="77" t="s">
        <v>234</v>
      </c>
      <c r="F203" s="78">
        <v>2</v>
      </c>
      <c r="G203" s="79">
        <v>2776</v>
      </c>
      <c r="H203" s="80">
        <v>4560</v>
      </c>
      <c r="I203" s="80">
        <v>1789</v>
      </c>
      <c r="J203" s="80">
        <v>1210</v>
      </c>
      <c r="K203" s="80">
        <v>428</v>
      </c>
      <c r="L203" s="80">
        <v>1133</v>
      </c>
      <c r="M203" s="80">
        <v>0</v>
      </c>
      <c r="N203" s="80">
        <v>0</v>
      </c>
      <c r="O203" s="80">
        <v>26290</v>
      </c>
      <c r="P203" s="80">
        <v>6787</v>
      </c>
      <c r="Q203" s="80">
        <v>4517</v>
      </c>
      <c r="R203" s="80">
        <v>2270</v>
      </c>
      <c r="S203" s="80">
        <v>2039</v>
      </c>
      <c r="T203" s="80">
        <v>231</v>
      </c>
      <c r="U203" s="80">
        <v>15874</v>
      </c>
      <c r="V203" s="80">
        <v>2051</v>
      </c>
      <c r="W203" s="80">
        <v>1320</v>
      </c>
      <c r="X203" s="80">
        <v>258</v>
      </c>
      <c r="Y203" s="80">
        <v>-21730</v>
      </c>
      <c r="Z203" s="80">
        <v>9325</v>
      </c>
      <c r="AA203" s="80">
        <v>7254</v>
      </c>
      <c r="AB203" s="80">
        <v>1277</v>
      </c>
      <c r="AC203" s="80">
        <v>794</v>
      </c>
      <c r="AD203" s="80">
        <v>13855</v>
      </c>
      <c r="AE203" s="80">
        <v>-63</v>
      </c>
      <c r="AF203" s="80">
        <v>2</v>
      </c>
      <c r="AG203" s="80">
        <v>22</v>
      </c>
      <c r="AH203" s="80">
        <v>0</v>
      </c>
      <c r="AI203" s="80">
        <v>73</v>
      </c>
      <c r="AJ203" s="80">
        <v>14</v>
      </c>
      <c r="AK203" s="80">
        <v>1387</v>
      </c>
      <c r="AL203" s="80">
        <v>996</v>
      </c>
      <c r="AM203" s="80">
        <v>996</v>
      </c>
      <c r="AN203" s="80">
        <v>0</v>
      </c>
      <c r="AO203" s="80">
        <v>0</v>
      </c>
      <c r="AP203" s="80">
        <v>0</v>
      </c>
      <c r="AQ203" s="80">
        <v>0</v>
      </c>
      <c r="AR203" s="80">
        <v>391</v>
      </c>
      <c r="AS203" s="80">
        <v>72</v>
      </c>
      <c r="AT203" s="80">
        <v>0</v>
      </c>
      <c r="AU203" s="80">
        <v>0</v>
      </c>
      <c r="AV203" s="80">
        <v>463</v>
      </c>
      <c r="AW203" s="81"/>
      <c r="AX203" s="80">
        <v>1363</v>
      </c>
      <c r="AY203" s="80">
        <v>1387</v>
      </c>
      <c r="AZ203" s="80">
        <v>0</v>
      </c>
      <c r="BA203" s="80">
        <v>-24</v>
      </c>
      <c r="BB203" s="80">
        <v>-766</v>
      </c>
      <c r="BC203" s="80">
        <v>930</v>
      </c>
      <c r="BD203" s="80">
        <v>11</v>
      </c>
      <c r="BE203" s="80">
        <v>153</v>
      </c>
      <c r="BF203" s="80">
        <v>597</v>
      </c>
      <c r="BG203" s="80">
        <v>-1433</v>
      </c>
      <c r="BH203" s="80">
        <v>44</v>
      </c>
      <c r="BI203" s="80">
        <v>0</v>
      </c>
      <c r="BJ203" s="80">
        <v>44</v>
      </c>
      <c r="BK203" s="80">
        <v>-1035</v>
      </c>
      <c r="BL203" s="80">
        <v>0</v>
      </c>
      <c r="BM203" s="80">
        <v>1035</v>
      </c>
      <c r="BN203" s="80">
        <v>0</v>
      </c>
      <c r="BO203" s="80">
        <v>0</v>
      </c>
      <c r="BP203" s="80">
        <v>-442</v>
      </c>
      <c r="BQ203" s="80">
        <v>-2</v>
      </c>
      <c r="BR203" s="80">
        <v>0</v>
      </c>
      <c r="BS203" s="80">
        <v>229</v>
      </c>
      <c r="BT203" s="80">
        <v>-669</v>
      </c>
      <c r="BU203" s="80">
        <v>-838</v>
      </c>
      <c r="BV203" s="80">
        <v>1431</v>
      </c>
      <c r="BW203" s="80">
        <v>2269</v>
      </c>
      <c r="BX203" s="81"/>
      <c r="BY203" s="80">
        <v>22811</v>
      </c>
      <c r="BZ203" s="80">
        <v>6</v>
      </c>
      <c r="CA203" s="80">
        <v>6</v>
      </c>
      <c r="CB203" s="80">
        <v>0</v>
      </c>
      <c r="CC203" s="80">
        <v>0</v>
      </c>
      <c r="CD203" s="80">
        <v>20983</v>
      </c>
      <c r="CE203" s="80">
        <v>2429</v>
      </c>
      <c r="CF203" s="80">
        <v>15822</v>
      </c>
      <c r="CG203" s="80">
        <v>2252</v>
      </c>
      <c r="CH203" s="80">
        <v>463</v>
      </c>
      <c r="CI203" s="80">
        <v>17</v>
      </c>
      <c r="CJ203" s="80">
        <v>17</v>
      </c>
      <c r="CK203" s="80">
        <v>0</v>
      </c>
      <c r="CL203" s="80">
        <v>1822</v>
      </c>
      <c r="CM203" s="80">
        <v>1122</v>
      </c>
      <c r="CN203" s="80">
        <v>640</v>
      </c>
      <c r="CO203" s="80">
        <v>482</v>
      </c>
      <c r="CP203" s="80">
        <v>0</v>
      </c>
      <c r="CQ203" s="80">
        <v>700</v>
      </c>
      <c r="CR203" s="80">
        <v>0</v>
      </c>
      <c r="CS203" s="80">
        <v>0</v>
      </c>
      <c r="CT203" s="80">
        <v>700</v>
      </c>
      <c r="CU203" s="80">
        <v>0</v>
      </c>
      <c r="CV203" s="80">
        <v>1</v>
      </c>
      <c r="CW203" s="80">
        <v>0</v>
      </c>
      <c r="CX203" s="80">
        <v>1</v>
      </c>
      <c r="CY203" s="80">
        <v>0</v>
      </c>
      <c r="CZ203" s="80">
        <v>4308</v>
      </c>
      <c r="DA203" s="80">
        <v>0</v>
      </c>
      <c r="DB203" s="80">
        <v>0</v>
      </c>
      <c r="DC203" s="80">
        <v>0</v>
      </c>
      <c r="DD203" s="80">
        <v>0</v>
      </c>
      <c r="DE203" s="80">
        <v>0</v>
      </c>
      <c r="DF203" s="80">
        <v>0</v>
      </c>
      <c r="DG203" s="80">
        <v>2877</v>
      </c>
      <c r="DH203" s="80">
        <v>18</v>
      </c>
      <c r="DI203" s="80">
        <v>0</v>
      </c>
      <c r="DJ203" s="80">
        <v>0</v>
      </c>
      <c r="DK203" s="80">
        <v>18</v>
      </c>
      <c r="DL203" s="80">
        <v>0</v>
      </c>
      <c r="DM203" s="80">
        <v>2859</v>
      </c>
      <c r="DN203" s="80">
        <v>2075</v>
      </c>
      <c r="DO203" s="80">
        <v>0</v>
      </c>
      <c r="DP203" s="80">
        <v>418</v>
      </c>
      <c r="DQ203" s="80">
        <v>366</v>
      </c>
      <c r="DR203" s="80">
        <v>336</v>
      </c>
      <c r="DS203" s="80">
        <v>0</v>
      </c>
      <c r="DT203" s="80">
        <v>336</v>
      </c>
      <c r="DU203" s="80">
        <v>0</v>
      </c>
      <c r="DV203" s="80">
        <v>0</v>
      </c>
      <c r="DW203" s="80">
        <v>1095</v>
      </c>
      <c r="DX203" s="80">
        <v>27120</v>
      </c>
      <c r="DY203" s="80">
        <v>14548</v>
      </c>
      <c r="DZ203" s="80">
        <v>12619</v>
      </c>
      <c r="EA203" s="80">
        <v>0</v>
      </c>
      <c r="EB203" s="80">
        <v>0</v>
      </c>
      <c r="EC203" s="80">
        <v>1466</v>
      </c>
      <c r="ED203" s="80">
        <v>463</v>
      </c>
      <c r="EE203" s="80">
        <v>1440</v>
      </c>
      <c r="EF203" s="80">
        <v>1440</v>
      </c>
      <c r="EG203" s="80">
        <v>0</v>
      </c>
      <c r="EH203" s="80">
        <v>0</v>
      </c>
      <c r="EI203" s="80">
        <v>0</v>
      </c>
      <c r="EJ203" s="80">
        <v>0</v>
      </c>
      <c r="EK203" s="80">
        <v>29</v>
      </c>
      <c r="EL203" s="80">
        <v>21</v>
      </c>
      <c r="EM203" s="80">
        <v>8</v>
      </c>
      <c r="EN203" s="80">
        <v>0</v>
      </c>
      <c r="EO203" s="80">
        <v>11103</v>
      </c>
      <c r="EP203" s="80">
        <v>7160</v>
      </c>
      <c r="EQ203" s="80">
        <v>0</v>
      </c>
      <c r="ER203" s="80">
        <v>6984</v>
      </c>
      <c r="ES203" s="80">
        <v>6984</v>
      </c>
      <c r="ET203" s="80">
        <v>0</v>
      </c>
      <c r="EU203" s="80">
        <v>0</v>
      </c>
      <c r="EV203" s="80">
        <v>0</v>
      </c>
      <c r="EW203" s="80">
        <v>0</v>
      </c>
      <c r="EX203" s="80">
        <v>0</v>
      </c>
      <c r="EY203" s="80">
        <v>0</v>
      </c>
      <c r="EZ203" s="80">
        <v>0</v>
      </c>
      <c r="FA203" s="80">
        <v>176</v>
      </c>
      <c r="FB203" s="80">
        <v>0</v>
      </c>
      <c r="FC203" s="80">
        <v>0</v>
      </c>
      <c r="FD203" s="80">
        <v>3943</v>
      </c>
      <c r="FE203" s="80">
        <v>0</v>
      </c>
      <c r="FF203" s="80">
        <v>582</v>
      </c>
      <c r="FG203" s="80">
        <v>582</v>
      </c>
      <c r="FH203" s="80">
        <v>0</v>
      </c>
      <c r="FI203" s="80">
        <v>0</v>
      </c>
      <c r="FJ203" s="80">
        <v>0</v>
      </c>
      <c r="FK203" s="80">
        <v>0</v>
      </c>
      <c r="FL203" s="80">
        <v>0</v>
      </c>
      <c r="FM203" s="80">
        <v>55</v>
      </c>
      <c r="FN203" s="80">
        <v>2101</v>
      </c>
      <c r="FO203" s="80">
        <v>120</v>
      </c>
      <c r="FP203" s="80">
        <v>1085</v>
      </c>
      <c r="FQ203" s="80">
        <v>27120</v>
      </c>
      <c r="FR203" s="80">
        <v>2019</v>
      </c>
      <c r="FS203" s="80">
        <v>717</v>
      </c>
      <c r="FT203" s="100">
        <v>10706.072612986172</v>
      </c>
      <c r="FU203" s="100"/>
      <c r="FV203" s="100">
        <v>3563</v>
      </c>
      <c r="FW203" s="67">
        <v>767</v>
      </c>
      <c r="FX203" s="100">
        <f t="shared" ref="FX203:FX266" si="20">FY203+GA203</f>
        <v>-15223</v>
      </c>
      <c r="FY203" s="100">
        <f t="shared" ref="FY203:FY266" si="21">Y203+AL203</f>
        <v>-20734</v>
      </c>
      <c r="FZ203" s="100">
        <v>14228.138091555798</v>
      </c>
      <c r="GA203" s="67">
        <v>5511</v>
      </c>
      <c r="GB203" s="58">
        <f t="shared" si="18"/>
        <v>1948</v>
      </c>
      <c r="GC203" s="67">
        <v>998</v>
      </c>
      <c r="GD203" s="100">
        <v>1212</v>
      </c>
      <c r="GE203" s="100">
        <v>106</v>
      </c>
      <c r="GF203" s="58">
        <f t="shared" si="19"/>
        <v>1106</v>
      </c>
      <c r="GG203" s="100">
        <v>-3934.8089999999997</v>
      </c>
      <c r="GH203" s="100">
        <v>-372.70215000000013</v>
      </c>
      <c r="GI203" s="100">
        <v>-10380.77700630198</v>
      </c>
      <c r="GJ203" s="67">
        <f t="shared" ref="GJ203:GJ266" si="22">GC203-FW203</f>
        <v>231</v>
      </c>
      <c r="GK203" s="67"/>
      <c r="GM203" s="96"/>
    </row>
    <row r="204" spans="1:195" ht="13.5" customHeight="1" x14ac:dyDescent="0.2">
      <c r="A204" s="74">
        <v>623</v>
      </c>
      <c r="B204" s="75" t="s">
        <v>139</v>
      </c>
      <c r="C204" s="75" t="s">
        <v>139</v>
      </c>
      <c r="D204" s="76"/>
      <c r="E204" s="77" t="s">
        <v>220</v>
      </c>
      <c r="F204" s="78">
        <v>2</v>
      </c>
      <c r="G204" s="79">
        <v>2260</v>
      </c>
      <c r="H204" s="80">
        <v>2503</v>
      </c>
      <c r="I204" s="80">
        <v>1042</v>
      </c>
      <c r="J204" s="80">
        <v>235</v>
      </c>
      <c r="K204" s="80">
        <v>121</v>
      </c>
      <c r="L204" s="80">
        <v>1105</v>
      </c>
      <c r="M204" s="80">
        <v>0</v>
      </c>
      <c r="N204" s="80">
        <v>0</v>
      </c>
      <c r="O204" s="80">
        <v>17595</v>
      </c>
      <c r="P204" s="80">
        <v>4291</v>
      </c>
      <c r="Q204" s="80">
        <v>3013</v>
      </c>
      <c r="R204" s="80">
        <v>1278</v>
      </c>
      <c r="S204" s="80">
        <v>1148</v>
      </c>
      <c r="T204" s="80">
        <v>130</v>
      </c>
      <c r="U204" s="80">
        <v>11917</v>
      </c>
      <c r="V204" s="80">
        <v>972</v>
      </c>
      <c r="W204" s="80">
        <v>211</v>
      </c>
      <c r="X204" s="80">
        <v>204</v>
      </c>
      <c r="Y204" s="80">
        <v>-15092</v>
      </c>
      <c r="Z204" s="80">
        <v>9366</v>
      </c>
      <c r="AA204" s="80">
        <v>6247</v>
      </c>
      <c r="AB204" s="80">
        <v>1400</v>
      </c>
      <c r="AC204" s="80">
        <v>1719</v>
      </c>
      <c r="AD204" s="80">
        <v>8094</v>
      </c>
      <c r="AE204" s="80">
        <v>-39</v>
      </c>
      <c r="AF204" s="80">
        <v>8</v>
      </c>
      <c r="AG204" s="80">
        <v>31</v>
      </c>
      <c r="AH204" s="80">
        <v>28</v>
      </c>
      <c r="AI204" s="80">
        <v>75</v>
      </c>
      <c r="AJ204" s="80">
        <v>3</v>
      </c>
      <c r="AK204" s="80">
        <v>2329</v>
      </c>
      <c r="AL204" s="80">
        <v>863</v>
      </c>
      <c r="AM204" s="80">
        <v>521</v>
      </c>
      <c r="AN204" s="80">
        <v>342</v>
      </c>
      <c r="AO204" s="80">
        <v>-57</v>
      </c>
      <c r="AP204" s="80">
        <v>0</v>
      </c>
      <c r="AQ204" s="80">
        <v>57</v>
      </c>
      <c r="AR204" s="80">
        <v>1409</v>
      </c>
      <c r="AS204" s="80">
        <v>0</v>
      </c>
      <c r="AT204" s="80">
        <v>0</v>
      </c>
      <c r="AU204" s="80">
        <v>0</v>
      </c>
      <c r="AV204" s="80">
        <v>1409</v>
      </c>
      <c r="AW204" s="81"/>
      <c r="AX204" s="80">
        <v>2234</v>
      </c>
      <c r="AY204" s="80">
        <v>2329</v>
      </c>
      <c r="AZ204" s="80">
        <v>-57</v>
      </c>
      <c r="BA204" s="80">
        <v>-38</v>
      </c>
      <c r="BB204" s="80">
        <v>-1197</v>
      </c>
      <c r="BC204" s="80">
        <v>1413</v>
      </c>
      <c r="BD204" s="80">
        <v>19</v>
      </c>
      <c r="BE204" s="80">
        <v>197</v>
      </c>
      <c r="BF204" s="80">
        <v>1037</v>
      </c>
      <c r="BG204" s="80">
        <v>-93</v>
      </c>
      <c r="BH204" s="80">
        <v>13</v>
      </c>
      <c r="BI204" s="80">
        <v>0</v>
      </c>
      <c r="BJ204" s="80">
        <v>13</v>
      </c>
      <c r="BK204" s="80">
        <v>-574</v>
      </c>
      <c r="BL204" s="80">
        <v>0</v>
      </c>
      <c r="BM204" s="80">
        <v>574</v>
      </c>
      <c r="BN204" s="80">
        <v>0</v>
      </c>
      <c r="BO204" s="80">
        <v>0</v>
      </c>
      <c r="BP204" s="80">
        <v>468</v>
      </c>
      <c r="BQ204" s="80">
        <v>-3</v>
      </c>
      <c r="BR204" s="80">
        <v>1</v>
      </c>
      <c r="BS204" s="80">
        <v>574</v>
      </c>
      <c r="BT204" s="80">
        <v>-104</v>
      </c>
      <c r="BU204" s="80">
        <v>944</v>
      </c>
      <c r="BV204" s="80">
        <v>2330</v>
      </c>
      <c r="BW204" s="80">
        <v>1386</v>
      </c>
      <c r="BX204" s="81"/>
      <c r="BY204" s="80">
        <v>14770</v>
      </c>
      <c r="BZ204" s="80">
        <v>162</v>
      </c>
      <c r="CA204" s="80">
        <v>162</v>
      </c>
      <c r="CB204" s="80">
        <v>0</v>
      </c>
      <c r="CC204" s="80">
        <v>0</v>
      </c>
      <c r="CD204" s="80">
        <v>12246</v>
      </c>
      <c r="CE204" s="80">
        <v>1772</v>
      </c>
      <c r="CF204" s="80">
        <v>7458</v>
      </c>
      <c r="CG204" s="80">
        <v>2834</v>
      </c>
      <c r="CH204" s="80">
        <v>182</v>
      </c>
      <c r="CI204" s="80">
        <v>0</v>
      </c>
      <c r="CJ204" s="80">
        <v>0</v>
      </c>
      <c r="CK204" s="80">
        <v>0</v>
      </c>
      <c r="CL204" s="80">
        <v>2362</v>
      </c>
      <c r="CM204" s="80">
        <v>1945</v>
      </c>
      <c r="CN204" s="80">
        <v>877</v>
      </c>
      <c r="CO204" s="80">
        <v>1068</v>
      </c>
      <c r="CP204" s="80">
        <v>0</v>
      </c>
      <c r="CQ204" s="80">
        <v>417</v>
      </c>
      <c r="CR204" s="80">
        <v>0</v>
      </c>
      <c r="CS204" s="80">
        <v>0</v>
      </c>
      <c r="CT204" s="80">
        <v>417</v>
      </c>
      <c r="CU204" s="80">
        <v>0</v>
      </c>
      <c r="CV204" s="80">
        <v>10</v>
      </c>
      <c r="CW204" s="80">
        <v>0</v>
      </c>
      <c r="CX204" s="80">
        <v>10</v>
      </c>
      <c r="CY204" s="80">
        <v>0</v>
      </c>
      <c r="CZ204" s="80">
        <v>2739</v>
      </c>
      <c r="DA204" s="80">
        <v>15</v>
      </c>
      <c r="DB204" s="80">
        <v>0</v>
      </c>
      <c r="DC204" s="80">
        <v>0</v>
      </c>
      <c r="DD204" s="80">
        <v>0</v>
      </c>
      <c r="DE204" s="80">
        <v>15</v>
      </c>
      <c r="DF204" s="80">
        <v>0</v>
      </c>
      <c r="DG204" s="80">
        <v>394</v>
      </c>
      <c r="DH204" s="80">
        <v>0</v>
      </c>
      <c r="DI204" s="80">
        <v>0</v>
      </c>
      <c r="DJ204" s="80">
        <v>0</v>
      </c>
      <c r="DK204" s="80">
        <v>0</v>
      </c>
      <c r="DL204" s="80">
        <v>0</v>
      </c>
      <c r="DM204" s="80">
        <v>394</v>
      </c>
      <c r="DN204" s="80">
        <v>151</v>
      </c>
      <c r="DO204" s="80">
        <v>0</v>
      </c>
      <c r="DP204" s="80">
        <v>142</v>
      </c>
      <c r="DQ204" s="80">
        <v>101</v>
      </c>
      <c r="DR204" s="80">
        <v>500</v>
      </c>
      <c r="DS204" s="80">
        <v>0</v>
      </c>
      <c r="DT204" s="80">
        <v>0</v>
      </c>
      <c r="DU204" s="80">
        <v>0</v>
      </c>
      <c r="DV204" s="80">
        <v>500</v>
      </c>
      <c r="DW204" s="80">
        <v>1830</v>
      </c>
      <c r="DX204" s="80">
        <v>17519</v>
      </c>
      <c r="DY204" s="80">
        <v>13392</v>
      </c>
      <c r="DZ204" s="80">
        <v>10678</v>
      </c>
      <c r="EA204" s="80">
        <v>0</v>
      </c>
      <c r="EB204" s="80">
        <v>0</v>
      </c>
      <c r="EC204" s="80">
        <v>1306</v>
      </c>
      <c r="ED204" s="80">
        <v>1408</v>
      </c>
      <c r="EE204" s="80">
        <v>0</v>
      </c>
      <c r="EF204" s="80">
        <v>0</v>
      </c>
      <c r="EG204" s="80">
        <v>0</v>
      </c>
      <c r="EH204" s="80">
        <v>0</v>
      </c>
      <c r="EI204" s="80">
        <v>0</v>
      </c>
      <c r="EJ204" s="80">
        <v>0</v>
      </c>
      <c r="EK204" s="80">
        <v>13</v>
      </c>
      <c r="EL204" s="80">
        <v>0</v>
      </c>
      <c r="EM204" s="80">
        <v>13</v>
      </c>
      <c r="EN204" s="80">
        <v>0</v>
      </c>
      <c r="EO204" s="80">
        <v>4113</v>
      </c>
      <c r="EP204" s="80">
        <v>2168</v>
      </c>
      <c r="EQ204" s="80">
        <v>0</v>
      </c>
      <c r="ER204" s="80">
        <v>2038</v>
      </c>
      <c r="ES204" s="80">
        <v>150</v>
      </c>
      <c r="ET204" s="80">
        <v>1888</v>
      </c>
      <c r="EU204" s="80">
        <v>0</v>
      </c>
      <c r="EV204" s="80">
        <v>0</v>
      </c>
      <c r="EW204" s="80">
        <v>130</v>
      </c>
      <c r="EX204" s="80">
        <v>0</v>
      </c>
      <c r="EY204" s="80">
        <v>0</v>
      </c>
      <c r="EZ204" s="80">
        <v>0</v>
      </c>
      <c r="FA204" s="80">
        <v>0</v>
      </c>
      <c r="FB204" s="80">
        <v>0</v>
      </c>
      <c r="FC204" s="80">
        <v>0</v>
      </c>
      <c r="FD204" s="80">
        <v>1945</v>
      </c>
      <c r="FE204" s="80">
        <v>0</v>
      </c>
      <c r="FF204" s="80">
        <v>475</v>
      </c>
      <c r="FG204" s="80">
        <v>50</v>
      </c>
      <c r="FH204" s="80">
        <v>425</v>
      </c>
      <c r="FI204" s="80">
        <v>0</v>
      </c>
      <c r="FJ204" s="80">
        <v>0</v>
      </c>
      <c r="FK204" s="80">
        <v>65</v>
      </c>
      <c r="FL204" s="80">
        <v>0</v>
      </c>
      <c r="FM204" s="80">
        <v>13</v>
      </c>
      <c r="FN204" s="80">
        <v>709</v>
      </c>
      <c r="FO204" s="80">
        <v>71</v>
      </c>
      <c r="FP204" s="80">
        <v>612</v>
      </c>
      <c r="FQ204" s="80">
        <v>17518</v>
      </c>
      <c r="FR204" s="80">
        <v>1686</v>
      </c>
      <c r="FS204" s="80">
        <v>955</v>
      </c>
      <c r="FT204" s="100">
        <v>9135.9765243935944</v>
      </c>
      <c r="FU204" s="100"/>
      <c r="FV204" s="100">
        <v>4148</v>
      </c>
      <c r="FW204" s="67">
        <v>856</v>
      </c>
      <c r="FX204" s="100">
        <f t="shared" si="20"/>
        <v>-9776</v>
      </c>
      <c r="FY204" s="100">
        <f t="shared" si="21"/>
        <v>-14229</v>
      </c>
      <c r="FZ204" s="100">
        <v>9833.8515733973818</v>
      </c>
      <c r="GA204" s="67">
        <v>4453</v>
      </c>
      <c r="GB204" s="58">
        <f t="shared" si="18"/>
        <v>305</v>
      </c>
      <c r="GC204" s="67">
        <v>862</v>
      </c>
      <c r="GD204" s="100">
        <v>236</v>
      </c>
      <c r="GE204" s="100">
        <v>236</v>
      </c>
      <c r="GF204" s="58">
        <f t="shared" si="19"/>
        <v>0</v>
      </c>
      <c r="GG204" s="100">
        <v>-3523.3870000000002</v>
      </c>
      <c r="GH204" s="100">
        <v>-424.09970000000021</v>
      </c>
      <c r="GI204" s="100">
        <v>-6077.8702584928651</v>
      </c>
      <c r="GJ204" s="67">
        <f t="shared" si="22"/>
        <v>6</v>
      </c>
      <c r="GK204" s="67"/>
      <c r="GM204" s="96"/>
    </row>
    <row r="205" spans="1:195" ht="13.5" customHeight="1" x14ac:dyDescent="0.2">
      <c r="A205" s="74">
        <v>625</v>
      </c>
      <c r="B205" s="75" t="s">
        <v>140</v>
      </c>
      <c r="C205" s="75" t="s">
        <v>140</v>
      </c>
      <c r="D205" s="76"/>
      <c r="E205" s="77" t="s">
        <v>216</v>
      </c>
      <c r="F205" s="78">
        <v>2</v>
      </c>
      <c r="G205" s="79">
        <v>3211</v>
      </c>
      <c r="H205" s="80">
        <v>4413</v>
      </c>
      <c r="I205" s="80">
        <v>479</v>
      </c>
      <c r="J205" s="80">
        <v>1171</v>
      </c>
      <c r="K205" s="80">
        <v>398</v>
      </c>
      <c r="L205" s="80">
        <v>2365</v>
      </c>
      <c r="M205" s="80">
        <v>0</v>
      </c>
      <c r="N205" s="80">
        <v>0</v>
      </c>
      <c r="O205" s="80">
        <v>21762</v>
      </c>
      <c r="P205" s="80">
        <v>7035</v>
      </c>
      <c r="Q205" s="80">
        <v>5276</v>
      </c>
      <c r="R205" s="80">
        <v>1759</v>
      </c>
      <c r="S205" s="80">
        <v>1488</v>
      </c>
      <c r="T205" s="80">
        <v>271</v>
      </c>
      <c r="U205" s="80">
        <v>12613</v>
      </c>
      <c r="V205" s="80">
        <v>1546</v>
      </c>
      <c r="W205" s="80">
        <v>443</v>
      </c>
      <c r="X205" s="80">
        <v>125</v>
      </c>
      <c r="Y205" s="80">
        <v>-17349</v>
      </c>
      <c r="Z205" s="80">
        <v>10284</v>
      </c>
      <c r="AA205" s="80">
        <v>9093</v>
      </c>
      <c r="AB205" s="80">
        <v>560</v>
      </c>
      <c r="AC205" s="80">
        <v>631</v>
      </c>
      <c r="AD205" s="80">
        <v>9395</v>
      </c>
      <c r="AE205" s="80">
        <v>307</v>
      </c>
      <c r="AF205" s="80">
        <v>122</v>
      </c>
      <c r="AG205" s="80">
        <v>390</v>
      </c>
      <c r="AH205" s="80">
        <v>5</v>
      </c>
      <c r="AI205" s="80">
        <v>40</v>
      </c>
      <c r="AJ205" s="80">
        <v>165</v>
      </c>
      <c r="AK205" s="80">
        <v>2637</v>
      </c>
      <c r="AL205" s="80">
        <v>887</v>
      </c>
      <c r="AM205" s="80">
        <v>887</v>
      </c>
      <c r="AN205" s="80">
        <v>0</v>
      </c>
      <c r="AO205" s="80">
        <v>0</v>
      </c>
      <c r="AP205" s="80">
        <v>0</v>
      </c>
      <c r="AQ205" s="80">
        <v>0</v>
      </c>
      <c r="AR205" s="80">
        <v>1750</v>
      </c>
      <c r="AS205" s="80">
        <v>0</v>
      </c>
      <c r="AT205" s="80">
        <v>0</v>
      </c>
      <c r="AU205" s="80">
        <v>0</v>
      </c>
      <c r="AV205" s="80">
        <v>1750</v>
      </c>
      <c r="AW205" s="81"/>
      <c r="AX205" s="80">
        <v>1058</v>
      </c>
      <c r="AY205" s="80">
        <v>2637</v>
      </c>
      <c r="AZ205" s="80">
        <v>0</v>
      </c>
      <c r="BA205" s="80">
        <v>-1579</v>
      </c>
      <c r="BB205" s="80">
        <v>-33</v>
      </c>
      <c r="BC205" s="80">
        <v>2033</v>
      </c>
      <c r="BD205" s="80">
        <v>191</v>
      </c>
      <c r="BE205" s="80">
        <v>1809</v>
      </c>
      <c r="BF205" s="80">
        <v>1025</v>
      </c>
      <c r="BG205" s="80">
        <v>-717</v>
      </c>
      <c r="BH205" s="80">
        <v>-465</v>
      </c>
      <c r="BI205" s="80">
        <v>566</v>
      </c>
      <c r="BJ205" s="80">
        <v>101</v>
      </c>
      <c r="BK205" s="80">
        <v>-501</v>
      </c>
      <c r="BL205" s="80">
        <v>0</v>
      </c>
      <c r="BM205" s="80">
        <v>501</v>
      </c>
      <c r="BN205" s="80">
        <v>0</v>
      </c>
      <c r="BO205" s="80">
        <v>0</v>
      </c>
      <c r="BP205" s="80">
        <v>249</v>
      </c>
      <c r="BQ205" s="80">
        <v>83</v>
      </c>
      <c r="BR205" s="80">
        <v>1</v>
      </c>
      <c r="BS205" s="80">
        <v>-272</v>
      </c>
      <c r="BT205" s="80">
        <v>437</v>
      </c>
      <c r="BU205" s="80">
        <v>309</v>
      </c>
      <c r="BV205" s="80">
        <v>8206</v>
      </c>
      <c r="BW205" s="80">
        <v>7897</v>
      </c>
      <c r="BX205" s="81"/>
      <c r="BY205" s="80">
        <v>20398</v>
      </c>
      <c r="BZ205" s="80">
        <v>24</v>
      </c>
      <c r="CA205" s="80">
        <v>24</v>
      </c>
      <c r="CB205" s="80">
        <v>0</v>
      </c>
      <c r="CC205" s="80">
        <v>0</v>
      </c>
      <c r="CD205" s="80">
        <v>16212</v>
      </c>
      <c r="CE205" s="80">
        <v>3033</v>
      </c>
      <c r="CF205" s="80">
        <v>7698</v>
      </c>
      <c r="CG205" s="80">
        <v>4485</v>
      </c>
      <c r="CH205" s="80">
        <v>149</v>
      </c>
      <c r="CI205" s="80">
        <v>29</v>
      </c>
      <c r="CJ205" s="80">
        <v>29</v>
      </c>
      <c r="CK205" s="80">
        <v>818</v>
      </c>
      <c r="CL205" s="80">
        <v>4162</v>
      </c>
      <c r="CM205" s="80">
        <v>2457</v>
      </c>
      <c r="CN205" s="80">
        <v>1894</v>
      </c>
      <c r="CO205" s="80">
        <v>563</v>
      </c>
      <c r="CP205" s="80">
        <v>0</v>
      </c>
      <c r="CQ205" s="80">
        <v>1557</v>
      </c>
      <c r="CR205" s="80">
        <v>0</v>
      </c>
      <c r="CS205" s="80">
        <v>0</v>
      </c>
      <c r="CT205" s="80">
        <v>1557</v>
      </c>
      <c r="CU205" s="80">
        <v>148</v>
      </c>
      <c r="CV205" s="80">
        <v>52</v>
      </c>
      <c r="CW205" s="80">
        <v>0</v>
      </c>
      <c r="CX205" s="80">
        <v>0</v>
      </c>
      <c r="CY205" s="80">
        <v>52</v>
      </c>
      <c r="CZ205" s="80">
        <v>10143</v>
      </c>
      <c r="DA205" s="80">
        <v>30</v>
      </c>
      <c r="DB205" s="80">
        <v>0</v>
      </c>
      <c r="DC205" s="80">
        <v>4</v>
      </c>
      <c r="DD205" s="80">
        <v>26</v>
      </c>
      <c r="DE205" s="80">
        <v>0</v>
      </c>
      <c r="DF205" s="80">
        <v>0</v>
      </c>
      <c r="DG205" s="80">
        <v>1907</v>
      </c>
      <c r="DH205" s="80">
        <v>71</v>
      </c>
      <c r="DI205" s="80">
        <v>0</v>
      </c>
      <c r="DJ205" s="80">
        <v>0</v>
      </c>
      <c r="DK205" s="80">
        <v>71</v>
      </c>
      <c r="DL205" s="80">
        <v>0</v>
      </c>
      <c r="DM205" s="80">
        <v>1836</v>
      </c>
      <c r="DN205" s="80">
        <v>526</v>
      </c>
      <c r="DO205" s="80">
        <v>544</v>
      </c>
      <c r="DP205" s="80">
        <v>225</v>
      </c>
      <c r="DQ205" s="80">
        <v>541</v>
      </c>
      <c r="DR205" s="80">
        <v>7813</v>
      </c>
      <c r="DS205" s="80">
        <v>5</v>
      </c>
      <c r="DT205" s="80">
        <v>1848</v>
      </c>
      <c r="DU205" s="80">
        <v>4477</v>
      </c>
      <c r="DV205" s="80">
        <v>1483</v>
      </c>
      <c r="DW205" s="80">
        <v>393</v>
      </c>
      <c r="DX205" s="80">
        <v>30593</v>
      </c>
      <c r="DY205" s="80">
        <v>18431</v>
      </c>
      <c r="DZ205" s="80">
        <v>6362</v>
      </c>
      <c r="EA205" s="80">
        <v>0</v>
      </c>
      <c r="EB205" s="80">
        <v>0</v>
      </c>
      <c r="EC205" s="80">
        <v>10318</v>
      </c>
      <c r="ED205" s="80">
        <v>1751</v>
      </c>
      <c r="EE205" s="80">
        <v>0</v>
      </c>
      <c r="EF205" s="80">
        <v>0</v>
      </c>
      <c r="EG205" s="80">
        <v>0</v>
      </c>
      <c r="EH205" s="80">
        <v>0</v>
      </c>
      <c r="EI205" s="80">
        <v>0</v>
      </c>
      <c r="EJ205" s="80">
        <v>0</v>
      </c>
      <c r="EK205" s="80">
        <v>277</v>
      </c>
      <c r="EL205" s="80">
        <v>0</v>
      </c>
      <c r="EM205" s="80">
        <v>277</v>
      </c>
      <c r="EN205" s="80">
        <v>0</v>
      </c>
      <c r="EO205" s="80">
        <v>11885</v>
      </c>
      <c r="EP205" s="80">
        <v>617</v>
      </c>
      <c r="EQ205" s="80">
        <v>0</v>
      </c>
      <c r="ER205" s="80">
        <v>150</v>
      </c>
      <c r="ES205" s="80">
        <v>0</v>
      </c>
      <c r="ET205" s="80">
        <v>150</v>
      </c>
      <c r="EU205" s="80">
        <v>0</v>
      </c>
      <c r="EV205" s="80">
        <v>0</v>
      </c>
      <c r="EW205" s="80">
        <v>194</v>
      </c>
      <c r="EX205" s="80">
        <v>0</v>
      </c>
      <c r="EY205" s="80">
        <v>151</v>
      </c>
      <c r="EZ205" s="80">
        <v>0</v>
      </c>
      <c r="FA205" s="80">
        <v>122</v>
      </c>
      <c r="FB205" s="80">
        <v>0</v>
      </c>
      <c r="FC205" s="80">
        <v>0</v>
      </c>
      <c r="FD205" s="80">
        <v>11268</v>
      </c>
      <c r="FE205" s="80">
        <v>0</v>
      </c>
      <c r="FF205" s="80">
        <v>9000</v>
      </c>
      <c r="FG205" s="80">
        <v>0</v>
      </c>
      <c r="FH205" s="80">
        <v>7000</v>
      </c>
      <c r="FI205" s="80">
        <v>2000</v>
      </c>
      <c r="FJ205" s="80">
        <v>0</v>
      </c>
      <c r="FK205" s="80">
        <v>1</v>
      </c>
      <c r="FL205" s="80">
        <v>0</v>
      </c>
      <c r="FM205" s="80">
        <v>29</v>
      </c>
      <c r="FN205" s="80">
        <v>1383</v>
      </c>
      <c r="FO205" s="80">
        <v>160</v>
      </c>
      <c r="FP205" s="80">
        <v>695</v>
      </c>
      <c r="FQ205" s="80">
        <v>30593</v>
      </c>
      <c r="FR205" s="80">
        <v>5026</v>
      </c>
      <c r="FS205" s="80">
        <v>169</v>
      </c>
      <c r="FT205" s="100">
        <v>13734.431153090591</v>
      </c>
      <c r="FU205" s="100"/>
      <c r="FV205" s="100">
        <v>7049</v>
      </c>
      <c r="FW205" s="67">
        <v>887</v>
      </c>
      <c r="FX205" s="100">
        <f t="shared" si="20"/>
        <v>-9349</v>
      </c>
      <c r="FY205" s="100">
        <f t="shared" si="21"/>
        <v>-16462</v>
      </c>
      <c r="FZ205" s="100">
        <v>10353.433651465968</v>
      </c>
      <c r="GA205" s="67">
        <v>7113</v>
      </c>
      <c r="GB205" s="58">
        <f t="shared" si="18"/>
        <v>64</v>
      </c>
      <c r="GC205" s="67">
        <v>887</v>
      </c>
      <c r="GD205" s="100">
        <v>546</v>
      </c>
      <c r="GE205" s="100">
        <v>546</v>
      </c>
      <c r="GF205" s="58">
        <f t="shared" si="19"/>
        <v>0</v>
      </c>
      <c r="GG205" s="100">
        <v>-5444.6220000000003</v>
      </c>
      <c r="GH205" s="100">
        <v>-170.34600000000006</v>
      </c>
      <c r="GI205" s="100">
        <v>-4972.3829685554765</v>
      </c>
      <c r="GJ205" s="67">
        <f t="shared" si="22"/>
        <v>0</v>
      </c>
      <c r="GK205" s="67"/>
      <c r="GM205" s="96"/>
    </row>
    <row r="206" spans="1:195" ht="13.5" customHeight="1" x14ac:dyDescent="0.2">
      <c r="A206" s="74">
        <v>626</v>
      </c>
      <c r="B206" s="75" t="s">
        <v>141</v>
      </c>
      <c r="C206" s="75" t="s">
        <v>141</v>
      </c>
      <c r="D206" s="76"/>
      <c r="E206" s="77" t="s">
        <v>216</v>
      </c>
      <c r="F206" s="78">
        <v>3</v>
      </c>
      <c r="G206" s="79">
        <v>5505</v>
      </c>
      <c r="H206" s="80">
        <v>3567</v>
      </c>
      <c r="I206" s="80">
        <v>1588</v>
      </c>
      <c r="J206" s="80">
        <v>31</v>
      </c>
      <c r="K206" s="80">
        <v>246</v>
      </c>
      <c r="L206" s="80">
        <v>1702</v>
      </c>
      <c r="M206" s="80">
        <v>0</v>
      </c>
      <c r="N206" s="80">
        <v>0</v>
      </c>
      <c r="O206" s="80">
        <v>42239</v>
      </c>
      <c r="P206" s="80">
        <v>9277</v>
      </c>
      <c r="Q206" s="80">
        <v>6645</v>
      </c>
      <c r="R206" s="80">
        <v>2632</v>
      </c>
      <c r="S206" s="80">
        <v>2385</v>
      </c>
      <c r="T206" s="80">
        <v>247</v>
      </c>
      <c r="U206" s="80">
        <v>30014</v>
      </c>
      <c r="V206" s="80">
        <v>1958</v>
      </c>
      <c r="W206" s="80">
        <v>375</v>
      </c>
      <c r="X206" s="80">
        <v>615</v>
      </c>
      <c r="Y206" s="80">
        <v>-38672</v>
      </c>
      <c r="Z206" s="80">
        <v>21916</v>
      </c>
      <c r="AA206" s="80">
        <v>14434</v>
      </c>
      <c r="AB206" s="80">
        <v>6371</v>
      </c>
      <c r="AC206" s="80">
        <v>1111</v>
      </c>
      <c r="AD206" s="80">
        <v>15260</v>
      </c>
      <c r="AE206" s="80">
        <v>461</v>
      </c>
      <c r="AF206" s="80">
        <v>60</v>
      </c>
      <c r="AG206" s="80">
        <v>777</v>
      </c>
      <c r="AH206" s="80">
        <v>1</v>
      </c>
      <c r="AI206" s="80">
        <v>140</v>
      </c>
      <c r="AJ206" s="80">
        <v>236</v>
      </c>
      <c r="AK206" s="80">
        <v>-1035</v>
      </c>
      <c r="AL206" s="80">
        <v>1195</v>
      </c>
      <c r="AM206" s="80">
        <v>1195</v>
      </c>
      <c r="AN206" s="80">
        <v>0</v>
      </c>
      <c r="AO206" s="80">
        <v>0</v>
      </c>
      <c r="AP206" s="80">
        <v>0</v>
      </c>
      <c r="AQ206" s="80">
        <v>0</v>
      </c>
      <c r="AR206" s="80">
        <v>-2230</v>
      </c>
      <c r="AS206" s="80">
        <v>385</v>
      </c>
      <c r="AT206" s="80">
        <v>0</v>
      </c>
      <c r="AU206" s="80">
        <v>0</v>
      </c>
      <c r="AV206" s="80">
        <v>-1845</v>
      </c>
      <c r="AW206" s="81"/>
      <c r="AX206" s="80">
        <v>-1192</v>
      </c>
      <c r="AY206" s="80">
        <v>-1035</v>
      </c>
      <c r="AZ206" s="80">
        <v>0</v>
      </c>
      <c r="BA206" s="80">
        <v>-157</v>
      </c>
      <c r="BB206" s="80">
        <v>-6888</v>
      </c>
      <c r="BC206" s="80">
        <v>9187</v>
      </c>
      <c r="BD206" s="80">
        <v>2251</v>
      </c>
      <c r="BE206" s="80">
        <v>48</v>
      </c>
      <c r="BF206" s="80">
        <v>-8080</v>
      </c>
      <c r="BG206" s="80">
        <v>8792</v>
      </c>
      <c r="BH206" s="80">
        <v>176</v>
      </c>
      <c r="BI206" s="80">
        <v>67</v>
      </c>
      <c r="BJ206" s="80">
        <v>243</v>
      </c>
      <c r="BK206" s="80">
        <v>9186</v>
      </c>
      <c r="BL206" s="80">
        <v>9800</v>
      </c>
      <c r="BM206" s="80">
        <v>1004</v>
      </c>
      <c r="BN206" s="80">
        <v>390</v>
      </c>
      <c r="BO206" s="80">
        <v>0</v>
      </c>
      <c r="BP206" s="80">
        <v>-570</v>
      </c>
      <c r="BQ206" s="80">
        <v>0</v>
      </c>
      <c r="BR206" s="80">
        <v>0</v>
      </c>
      <c r="BS206" s="80">
        <v>1452</v>
      </c>
      <c r="BT206" s="80">
        <v>-2022</v>
      </c>
      <c r="BU206" s="80">
        <v>712</v>
      </c>
      <c r="BV206" s="80">
        <v>8035</v>
      </c>
      <c r="BW206" s="80">
        <v>7323</v>
      </c>
      <c r="BX206" s="81"/>
      <c r="BY206" s="80">
        <v>45661</v>
      </c>
      <c r="BZ206" s="80">
        <v>203</v>
      </c>
      <c r="CA206" s="80">
        <v>0</v>
      </c>
      <c r="CB206" s="80">
        <v>203</v>
      </c>
      <c r="CC206" s="80">
        <v>0</v>
      </c>
      <c r="CD206" s="80">
        <v>26441</v>
      </c>
      <c r="CE206" s="80">
        <v>3780</v>
      </c>
      <c r="CF206" s="80">
        <v>12021</v>
      </c>
      <c r="CG206" s="80">
        <v>4247</v>
      </c>
      <c r="CH206" s="80">
        <v>87</v>
      </c>
      <c r="CI206" s="80">
        <v>0</v>
      </c>
      <c r="CJ206" s="80">
        <v>0</v>
      </c>
      <c r="CK206" s="80">
        <v>6306</v>
      </c>
      <c r="CL206" s="80">
        <v>19017</v>
      </c>
      <c r="CM206" s="80">
        <v>13779</v>
      </c>
      <c r="CN206" s="80">
        <v>4265</v>
      </c>
      <c r="CO206" s="80">
        <v>9514</v>
      </c>
      <c r="CP206" s="80">
        <v>0</v>
      </c>
      <c r="CQ206" s="80">
        <v>5201</v>
      </c>
      <c r="CR206" s="80">
        <v>0</v>
      </c>
      <c r="CS206" s="80">
        <v>0</v>
      </c>
      <c r="CT206" s="80">
        <v>5201</v>
      </c>
      <c r="CU206" s="80">
        <v>37</v>
      </c>
      <c r="CV206" s="80">
        <v>33</v>
      </c>
      <c r="CW206" s="80">
        <v>33</v>
      </c>
      <c r="CX206" s="80">
        <v>0</v>
      </c>
      <c r="CY206" s="80">
        <v>0</v>
      </c>
      <c r="CZ206" s="80">
        <v>9221</v>
      </c>
      <c r="DA206" s="80">
        <v>0</v>
      </c>
      <c r="DB206" s="80">
        <v>0</v>
      </c>
      <c r="DC206" s="80">
        <v>0</v>
      </c>
      <c r="DD206" s="80">
        <v>0</v>
      </c>
      <c r="DE206" s="80">
        <v>0</v>
      </c>
      <c r="DF206" s="80">
        <v>0</v>
      </c>
      <c r="DG206" s="80">
        <v>1186</v>
      </c>
      <c r="DH206" s="80">
        <v>204</v>
      </c>
      <c r="DI206" s="80">
        <v>204</v>
      </c>
      <c r="DJ206" s="80">
        <v>0</v>
      </c>
      <c r="DK206" s="80">
        <v>0</v>
      </c>
      <c r="DL206" s="80">
        <v>0</v>
      </c>
      <c r="DM206" s="80">
        <v>982</v>
      </c>
      <c r="DN206" s="80">
        <v>520</v>
      </c>
      <c r="DO206" s="80">
        <v>50</v>
      </c>
      <c r="DP206" s="80">
        <v>247</v>
      </c>
      <c r="DQ206" s="80">
        <v>165</v>
      </c>
      <c r="DR206" s="80">
        <v>7651</v>
      </c>
      <c r="DS206" s="80">
        <v>0</v>
      </c>
      <c r="DT206" s="80">
        <v>7651</v>
      </c>
      <c r="DU206" s="80">
        <v>0</v>
      </c>
      <c r="DV206" s="80">
        <v>0</v>
      </c>
      <c r="DW206" s="80">
        <v>384</v>
      </c>
      <c r="DX206" s="80">
        <v>54915</v>
      </c>
      <c r="DY206" s="80">
        <v>31928</v>
      </c>
      <c r="DZ206" s="80">
        <v>20542</v>
      </c>
      <c r="EA206" s="80">
        <v>0</v>
      </c>
      <c r="EB206" s="80">
        <v>1064</v>
      </c>
      <c r="EC206" s="80">
        <v>12167</v>
      </c>
      <c r="ED206" s="80">
        <v>-1845</v>
      </c>
      <c r="EE206" s="80">
        <v>7582</v>
      </c>
      <c r="EF206" s="80">
        <v>6143</v>
      </c>
      <c r="EG206" s="80">
        <v>1439</v>
      </c>
      <c r="EH206" s="80">
        <v>162</v>
      </c>
      <c r="EI206" s="80">
        <v>0</v>
      </c>
      <c r="EJ206" s="80">
        <v>162</v>
      </c>
      <c r="EK206" s="80">
        <v>81</v>
      </c>
      <c r="EL206" s="80">
        <v>33</v>
      </c>
      <c r="EM206" s="80">
        <v>48</v>
      </c>
      <c r="EN206" s="80">
        <v>0</v>
      </c>
      <c r="EO206" s="80">
        <v>15162</v>
      </c>
      <c r="EP206" s="80">
        <v>9626</v>
      </c>
      <c r="EQ206" s="80">
        <v>0</v>
      </c>
      <c r="ER206" s="80">
        <v>9460</v>
      </c>
      <c r="ES206" s="80">
        <v>0</v>
      </c>
      <c r="ET206" s="80">
        <v>9460</v>
      </c>
      <c r="EU206" s="80">
        <v>0</v>
      </c>
      <c r="EV206" s="80">
        <v>0</v>
      </c>
      <c r="EW206" s="80">
        <v>166</v>
      </c>
      <c r="EX206" s="80">
        <v>0</v>
      </c>
      <c r="EY206" s="80">
        <v>0</v>
      </c>
      <c r="EZ206" s="80">
        <v>0</v>
      </c>
      <c r="FA206" s="80">
        <v>0</v>
      </c>
      <c r="FB206" s="80">
        <v>0</v>
      </c>
      <c r="FC206" s="80">
        <v>0</v>
      </c>
      <c r="FD206" s="80">
        <v>5536</v>
      </c>
      <c r="FE206" s="80">
        <v>0</v>
      </c>
      <c r="FF206" s="80">
        <v>648</v>
      </c>
      <c r="FG206" s="80">
        <v>0</v>
      </c>
      <c r="FH206" s="80">
        <v>648</v>
      </c>
      <c r="FI206" s="80">
        <v>0</v>
      </c>
      <c r="FJ206" s="80">
        <v>0</v>
      </c>
      <c r="FK206" s="80">
        <v>111</v>
      </c>
      <c r="FL206" s="80">
        <v>0</v>
      </c>
      <c r="FM206" s="80">
        <v>59</v>
      </c>
      <c r="FN206" s="80">
        <v>3159</v>
      </c>
      <c r="FO206" s="80">
        <v>144</v>
      </c>
      <c r="FP206" s="80">
        <v>1415</v>
      </c>
      <c r="FQ206" s="80">
        <v>54915</v>
      </c>
      <c r="FR206" s="80">
        <v>5821</v>
      </c>
      <c r="FS206" s="80">
        <v>1926</v>
      </c>
      <c r="FT206" s="100">
        <v>19228.395473395256</v>
      </c>
      <c r="FU206" s="100"/>
      <c r="FV206" s="100">
        <v>6143</v>
      </c>
      <c r="FW206" s="67">
        <v>1195</v>
      </c>
      <c r="FX206" s="100">
        <f t="shared" si="20"/>
        <v>-31324</v>
      </c>
      <c r="FY206" s="100">
        <f t="shared" si="21"/>
        <v>-37477</v>
      </c>
      <c r="FZ206" s="100">
        <v>24359.814663957597</v>
      </c>
      <c r="GA206" s="67">
        <v>6153</v>
      </c>
      <c r="GB206" s="58">
        <f t="shared" si="18"/>
        <v>10</v>
      </c>
      <c r="GC206" s="67">
        <v>1195</v>
      </c>
      <c r="GD206" s="100">
        <v>32</v>
      </c>
      <c r="GE206" s="100">
        <v>32</v>
      </c>
      <c r="GF206" s="58">
        <f t="shared" si="19"/>
        <v>0</v>
      </c>
      <c r="GG206" s="100">
        <v>-8883.2569999999996</v>
      </c>
      <c r="GH206" s="100">
        <v>-1768.5292000000006</v>
      </c>
      <c r="GI206" s="100">
        <v>-13925.420078408681</v>
      </c>
      <c r="GJ206" s="67">
        <f t="shared" si="22"/>
        <v>0</v>
      </c>
      <c r="GK206" s="67"/>
      <c r="GM206" s="96"/>
    </row>
    <row r="207" spans="1:195" ht="13.5" customHeight="1" x14ac:dyDescent="0.2">
      <c r="A207" s="74">
        <v>630</v>
      </c>
      <c r="B207" s="75" t="s">
        <v>142</v>
      </c>
      <c r="C207" s="75" t="s">
        <v>142</v>
      </c>
      <c r="D207" s="76"/>
      <c r="E207" s="77" t="s">
        <v>216</v>
      </c>
      <c r="F207" s="78">
        <v>1</v>
      </c>
      <c r="G207" s="79">
        <v>1587</v>
      </c>
      <c r="H207" s="80">
        <v>2036</v>
      </c>
      <c r="I207" s="80">
        <v>818</v>
      </c>
      <c r="J207" s="80">
        <v>332</v>
      </c>
      <c r="K207" s="80">
        <v>128</v>
      </c>
      <c r="L207" s="80">
        <v>758</v>
      </c>
      <c r="M207" s="80">
        <v>0</v>
      </c>
      <c r="N207" s="80">
        <v>0</v>
      </c>
      <c r="O207" s="80">
        <v>11321</v>
      </c>
      <c r="P207" s="80">
        <v>4764</v>
      </c>
      <c r="Q207" s="80">
        <v>3666</v>
      </c>
      <c r="R207" s="80">
        <v>1098</v>
      </c>
      <c r="S207" s="80">
        <v>934</v>
      </c>
      <c r="T207" s="80">
        <v>164</v>
      </c>
      <c r="U207" s="80">
        <v>5196</v>
      </c>
      <c r="V207" s="80">
        <v>870</v>
      </c>
      <c r="W207" s="80">
        <v>314</v>
      </c>
      <c r="X207" s="80">
        <v>177</v>
      </c>
      <c r="Y207" s="80">
        <v>-9285</v>
      </c>
      <c r="Z207" s="80">
        <v>4846</v>
      </c>
      <c r="AA207" s="80">
        <v>3984</v>
      </c>
      <c r="AB207" s="80">
        <v>496</v>
      </c>
      <c r="AC207" s="80">
        <v>366</v>
      </c>
      <c r="AD207" s="80">
        <v>5608</v>
      </c>
      <c r="AE207" s="80">
        <v>-16</v>
      </c>
      <c r="AF207" s="80">
        <v>16</v>
      </c>
      <c r="AG207" s="80">
        <v>1</v>
      </c>
      <c r="AH207" s="80">
        <v>0</v>
      </c>
      <c r="AI207" s="80">
        <v>33</v>
      </c>
      <c r="AJ207" s="80">
        <v>0</v>
      </c>
      <c r="AK207" s="80">
        <v>1153</v>
      </c>
      <c r="AL207" s="80">
        <v>963</v>
      </c>
      <c r="AM207" s="80">
        <v>887</v>
      </c>
      <c r="AN207" s="80">
        <v>76</v>
      </c>
      <c r="AO207" s="80">
        <v>0</v>
      </c>
      <c r="AP207" s="80">
        <v>0</v>
      </c>
      <c r="AQ207" s="80">
        <v>0</v>
      </c>
      <c r="AR207" s="80">
        <v>190</v>
      </c>
      <c r="AS207" s="80">
        <v>38</v>
      </c>
      <c r="AT207" s="80">
        <v>0</v>
      </c>
      <c r="AU207" s="80">
        <v>0</v>
      </c>
      <c r="AV207" s="80">
        <v>228</v>
      </c>
      <c r="AW207" s="81"/>
      <c r="AX207" s="80">
        <v>1064</v>
      </c>
      <c r="AY207" s="80">
        <v>1153</v>
      </c>
      <c r="AZ207" s="80">
        <v>0</v>
      </c>
      <c r="BA207" s="80">
        <v>-89</v>
      </c>
      <c r="BB207" s="80">
        <v>-381</v>
      </c>
      <c r="BC207" s="80">
        <v>532</v>
      </c>
      <c r="BD207" s="80">
        <v>45</v>
      </c>
      <c r="BE207" s="80">
        <v>106</v>
      </c>
      <c r="BF207" s="80">
        <v>683</v>
      </c>
      <c r="BG207" s="80">
        <v>-659</v>
      </c>
      <c r="BH207" s="80">
        <v>78</v>
      </c>
      <c r="BI207" s="80">
        <v>15</v>
      </c>
      <c r="BJ207" s="80">
        <v>93</v>
      </c>
      <c r="BK207" s="80">
        <v>-1066</v>
      </c>
      <c r="BL207" s="80">
        <v>0</v>
      </c>
      <c r="BM207" s="80">
        <v>466</v>
      </c>
      <c r="BN207" s="80">
        <v>-600</v>
      </c>
      <c r="BO207" s="80">
        <v>0</v>
      </c>
      <c r="BP207" s="80">
        <v>329</v>
      </c>
      <c r="BQ207" s="80">
        <v>-10</v>
      </c>
      <c r="BR207" s="80">
        <v>0</v>
      </c>
      <c r="BS207" s="80">
        <v>244</v>
      </c>
      <c r="BT207" s="80">
        <v>95</v>
      </c>
      <c r="BU207" s="80">
        <v>24</v>
      </c>
      <c r="BV207" s="80">
        <v>528</v>
      </c>
      <c r="BW207" s="80">
        <v>504</v>
      </c>
      <c r="BX207" s="81"/>
      <c r="BY207" s="80">
        <v>13827</v>
      </c>
      <c r="BZ207" s="80">
        <v>327</v>
      </c>
      <c r="CA207" s="80">
        <v>0</v>
      </c>
      <c r="CB207" s="80">
        <v>327</v>
      </c>
      <c r="CC207" s="80">
        <v>0</v>
      </c>
      <c r="CD207" s="80">
        <v>5604</v>
      </c>
      <c r="CE207" s="80">
        <v>1029</v>
      </c>
      <c r="CF207" s="80">
        <v>2923</v>
      </c>
      <c r="CG207" s="80">
        <v>1516</v>
      </c>
      <c r="CH207" s="80">
        <v>76</v>
      </c>
      <c r="CI207" s="80">
        <v>0</v>
      </c>
      <c r="CJ207" s="80">
        <v>0</v>
      </c>
      <c r="CK207" s="80">
        <v>60</v>
      </c>
      <c r="CL207" s="80">
        <v>7896</v>
      </c>
      <c r="CM207" s="80">
        <v>6898</v>
      </c>
      <c r="CN207" s="80">
        <v>932</v>
      </c>
      <c r="CO207" s="80">
        <v>5966</v>
      </c>
      <c r="CP207" s="80">
        <v>0</v>
      </c>
      <c r="CQ207" s="80">
        <v>997</v>
      </c>
      <c r="CR207" s="80">
        <v>0</v>
      </c>
      <c r="CS207" s="80">
        <v>0</v>
      </c>
      <c r="CT207" s="80">
        <v>997</v>
      </c>
      <c r="CU207" s="80">
        <v>1</v>
      </c>
      <c r="CV207" s="80">
        <v>9</v>
      </c>
      <c r="CW207" s="80">
        <v>0</v>
      </c>
      <c r="CX207" s="80">
        <v>9</v>
      </c>
      <c r="CY207" s="80">
        <v>0</v>
      </c>
      <c r="CZ207" s="80">
        <v>926</v>
      </c>
      <c r="DA207" s="80">
        <v>0</v>
      </c>
      <c r="DB207" s="80">
        <v>0</v>
      </c>
      <c r="DC207" s="80">
        <v>0</v>
      </c>
      <c r="DD207" s="80">
        <v>0</v>
      </c>
      <c r="DE207" s="80">
        <v>0</v>
      </c>
      <c r="DF207" s="80">
        <v>0</v>
      </c>
      <c r="DG207" s="80">
        <v>398</v>
      </c>
      <c r="DH207" s="80">
        <v>0</v>
      </c>
      <c r="DI207" s="80">
        <v>0</v>
      </c>
      <c r="DJ207" s="80">
        <v>0</v>
      </c>
      <c r="DK207" s="80">
        <v>0</v>
      </c>
      <c r="DL207" s="80">
        <v>0</v>
      </c>
      <c r="DM207" s="80">
        <v>398</v>
      </c>
      <c r="DN207" s="80">
        <v>282</v>
      </c>
      <c r="DO207" s="80">
        <v>0</v>
      </c>
      <c r="DP207" s="80">
        <v>42</v>
      </c>
      <c r="DQ207" s="80">
        <v>74</v>
      </c>
      <c r="DR207" s="80">
        <v>0</v>
      </c>
      <c r="DS207" s="80">
        <v>0</v>
      </c>
      <c r="DT207" s="80">
        <v>0</v>
      </c>
      <c r="DU207" s="80">
        <v>0</v>
      </c>
      <c r="DV207" s="80">
        <v>0</v>
      </c>
      <c r="DW207" s="80">
        <v>528</v>
      </c>
      <c r="DX207" s="80">
        <v>14762</v>
      </c>
      <c r="DY207" s="80">
        <v>8488</v>
      </c>
      <c r="DZ207" s="80">
        <v>5255</v>
      </c>
      <c r="EA207" s="80">
        <v>0</v>
      </c>
      <c r="EB207" s="80">
        <v>0</v>
      </c>
      <c r="EC207" s="80">
        <v>3004</v>
      </c>
      <c r="ED207" s="80">
        <v>229</v>
      </c>
      <c r="EE207" s="80">
        <v>911</v>
      </c>
      <c r="EF207" s="80">
        <v>411</v>
      </c>
      <c r="EG207" s="80">
        <v>500</v>
      </c>
      <c r="EH207" s="80">
        <v>0</v>
      </c>
      <c r="EI207" s="80">
        <v>0</v>
      </c>
      <c r="EJ207" s="80">
        <v>0</v>
      </c>
      <c r="EK207" s="80">
        <v>140</v>
      </c>
      <c r="EL207" s="80">
        <v>0</v>
      </c>
      <c r="EM207" s="80">
        <v>140</v>
      </c>
      <c r="EN207" s="80">
        <v>0</v>
      </c>
      <c r="EO207" s="80">
        <v>5223</v>
      </c>
      <c r="EP207" s="80">
        <v>2096</v>
      </c>
      <c r="EQ207" s="80">
        <v>0</v>
      </c>
      <c r="ER207" s="80">
        <v>2096</v>
      </c>
      <c r="ES207" s="80">
        <v>0</v>
      </c>
      <c r="ET207" s="80">
        <v>2096</v>
      </c>
      <c r="EU207" s="80">
        <v>0</v>
      </c>
      <c r="EV207" s="80">
        <v>0</v>
      </c>
      <c r="EW207" s="80">
        <v>0</v>
      </c>
      <c r="EX207" s="80">
        <v>0</v>
      </c>
      <c r="EY207" s="80">
        <v>0</v>
      </c>
      <c r="EZ207" s="80">
        <v>0</v>
      </c>
      <c r="FA207" s="80">
        <v>0</v>
      </c>
      <c r="FB207" s="80">
        <v>0</v>
      </c>
      <c r="FC207" s="80">
        <v>0</v>
      </c>
      <c r="FD207" s="80">
        <v>3127</v>
      </c>
      <c r="FE207" s="80">
        <v>0</v>
      </c>
      <c r="FF207" s="80">
        <v>1797</v>
      </c>
      <c r="FG207" s="80">
        <v>1400</v>
      </c>
      <c r="FH207" s="80">
        <v>397</v>
      </c>
      <c r="FI207" s="80">
        <v>0</v>
      </c>
      <c r="FJ207" s="80">
        <v>0</v>
      </c>
      <c r="FK207" s="80">
        <v>0</v>
      </c>
      <c r="FL207" s="80">
        <v>0</v>
      </c>
      <c r="FM207" s="80">
        <v>0</v>
      </c>
      <c r="FN207" s="80">
        <v>454</v>
      </c>
      <c r="FO207" s="80">
        <v>100</v>
      </c>
      <c r="FP207" s="80">
        <v>776</v>
      </c>
      <c r="FQ207" s="80">
        <v>14762</v>
      </c>
      <c r="FR207" s="80">
        <v>4230</v>
      </c>
      <c r="FS207" s="80">
        <v>1145</v>
      </c>
      <c r="FT207" s="100">
        <v>5457.1987037169101</v>
      </c>
      <c r="FU207" s="100"/>
      <c r="FV207" s="100">
        <v>1874</v>
      </c>
      <c r="FW207" s="67">
        <v>695</v>
      </c>
      <c r="FX207" s="100">
        <f t="shared" si="20"/>
        <v>-5784</v>
      </c>
      <c r="FY207" s="100">
        <f t="shared" si="21"/>
        <v>-8322</v>
      </c>
      <c r="FZ207" s="100">
        <v>5909.9744998693441</v>
      </c>
      <c r="GA207" s="67">
        <v>2538</v>
      </c>
      <c r="GB207" s="58">
        <f t="shared" si="18"/>
        <v>664</v>
      </c>
      <c r="GC207" s="67">
        <v>962</v>
      </c>
      <c r="GD207" s="100">
        <v>332</v>
      </c>
      <c r="GE207" s="100">
        <v>104</v>
      </c>
      <c r="GF207" s="58">
        <f t="shared" si="19"/>
        <v>228</v>
      </c>
      <c r="GG207" s="100">
        <v>-2289.7710000000002</v>
      </c>
      <c r="GH207" s="100">
        <v>-158.50975000000005</v>
      </c>
      <c r="GI207" s="100">
        <v>-3619.9017730956734</v>
      </c>
      <c r="GJ207" s="67">
        <f t="shared" si="22"/>
        <v>267</v>
      </c>
      <c r="GK207" s="67"/>
      <c r="GM207" s="96"/>
    </row>
    <row r="208" spans="1:195" ht="13.5" customHeight="1" x14ac:dyDescent="0.2">
      <c r="A208" s="74">
        <v>631</v>
      </c>
      <c r="B208" s="75" t="s">
        <v>143</v>
      </c>
      <c r="C208" s="75" t="s">
        <v>143</v>
      </c>
      <c r="D208" s="76"/>
      <c r="E208" s="77" t="s">
        <v>219</v>
      </c>
      <c r="F208" s="78">
        <v>2</v>
      </c>
      <c r="G208" s="79">
        <v>2136</v>
      </c>
      <c r="H208" s="80">
        <v>1056</v>
      </c>
      <c r="I208" s="80">
        <v>322</v>
      </c>
      <c r="J208" s="80">
        <v>504</v>
      </c>
      <c r="K208" s="80">
        <v>102</v>
      </c>
      <c r="L208" s="80">
        <v>128</v>
      </c>
      <c r="M208" s="80">
        <v>0</v>
      </c>
      <c r="N208" s="80">
        <v>0</v>
      </c>
      <c r="O208" s="80">
        <v>11954</v>
      </c>
      <c r="P208" s="80">
        <v>3060</v>
      </c>
      <c r="Q208" s="80">
        <v>2301</v>
      </c>
      <c r="R208" s="80">
        <v>759</v>
      </c>
      <c r="S208" s="80">
        <v>666</v>
      </c>
      <c r="T208" s="80">
        <v>93</v>
      </c>
      <c r="U208" s="80">
        <v>7776</v>
      </c>
      <c r="V208" s="80">
        <v>427</v>
      </c>
      <c r="W208" s="80">
        <v>562</v>
      </c>
      <c r="X208" s="80">
        <v>129</v>
      </c>
      <c r="Y208" s="80">
        <v>-10898</v>
      </c>
      <c r="Z208" s="80">
        <v>7969</v>
      </c>
      <c r="AA208" s="80">
        <v>7212</v>
      </c>
      <c r="AB208" s="80">
        <v>244</v>
      </c>
      <c r="AC208" s="80">
        <v>513</v>
      </c>
      <c r="AD208" s="80">
        <v>3402</v>
      </c>
      <c r="AE208" s="80">
        <v>-5</v>
      </c>
      <c r="AF208" s="80">
        <v>7</v>
      </c>
      <c r="AG208" s="80">
        <v>5</v>
      </c>
      <c r="AH208" s="80">
        <v>3</v>
      </c>
      <c r="AI208" s="80">
        <v>16</v>
      </c>
      <c r="AJ208" s="80">
        <v>1</v>
      </c>
      <c r="AK208" s="80">
        <v>468</v>
      </c>
      <c r="AL208" s="80">
        <v>410</v>
      </c>
      <c r="AM208" s="80">
        <v>410</v>
      </c>
      <c r="AN208" s="80">
        <v>0</v>
      </c>
      <c r="AO208" s="80">
        <v>0</v>
      </c>
      <c r="AP208" s="80">
        <v>0</v>
      </c>
      <c r="AQ208" s="80">
        <v>0</v>
      </c>
      <c r="AR208" s="80">
        <v>58</v>
      </c>
      <c r="AS208" s="80">
        <v>0</v>
      </c>
      <c r="AT208" s="80">
        <v>0</v>
      </c>
      <c r="AU208" s="80">
        <v>0</v>
      </c>
      <c r="AV208" s="80">
        <v>58</v>
      </c>
      <c r="AW208" s="81"/>
      <c r="AX208" s="80">
        <v>453</v>
      </c>
      <c r="AY208" s="80">
        <v>468</v>
      </c>
      <c r="AZ208" s="80">
        <v>0</v>
      </c>
      <c r="BA208" s="80">
        <v>-15</v>
      </c>
      <c r="BB208" s="80">
        <v>-1670</v>
      </c>
      <c r="BC208" s="80">
        <v>1961</v>
      </c>
      <c r="BD208" s="80">
        <v>270</v>
      </c>
      <c r="BE208" s="80">
        <v>21</v>
      </c>
      <c r="BF208" s="80">
        <v>-1217</v>
      </c>
      <c r="BG208" s="80">
        <v>1185</v>
      </c>
      <c r="BH208" s="80">
        <v>-16</v>
      </c>
      <c r="BI208" s="80">
        <v>20</v>
      </c>
      <c r="BJ208" s="80">
        <v>4</v>
      </c>
      <c r="BK208" s="80">
        <v>1270</v>
      </c>
      <c r="BL208" s="80">
        <v>1500</v>
      </c>
      <c r="BM208" s="80">
        <v>230</v>
      </c>
      <c r="BN208" s="80">
        <v>0</v>
      </c>
      <c r="BO208" s="80">
        <v>0</v>
      </c>
      <c r="BP208" s="80">
        <v>-69</v>
      </c>
      <c r="BQ208" s="80">
        <v>0</v>
      </c>
      <c r="BR208" s="80">
        <v>0</v>
      </c>
      <c r="BS208" s="80">
        <v>-56</v>
      </c>
      <c r="BT208" s="80">
        <v>-13</v>
      </c>
      <c r="BU208" s="80">
        <v>-32</v>
      </c>
      <c r="BV208" s="80">
        <v>1474</v>
      </c>
      <c r="BW208" s="80">
        <v>1506</v>
      </c>
      <c r="BX208" s="81"/>
      <c r="BY208" s="80">
        <v>9545</v>
      </c>
      <c r="BZ208" s="80">
        <v>257</v>
      </c>
      <c r="CA208" s="80">
        <v>0</v>
      </c>
      <c r="CB208" s="80">
        <v>257</v>
      </c>
      <c r="CC208" s="80">
        <v>0</v>
      </c>
      <c r="CD208" s="80">
        <v>7821</v>
      </c>
      <c r="CE208" s="80">
        <v>827</v>
      </c>
      <c r="CF208" s="80">
        <v>2926</v>
      </c>
      <c r="CG208" s="80">
        <v>2278</v>
      </c>
      <c r="CH208" s="80">
        <v>75</v>
      </c>
      <c r="CI208" s="80">
        <v>0</v>
      </c>
      <c r="CJ208" s="80">
        <v>0</v>
      </c>
      <c r="CK208" s="80">
        <v>1715</v>
      </c>
      <c r="CL208" s="80">
        <v>1467</v>
      </c>
      <c r="CM208" s="80">
        <v>1443</v>
      </c>
      <c r="CN208" s="80">
        <v>887</v>
      </c>
      <c r="CO208" s="80">
        <v>556</v>
      </c>
      <c r="CP208" s="80">
        <v>0</v>
      </c>
      <c r="CQ208" s="80">
        <v>20</v>
      </c>
      <c r="CR208" s="80">
        <v>0</v>
      </c>
      <c r="CS208" s="80">
        <v>0</v>
      </c>
      <c r="CT208" s="80">
        <v>20</v>
      </c>
      <c r="CU208" s="80">
        <v>4</v>
      </c>
      <c r="CV208" s="80">
        <v>6</v>
      </c>
      <c r="CW208" s="80">
        <v>0</v>
      </c>
      <c r="CX208" s="80">
        <v>6</v>
      </c>
      <c r="CY208" s="80">
        <v>0</v>
      </c>
      <c r="CZ208" s="80">
        <v>1978</v>
      </c>
      <c r="DA208" s="80">
        <v>0</v>
      </c>
      <c r="DB208" s="80">
        <v>0</v>
      </c>
      <c r="DC208" s="80">
        <v>0</v>
      </c>
      <c r="DD208" s="80">
        <v>0</v>
      </c>
      <c r="DE208" s="80">
        <v>0</v>
      </c>
      <c r="DF208" s="80">
        <v>0</v>
      </c>
      <c r="DG208" s="80">
        <v>504</v>
      </c>
      <c r="DH208" s="80">
        <v>0</v>
      </c>
      <c r="DI208" s="80">
        <v>0</v>
      </c>
      <c r="DJ208" s="80">
        <v>0</v>
      </c>
      <c r="DK208" s="80">
        <v>0</v>
      </c>
      <c r="DL208" s="80">
        <v>0</v>
      </c>
      <c r="DM208" s="80">
        <v>504</v>
      </c>
      <c r="DN208" s="80">
        <v>136</v>
      </c>
      <c r="DO208" s="80">
        <v>0</v>
      </c>
      <c r="DP208" s="80">
        <v>78</v>
      </c>
      <c r="DQ208" s="80">
        <v>290</v>
      </c>
      <c r="DR208" s="80">
        <v>0</v>
      </c>
      <c r="DS208" s="80">
        <v>0</v>
      </c>
      <c r="DT208" s="80">
        <v>0</v>
      </c>
      <c r="DU208" s="80">
        <v>0</v>
      </c>
      <c r="DV208" s="80">
        <v>0</v>
      </c>
      <c r="DW208" s="80">
        <v>1474</v>
      </c>
      <c r="DX208" s="80">
        <v>11529</v>
      </c>
      <c r="DY208" s="80">
        <v>6385</v>
      </c>
      <c r="DZ208" s="80">
        <v>5663</v>
      </c>
      <c r="EA208" s="80">
        <v>0</v>
      </c>
      <c r="EB208" s="80">
        <v>0</v>
      </c>
      <c r="EC208" s="80">
        <v>664</v>
      </c>
      <c r="ED208" s="80">
        <v>58</v>
      </c>
      <c r="EE208" s="80">
        <v>700</v>
      </c>
      <c r="EF208" s="80">
        <v>0</v>
      </c>
      <c r="EG208" s="80">
        <v>700</v>
      </c>
      <c r="EH208" s="80">
        <v>0</v>
      </c>
      <c r="EI208" s="80">
        <v>0</v>
      </c>
      <c r="EJ208" s="80">
        <v>0</v>
      </c>
      <c r="EK208" s="80">
        <v>45</v>
      </c>
      <c r="EL208" s="80">
        <v>0</v>
      </c>
      <c r="EM208" s="80">
        <v>6</v>
      </c>
      <c r="EN208" s="80">
        <v>39</v>
      </c>
      <c r="EO208" s="80">
        <v>4399</v>
      </c>
      <c r="EP208" s="80">
        <v>2934</v>
      </c>
      <c r="EQ208" s="80">
        <v>0</v>
      </c>
      <c r="ER208" s="80">
        <v>2185</v>
      </c>
      <c r="ES208" s="80">
        <v>0</v>
      </c>
      <c r="ET208" s="80">
        <v>910</v>
      </c>
      <c r="EU208" s="80">
        <v>1275</v>
      </c>
      <c r="EV208" s="80">
        <v>0</v>
      </c>
      <c r="EW208" s="80">
        <v>0</v>
      </c>
      <c r="EX208" s="80">
        <v>0</v>
      </c>
      <c r="EY208" s="80">
        <v>0</v>
      </c>
      <c r="EZ208" s="80">
        <v>0</v>
      </c>
      <c r="FA208" s="80">
        <v>749</v>
      </c>
      <c r="FB208" s="80">
        <v>0</v>
      </c>
      <c r="FC208" s="80">
        <v>0</v>
      </c>
      <c r="FD208" s="80">
        <v>1465</v>
      </c>
      <c r="FE208" s="80">
        <v>0</v>
      </c>
      <c r="FF208" s="80">
        <v>305</v>
      </c>
      <c r="FG208" s="80">
        <v>0</v>
      </c>
      <c r="FH208" s="80">
        <v>305</v>
      </c>
      <c r="FI208" s="80">
        <v>0</v>
      </c>
      <c r="FJ208" s="80">
        <v>0</v>
      </c>
      <c r="FK208" s="80">
        <v>0</v>
      </c>
      <c r="FL208" s="80">
        <v>0</v>
      </c>
      <c r="FM208" s="80">
        <v>53</v>
      </c>
      <c r="FN208" s="80">
        <v>463</v>
      </c>
      <c r="FO208" s="80">
        <v>63</v>
      </c>
      <c r="FP208" s="80">
        <v>581</v>
      </c>
      <c r="FQ208" s="80">
        <v>11529</v>
      </c>
      <c r="FR208" s="80">
        <v>0</v>
      </c>
      <c r="FS208" s="80">
        <v>0</v>
      </c>
      <c r="FT208" s="100">
        <v>5291.9822674850902</v>
      </c>
      <c r="FU208" s="100"/>
      <c r="FV208" s="100">
        <v>1326</v>
      </c>
      <c r="FW208" s="67">
        <v>410</v>
      </c>
      <c r="FX208" s="100">
        <f t="shared" si="20"/>
        <v>-8794</v>
      </c>
      <c r="FY208" s="100">
        <f t="shared" si="21"/>
        <v>-10488</v>
      </c>
      <c r="FZ208" s="100">
        <v>6800.4469492878352</v>
      </c>
      <c r="GA208" s="67">
        <v>1694</v>
      </c>
      <c r="GB208" s="58">
        <f t="shared" si="18"/>
        <v>368</v>
      </c>
      <c r="GC208" s="67">
        <v>410</v>
      </c>
      <c r="GD208" s="100">
        <v>535</v>
      </c>
      <c r="GE208" s="100">
        <v>221</v>
      </c>
      <c r="GF208" s="58">
        <f t="shared" si="19"/>
        <v>314</v>
      </c>
      <c r="GG208" s="100">
        <v>-4188.2939999999999</v>
      </c>
      <c r="GH208" s="100">
        <v>-88.115550000000042</v>
      </c>
      <c r="GI208" s="100">
        <v>-2508.2563471295275</v>
      </c>
      <c r="GJ208" s="67">
        <f t="shared" si="22"/>
        <v>0</v>
      </c>
      <c r="GK208" s="67"/>
      <c r="GM208" s="96"/>
    </row>
    <row r="209" spans="1:195" ht="13.5" customHeight="1" x14ac:dyDescent="0.2">
      <c r="A209" s="74">
        <v>624</v>
      </c>
      <c r="B209" s="75" t="s">
        <v>297</v>
      </c>
      <c r="C209" s="82" t="s">
        <v>297</v>
      </c>
      <c r="D209" s="76"/>
      <c r="E209" s="77" t="s">
        <v>230</v>
      </c>
      <c r="F209" s="78">
        <v>3</v>
      </c>
      <c r="G209" s="79">
        <v>5321</v>
      </c>
      <c r="H209" s="80">
        <v>3035</v>
      </c>
      <c r="I209" s="80">
        <v>495</v>
      </c>
      <c r="J209" s="80">
        <v>1374</v>
      </c>
      <c r="K209" s="80">
        <v>400</v>
      </c>
      <c r="L209" s="80">
        <v>766</v>
      </c>
      <c r="M209" s="80">
        <v>0</v>
      </c>
      <c r="N209" s="80">
        <v>0</v>
      </c>
      <c r="O209" s="80">
        <v>31235</v>
      </c>
      <c r="P209" s="80">
        <v>7806</v>
      </c>
      <c r="Q209" s="80">
        <v>5901</v>
      </c>
      <c r="R209" s="80">
        <v>1905</v>
      </c>
      <c r="S209" s="80">
        <v>1639</v>
      </c>
      <c r="T209" s="80">
        <v>266</v>
      </c>
      <c r="U209" s="80">
        <v>20283</v>
      </c>
      <c r="V209" s="80">
        <v>1293</v>
      </c>
      <c r="W209" s="80">
        <v>1642</v>
      </c>
      <c r="X209" s="80">
        <v>211</v>
      </c>
      <c r="Y209" s="80">
        <v>-28200</v>
      </c>
      <c r="Z209" s="80">
        <v>19960</v>
      </c>
      <c r="AA209" s="80">
        <v>17440</v>
      </c>
      <c r="AB209" s="80">
        <v>642</v>
      </c>
      <c r="AC209" s="80">
        <v>1878</v>
      </c>
      <c r="AD209" s="80">
        <v>8525</v>
      </c>
      <c r="AE209" s="80">
        <v>-45</v>
      </c>
      <c r="AF209" s="80">
        <v>20</v>
      </c>
      <c r="AG209" s="80">
        <v>10</v>
      </c>
      <c r="AH209" s="80">
        <v>0</v>
      </c>
      <c r="AI209" s="80">
        <v>75</v>
      </c>
      <c r="AJ209" s="80">
        <v>0</v>
      </c>
      <c r="AK209" s="80">
        <v>240</v>
      </c>
      <c r="AL209" s="80">
        <v>1327</v>
      </c>
      <c r="AM209" s="80">
        <v>1327</v>
      </c>
      <c r="AN209" s="80">
        <v>0</v>
      </c>
      <c r="AO209" s="80">
        <v>0</v>
      </c>
      <c r="AP209" s="80">
        <v>0</v>
      </c>
      <c r="AQ209" s="80">
        <v>0</v>
      </c>
      <c r="AR209" s="80">
        <v>-1087</v>
      </c>
      <c r="AS209" s="80">
        <v>0</v>
      </c>
      <c r="AT209" s="80">
        <v>0</v>
      </c>
      <c r="AU209" s="80">
        <v>0</v>
      </c>
      <c r="AV209" s="80">
        <v>-1087</v>
      </c>
      <c r="AW209" s="81"/>
      <c r="AX209" s="80">
        <v>-9</v>
      </c>
      <c r="AY209" s="80">
        <v>240</v>
      </c>
      <c r="AZ209" s="80">
        <v>0</v>
      </c>
      <c r="BA209" s="80">
        <v>-249</v>
      </c>
      <c r="BB209" s="80">
        <v>-1287</v>
      </c>
      <c r="BC209" s="80">
        <v>1617</v>
      </c>
      <c r="BD209" s="80">
        <v>0</v>
      </c>
      <c r="BE209" s="80">
        <v>330</v>
      </c>
      <c r="BF209" s="80">
        <v>-1296</v>
      </c>
      <c r="BG209" s="80">
        <v>1142</v>
      </c>
      <c r="BH209" s="80">
        <v>-2</v>
      </c>
      <c r="BI209" s="80">
        <v>2</v>
      </c>
      <c r="BJ209" s="80">
        <v>0</v>
      </c>
      <c r="BK209" s="80">
        <v>1827</v>
      </c>
      <c r="BL209" s="80">
        <v>1500</v>
      </c>
      <c r="BM209" s="80">
        <v>1271</v>
      </c>
      <c r="BN209" s="80">
        <v>1598</v>
      </c>
      <c r="BO209" s="80">
        <v>0</v>
      </c>
      <c r="BP209" s="80">
        <v>-683</v>
      </c>
      <c r="BQ209" s="80">
        <v>0</v>
      </c>
      <c r="BR209" s="80">
        <v>0</v>
      </c>
      <c r="BS209" s="80">
        <v>259</v>
      </c>
      <c r="BT209" s="80">
        <v>-942</v>
      </c>
      <c r="BU209" s="80">
        <v>-153</v>
      </c>
      <c r="BV209" s="80">
        <v>148</v>
      </c>
      <c r="BW209" s="80">
        <v>301</v>
      </c>
      <c r="BX209" s="81"/>
      <c r="BY209" s="80">
        <v>27270</v>
      </c>
      <c r="BZ209" s="80">
        <v>321</v>
      </c>
      <c r="CA209" s="80">
        <v>226</v>
      </c>
      <c r="CB209" s="80">
        <v>95</v>
      </c>
      <c r="CC209" s="80">
        <v>0</v>
      </c>
      <c r="CD209" s="80">
        <v>20658</v>
      </c>
      <c r="CE209" s="80">
        <v>4794</v>
      </c>
      <c r="CF209" s="80">
        <v>10828</v>
      </c>
      <c r="CG209" s="80">
        <v>4841</v>
      </c>
      <c r="CH209" s="80">
        <v>195</v>
      </c>
      <c r="CI209" s="80">
        <v>0</v>
      </c>
      <c r="CJ209" s="80">
        <v>0</v>
      </c>
      <c r="CK209" s="80">
        <v>0</v>
      </c>
      <c r="CL209" s="80">
        <v>6291</v>
      </c>
      <c r="CM209" s="80">
        <v>4450</v>
      </c>
      <c r="CN209" s="80">
        <v>2405</v>
      </c>
      <c r="CO209" s="80">
        <v>2045</v>
      </c>
      <c r="CP209" s="80">
        <v>0</v>
      </c>
      <c r="CQ209" s="80">
        <v>1218</v>
      </c>
      <c r="CR209" s="80">
        <v>0</v>
      </c>
      <c r="CS209" s="80">
        <v>0</v>
      </c>
      <c r="CT209" s="80">
        <v>1218</v>
      </c>
      <c r="CU209" s="80">
        <v>623</v>
      </c>
      <c r="CV209" s="80">
        <v>31</v>
      </c>
      <c r="CW209" s="80">
        <v>0</v>
      </c>
      <c r="CX209" s="80">
        <v>31</v>
      </c>
      <c r="CY209" s="80">
        <v>0</v>
      </c>
      <c r="CZ209" s="80">
        <v>962</v>
      </c>
      <c r="DA209" s="80">
        <v>0</v>
      </c>
      <c r="DB209" s="80">
        <v>0</v>
      </c>
      <c r="DC209" s="80">
        <v>0</v>
      </c>
      <c r="DD209" s="80">
        <v>0</v>
      </c>
      <c r="DE209" s="80">
        <v>0</v>
      </c>
      <c r="DF209" s="80">
        <v>0</v>
      </c>
      <c r="DG209" s="80">
        <v>815</v>
      </c>
      <c r="DH209" s="80">
        <v>0</v>
      </c>
      <c r="DI209" s="80">
        <v>0</v>
      </c>
      <c r="DJ209" s="80">
        <v>0</v>
      </c>
      <c r="DK209" s="80">
        <v>0</v>
      </c>
      <c r="DL209" s="80">
        <v>0</v>
      </c>
      <c r="DM209" s="80">
        <v>815</v>
      </c>
      <c r="DN209" s="80">
        <v>356</v>
      </c>
      <c r="DO209" s="80">
        <v>0</v>
      </c>
      <c r="DP209" s="80">
        <v>197</v>
      </c>
      <c r="DQ209" s="80">
        <v>262</v>
      </c>
      <c r="DR209" s="80">
        <v>0</v>
      </c>
      <c r="DS209" s="80">
        <v>0</v>
      </c>
      <c r="DT209" s="80">
        <v>0</v>
      </c>
      <c r="DU209" s="80">
        <v>0</v>
      </c>
      <c r="DV209" s="80">
        <v>0</v>
      </c>
      <c r="DW209" s="80">
        <v>147</v>
      </c>
      <c r="DX209" s="80">
        <v>28263</v>
      </c>
      <c r="DY209" s="80">
        <v>10033</v>
      </c>
      <c r="DZ209" s="80">
        <v>8395</v>
      </c>
      <c r="EA209" s="80">
        <v>0</v>
      </c>
      <c r="EB209" s="80">
        <v>0</v>
      </c>
      <c r="EC209" s="80">
        <v>2724</v>
      </c>
      <c r="ED209" s="80">
        <v>-1086</v>
      </c>
      <c r="EE209" s="80">
        <v>0</v>
      </c>
      <c r="EF209" s="80">
        <v>0</v>
      </c>
      <c r="EG209" s="80">
        <v>0</v>
      </c>
      <c r="EH209" s="80">
        <v>879</v>
      </c>
      <c r="EI209" s="80">
        <v>0</v>
      </c>
      <c r="EJ209" s="80">
        <v>879</v>
      </c>
      <c r="EK209" s="80">
        <v>31</v>
      </c>
      <c r="EL209" s="80">
        <v>0</v>
      </c>
      <c r="EM209" s="80">
        <v>31</v>
      </c>
      <c r="EN209" s="80">
        <v>0</v>
      </c>
      <c r="EO209" s="80">
        <v>17320</v>
      </c>
      <c r="EP209" s="80">
        <v>2839</v>
      </c>
      <c r="EQ209" s="80">
        <v>0</v>
      </c>
      <c r="ER209" s="80">
        <v>2779</v>
      </c>
      <c r="ES209" s="80">
        <v>1275</v>
      </c>
      <c r="ET209" s="80">
        <v>1504</v>
      </c>
      <c r="EU209" s="80">
        <v>0</v>
      </c>
      <c r="EV209" s="80">
        <v>0</v>
      </c>
      <c r="EW209" s="80">
        <v>0</v>
      </c>
      <c r="EX209" s="80">
        <v>0</v>
      </c>
      <c r="EY209" s="80">
        <v>60</v>
      </c>
      <c r="EZ209" s="80">
        <v>0</v>
      </c>
      <c r="FA209" s="80">
        <v>0</v>
      </c>
      <c r="FB209" s="80">
        <v>0</v>
      </c>
      <c r="FC209" s="80">
        <v>0</v>
      </c>
      <c r="FD209" s="80">
        <v>14481</v>
      </c>
      <c r="FE209" s="80">
        <v>0</v>
      </c>
      <c r="FF209" s="80">
        <v>11508</v>
      </c>
      <c r="FG209" s="80">
        <v>10648</v>
      </c>
      <c r="FH209" s="80">
        <v>860</v>
      </c>
      <c r="FI209" s="80">
        <v>0</v>
      </c>
      <c r="FJ209" s="80">
        <v>0</v>
      </c>
      <c r="FK209" s="80">
        <v>0</v>
      </c>
      <c r="FL209" s="80">
        <v>0</v>
      </c>
      <c r="FM209" s="80">
        <v>0</v>
      </c>
      <c r="FN209" s="80">
        <v>1839</v>
      </c>
      <c r="FO209" s="80">
        <v>290</v>
      </c>
      <c r="FP209" s="80">
        <v>844</v>
      </c>
      <c r="FQ209" s="80">
        <v>28263</v>
      </c>
      <c r="FR209" s="80">
        <v>0</v>
      </c>
      <c r="FS209" s="80">
        <v>2392</v>
      </c>
      <c r="FT209" s="100">
        <v>15650.366447048345</v>
      </c>
      <c r="FU209" s="100"/>
      <c r="FV209" s="100">
        <v>4743</v>
      </c>
      <c r="FW209" s="67">
        <v>1313</v>
      </c>
      <c r="FX209" s="100">
        <f t="shared" si="20"/>
        <v>-21080</v>
      </c>
      <c r="FY209" s="100">
        <f t="shared" si="21"/>
        <v>-26873</v>
      </c>
      <c r="FZ209" s="100">
        <v>17509.816342607184</v>
      </c>
      <c r="GA209" s="67">
        <v>5793</v>
      </c>
      <c r="GB209" s="58">
        <f t="shared" si="18"/>
        <v>1050</v>
      </c>
      <c r="GC209" s="67">
        <v>1327</v>
      </c>
      <c r="GD209" s="100">
        <v>1341</v>
      </c>
      <c r="GE209" s="100">
        <v>543</v>
      </c>
      <c r="GF209" s="58">
        <f t="shared" si="19"/>
        <v>798</v>
      </c>
      <c r="GG209" s="100">
        <v>-10778.874</v>
      </c>
      <c r="GH209" s="100">
        <v>-205.65210000000013</v>
      </c>
      <c r="GI209" s="100">
        <v>-6640.9866124283953</v>
      </c>
      <c r="GJ209" s="67">
        <f t="shared" si="22"/>
        <v>14</v>
      </c>
      <c r="GK209" s="67"/>
      <c r="GM209" s="96"/>
    </row>
    <row r="210" spans="1:195" ht="13.5" customHeight="1" x14ac:dyDescent="0.2">
      <c r="A210" s="74">
        <v>608</v>
      </c>
      <c r="B210" s="75" t="s">
        <v>293</v>
      </c>
      <c r="C210" s="82" t="s">
        <v>293</v>
      </c>
      <c r="D210" s="76"/>
      <c r="E210" s="77" t="s">
        <v>224</v>
      </c>
      <c r="F210" s="78">
        <v>2</v>
      </c>
      <c r="G210" s="79">
        <v>2240</v>
      </c>
      <c r="H210" s="80">
        <v>1859</v>
      </c>
      <c r="I210" s="80">
        <v>956</v>
      </c>
      <c r="J210" s="80">
        <v>115</v>
      </c>
      <c r="K210" s="80">
        <v>210</v>
      </c>
      <c r="L210" s="80">
        <v>578</v>
      </c>
      <c r="M210" s="80">
        <v>0</v>
      </c>
      <c r="N210" s="80">
        <v>0</v>
      </c>
      <c r="O210" s="80">
        <v>15921</v>
      </c>
      <c r="P210" s="80">
        <v>4393</v>
      </c>
      <c r="Q210" s="80">
        <v>3231</v>
      </c>
      <c r="R210" s="80">
        <v>1162</v>
      </c>
      <c r="S210" s="80">
        <v>1012</v>
      </c>
      <c r="T210" s="80">
        <v>150</v>
      </c>
      <c r="U210" s="80">
        <v>10322</v>
      </c>
      <c r="V210" s="80">
        <v>857</v>
      </c>
      <c r="W210" s="80">
        <v>217</v>
      </c>
      <c r="X210" s="80">
        <v>132</v>
      </c>
      <c r="Y210" s="80">
        <v>-14062</v>
      </c>
      <c r="Z210" s="80">
        <v>6587</v>
      </c>
      <c r="AA210" s="80">
        <v>5681</v>
      </c>
      <c r="AB210" s="80">
        <v>459</v>
      </c>
      <c r="AC210" s="80">
        <v>447</v>
      </c>
      <c r="AD210" s="80">
        <v>8086</v>
      </c>
      <c r="AE210" s="80">
        <v>-7</v>
      </c>
      <c r="AF210" s="80">
        <v>12</v>
      </c>
      <c r="AG210" s="80">
        <v>8</v>
      </c>
      <c r="AH210" s="80">
        <v>0</v>
      </c>
      <c r="AI210" s="80">
        <v>18</v>
      </c>
      <c r="AJ210" s="80">
        <v>9</v>
      </c>
      <c r="AK210" s="80">
        <v>604</v>
      </c>
      <c r="AL210" s="80">
        <v>401</v>
      </c>
      <c r="AM210" s="80">
        <v>401</v>
      </c>
      <c r="AN210" s="80">
        <v>0</v>
      </c>
      <c r="AO210" s="80">
        <v>0</v>
      </c>
      <c r="AP210" s="80">
        <v>0</v>
      </c>
      <c r="AQ210" s="80">
        <v>0</v>
      </c>
      <c r="AR210" s="80">
        <v>203</v>
      </c>
      <c r="AS210" s="80">
        <v>0</v>
      </c>
      <c r="AT210" s="80">
        <v>0</v>
      </c>
      <c r="AU210" s="80">
        <v>0</v>
      </c>
      <c r="AV210" s="80">
        <v>203</v>
      </c>
      <c r="AW210" s="81"/>
      <c r="AX210" s="80">
        <v>403</v>
      </c>
      <c r="AY210" s="80">
        <v>604</v>
      </c>
      <c r="AZ210" s="80">
        <v>0</v>
      </c>
      <c r="BA210" s="80">
        <v>-201</v>
      </c>
      <c r="BB210" s="80">
        <v>-2138</v>
      </c>
      <c r="BC210" s="80">
        <v>3167</v>
      </c>
      <c r="BD210" s="80">
        <v>525</v>
      </c>
      <c r="BE210" s="80">
        <v>504</v>
      </c>
      <c r="BF210" s="80">
        <v>-1735</v>
      </c>
      <c r="BG210" s="80">
        <v>1735</v>
      </c>
      <c r="BH210" s="80">
        <v>-371</v>
      </c>
      <c r="BI210" s="80">
        <v>408</v>
      </c>
      <c r="BJ210" s="80">
        <v>37</v>
      </c>
      <c r="BK210" s="80">
        <v>2122</v>
      </c>
      <c r="BL210" s="80">
        <v>3000</v>
      </c>
      <c r="BM210" s="80">
        <v>279</v>
      </c>
      <c r="BN210" s="80">
        <v>-599</v>
      </c>
      <c r="BO210" s="80">
        <v>0</v>
      </c>
      <c r="BP210" s="80">
        <v>-16</v>
      </c>
      <c r="BQ210" s="80">
        <v>8</v>
      </c>
      <c r="BR210" s="80">
        <v>0</v>
      </c>
      <c r="BS210" s="80">
        <v>-247</v>
      </c>
      <c r="BT210" s="80">
        <v>223</v>
      </c>
      <c r="BU210" s="80">
        <v>0</v>
      </c>
      <c r="BV210" s="80">
        <v>0</v>
      </c>
      <c r="BW210" s="80">
        <v>0</v>
      </c>
      <c r="BX210" s="81"/>
      <c r="BY210" s="80">
        <v>14398</v>
      </c>
      <c r="BZ210" s="80">
        <v>238</v>
      </c>
      <c r="CA210" s="80">
        <v>2</v>
      </c>
      <c r="CB210" s="80">
        <v>236</v>
      </c>
      <c r="CC210" s="80">
        <v>0</v>
      </c>
      <c r="CD210" s="80">
        <v>11517</v>
      </c>
      <c r="CE210" s="80">
        <v>1036</v>
      </c>
      <c r="CF210" s="80">
        <v>8281</v>
      </c>
      <c r="CG210" s="80">
        <v>2003</v>
      </c>
      <c r="CH210" s="80">
        <v>197</v>
      </c>
      <c r="CI210" s="80">
        <v>0</v>
      </c>
      <c r="CJ210" s="80">
        <v>0</v>
      </c>
      <c r="CK210" s="80">
        <v>0</v>
      </c>
      <c r="CL210" s="80">
        <v>2643</v>
      </c>
      <c r="CM210" s="80">
        <v>2146</v>
      </c>
      <c r="CN210" s="80">
        <v>1377</v>
      </c>
      <c r="CO210" s="80">
        <v>769</v>
      </c>
      <c r="CP210" s="80">
        <v>0</v>
      </c>
      <c r="CQ210" s="80">
        <v>468</v>
      </c>
      <c r="CR210" s="80">
        <v>0</v>
      </c>
      <c r="CS210" s="80">
        <v>0</v>
      </c>
      <c r="CT210" s="80">
        <v>468</v>
      </c>
      <c r="CU210" s="80">
        <v>29</v>
      </c>
      <c r="CV210" s="80">
        <v>44</v>
      </c>
      <c r="CW210" s="80">
        <v>2</v>
      </c>
      <c r="CX210" s="80">
        <v>35</v>
      </c>
      <c r="CY210" s="80">
        <v>7</v>
      </c>
      <c r="CZ210" s="80">
        <v>990</v>
      </c>
      <c r="DA210" s="80">
        <v>0</v>
      </c>
      <c r="DB210" s="80">
        <v>0</v>
      </c>
      <c r="DC210" s="80">
        <v>0</v>
      </c>
      <c r="DD210" s="80">
        <v>0</v>
      </c>
      <c r="DE210" s="80">
        <v>0</v>
      </c>
      <c r="DF210" s="80">
        <v>0</v>
      </c>
      <c r="DG210" s="80">
        <v>990</v>
      </c>
      <c r="DH210" s="80">
        <v>109</v>
      </c>
      <c r="DI210" s="80">
        <v>0</v>
      </c>
      <c r="DJ210" s="80">
        <v>109</v>
      </c>
      <c r="DK210" s="80">
        <v>0</v>
      </c>
      <c r="DL210" s="80">
        <v>0</v>
      </c>
      <c r="DM210" s="80">
        <v>881</v>
      </c>
      <c r="DN210" s="80">
        <v>199</v>
      </c>
      <c r="DO210" s="80">
        <v>11</v>
      </c>
      <c r="DP210" s="80">
        <v>18</v>
      </c>
      <c r="DQ210" s="80">
        <v>653</v>
      </c>
      <c r="DR210" s="80">
        <v>0</v>
      </c>
      <c r="DS210" s="80">
        <v>0</v>
      </c>
      <c r="DT210" s="80">
        <v>0</v>
      </c>
      <c r="DU210" s="80">
        <v>0</v>
      </c>
      <c r="DV210" s="80">
        <v>0</v>
      </c>
      <c r="DW210" s="80">
        <v>0</v>
      </c>
      <c r="DX210" s="80">
        <v>15432</v>
      </c>
      <c r="DY210" s="80">
        <v>9184</v>
      </c>
      <c r="DZ210" s="80">
        <v>5305</v>
      </c>
      <c r="EA210" s="80">
        <v>0</v>
      </c>
      <c r="EB210" s="80">
        <v>0</v>
      </c>
      <c r="EC210" s="80">
        <v>3676</v>
      </c>
      <c r="ED210" s="80">
        <v>203</v>
      </c>
      <c r="EE210" s="80">
        <v>0</v>
      </c>
      <c r="EF210" s="80">
        <v>0</v>
      </c>
      <c r="EG210" s="80">
        <v>0</v>
      </c>
      <c r="EH210" s="80">
        <v>0</v>
      </c>
      <c r="EI210" s="80">
        <v>0</v>
      </c>
      <c r="EJ210" s="80">
        <v>0</v>
      </c>
      <c r="EK210" s="80">
        <v>47</v>
      </c>
      <c r="EL210" s="80">
        <v>0</v>
      </c>
      <c r="EM210" s="80">
        <v>39</v>
      </c>
      <c r="EN210" s="80">
        <v>8</v>
      </c>
      <c r="EO210" s="80">
        <v>6201</v>
      </c>
      <c r="EP210" s="80">
        <v>3286</v>
      </c>
      <c r="EQ210" s="80">
        <v>0</v>
      </c>
      <c r="ER210" s="80">
        <v>2838</v>
      </c>
      <c r="ES210" s="80">
        <v>0</v>
      </c>
      <c r="ET210" s="80">
        <v>2838</v>
      </c>
      <c r="EU210" s="80">
        <v>0</v>
      </c>
      <c r="EV210" s="80">
        <v>0</v>
      </c>
      <c r="EW210" s="80">
        <v>150</v>
      </c>
      <c r="EX210" s="80">
        <v>0</v>
      </c>
      <c r="EY210" s="80">
        <v>0</v>
      </c>
      <c r="EZ210" s="80">
        <v>0</v>
      </c>
      <c r="FA210" s="80">
        <v>298</v>
      </c>
      <c r="FB210" s="80">
        <v>0</v>
      </c>
      <c r="FC210" s="80">
        <v>0</v>
      </c>
      <c r="FD210" s="80">
        <v>2915</v>
      </c>
      <c r="FE210" s="80">
        <v>0</v>
      </c>
      <c r="FF210" s="80">
        <v>1081</v>
      </c>
      <c r="FG210" s="80">
        <v>919</v>
      </c>
      <c r="FH210" s="80">
        <v>162</v>
      </c>
      <c r="FI210" s="80">
        <v>0</v>
      </c>
      <c r="FJ210" s="80">
        <v>0</v>
      </c>
      <c r="FK210" s="80">
        <v>0</v>
      </c>
      <c r="FL210" s="80">
        <v>0</v>
      </c>
      <c r="FM210" s="80">
        <v>48</v>
      </c>
      <c r="FN210" s="80">
        <v>903</v>
      </c>
      <c r="FO210" s="80">
        <v>99</v>
      </c>
      <c r="FP210" s="80">
        <v>784</v>
      </c>
      <c r="FQ210" s="80">
        <v>15432</v>
      </c>
      <c r="FR210" s="80">
        <v>321</v>
      </c>
      <c r="FS210" s="80">
        <v>2340</v>
      </c>
      <c r="FT210" s="100">
        <v>7541.9582947903882</v>
      </c>
      <c r="FU210" s="100"/>
      <c r="FV210" s="100">
        <v>2833</v>
      </c>
      <c r="FW210" s="67">
        <v>349</v>
      </c>
      <c r="FX210" s="100">
        <f t="shared" si="20"/>
        <v>-10817</v>
      </c>
      <c r="FY210" s="100">
        <f t="shared" si="21"/>
        <v>-13661</v>
      </c>
      <c r="FZ210" s="100">
        <v>8803.3356306388014</v>
      </c>
      <c r="GA210" s="67">
        <v>2844</v>
      </c>
      <c r="GB210" s="58">
        <f t="shared" si="18"/>
        <v>11</v>
      </c>
      <c r="GC210" s="67">
        <v>401</v>
      </c>
      <c r="GD210" s="100">
        <v>115</v>
      </c>
      <c r="GE210" s="100">
        <v>115</v>
      </c>
      <c r="GF210" s="58">
        <f t="shared" si="19"/>
        <v>0</v>
      </c>
      <c r="GG210" s="100">
        <v>-3417.2000000000003</v>
      </c>
      <c r="GH210" s="100">
        <v>-140.56845000000001</v>
      </c>
      <c r="GI210" s="100">
        <v>-5419.0992228356245</v>
      </c>
      <c r="GJ210" s="67">
        <f t="shared" si="22"/>
        <v>52</v>
      </c>
      <c r="GK210" s="67"/>
      <c r="GM210" s="96"/>
    </row>
    <row r="211" spans="1:195" ht="13.5" customHeight="1" x14ac:dyDescent="0.2">
      <c r="A211" s="74">
        <v>635</v>
      </c>
      <c r="B211" s="75" t="s">
        <v>144</v>
      </c>
      <c r="C211" s="75" t="s">
        <v>144</v>
      </c>
      <c r="D211" s="76"/>
      <c r="E211" s="77" t="s">
        <v>214</v>
      </c>
      <c r="F211" s="78">
        <v>3</v>
      </c>
      <c r="G211" s="79">
        <v>6676</v>
      </c>
      <c r="H211" s="80">
        <v>4939</v>
      </c>
      <c r="I211" s="80">
        <v>2295</v>
      </c>
      <c r="J211" s="80">
        <v>626</v>
      </c>
      <c r="K211" s="80">
        <v>677</v>
      </c>
      <c r="L211" s="80">
        <v>1341</v>
      </c>
      <c r="M211" s="80">
        <v>0</v>
      </c>
      <c r="N211" s="80">
        <v>0</v>
      </c>
      <c r="O211" s="80">
        <v>41417</v>
      </c>
      <c r="P211" s="80">
        <v>11208</v>
      </c>
      <c r="Q211" s="80">
        <v>8209</v>
      </c>
      <c r="R211" s="80">
        <v>2999</v>
      </c>
      <c r="S211" s="80">
        <v>2574</v>
      </c>
      <c r="T211" s="80">
        <v>425</v>
      </c>
      <c r="U211" s="80">
        <v>27015</v>
      </c>
      <c r="V211" s="80">
        <v>2134</v>
      </c>
      <c r="W211" s="80">
        <v>721</v>
      </c>
      <c r="X211" s="80">
        <v>339</v>
      </c>
      <c r="Y211" s="80">
        <v>-36478</v>
      </c>
      <c r="Z211" s="80">
        <v>22274</v>
      </c>
      <c r="AA211" s="80">
        <v>18891</v>
      </c>
      <c r="AB211" s="80">
        <v>1201</v>
      </c>
      <c r="AC211" s="80">
        <v>2182</v>
      </c>
      <c r="AD211" s="80">
        <v>16207</v>
      </c>
      <c r="AE211" s="80">
        <v>50</v>
      </c>
      <c r="AF211" s="80">
        <v>12</v>
      </c>
      <c r="AG211" s="80">
        <v>94</v>
      </c>
      <c r="AH211" s="80">
        <v>1</v>
      </c>
      <c r="AI211" s="80">
        <v>54</v>
      </c>
      <c r="AJ211" s="80">
        <v>2</v>
      </c>
      <c r="AK211" s="80">
        <v>2053</v>
      </c>
      <c r="AL211" s="80">
        <v>2158</v>
      </c>
      <c r="AM211" s="80">
        <v>2158</v>
      </c>
      <c r="AN211" s="80">
        <v>0</v>
      </c>
      <c r="AO211" s="80">
        <v>0</v>
      </c>
      <c r="AP211" s="80">
        <v>0</v>
      </c>
      <c r="AQ211" s="80">
        <v>0</v>
      </c>
      <c r="AR211" s="80">
        <v>-105</v>
      </c>
      <c r="AS211" s="80">
        <v>387</v>
      </c>
      <c r="AT211" s="80">
        <v>0</v>
      </c>
      <c r="AU211" s="80">
        <v>0</v>
      </c>
      <c r="AV211" s="80">
        <v>282</v>
      </c>
      <c r="AW211" s="81"/>
      <c r="AX211" s="80">
        <v>2008</v>
      </c>
      <c r="AY211" s="80">
        <v>2053</v>
      </c>
      <c r="AZ211" s="80">
        <v>0</v>
      </c>
      <c r="BA211" s="80">
        <v>-45</v>
      </c>
      <c r="BB211" s="80">
        <v>-3079</v>
      </c>
      <c r="BC211" s="80">
        <v>3170</v>
      </c>
      <c r="BD211" s="80">
        <v>0</v>
      </c>
      <c r="BE211" s="80">
        <v>91</v>
      </c>
      <c r="BF211" s="80">
        <v>-1071</v>
      </c>
      <c r="BG211" s="80">
        <v>429</v>
      </c>
      <c r="BH211" s="80">
        <v>43</v>
      </c>
      <c r="BI211" s="80">
        <v>4</v>
      </c>
      <c r="BJ211" s="80">
        <v>47</v>
      </c>
      <c r="BK211" s="80">
        <v>-712</v>
      </c>
      <c r="BL211" s="80">
        <v>0</v>
      </c>
      <c r="BM211" s="80">
        <v>712</v>
      </c>
      <c r="BN211" s="80">
        <v>0</v>
      </c>
      <c r="BO211" s="80">
        <v>0</v>
      </c>
      <c r="BP211" s="80">
        <v>1098</v>
      </c>
      <c r="BQ211" s="80">
        <v>-1</v>
      </c>
      <c r="BR211" s="80">
        <v>0</v>
      </c>
      <c r="BS211" s="80">
        <v>1200</v>
      </c>
      <c r="BT211" s="80">
        <v>-101</v>
      </c>
      <c r="BU211" s="80">
        <v>-642</v>
      </c>
      <c r="BV211" s="80">
        <v>1975</v>
      </c>
      <c r="BW211" s="80">
        <v>2617</v>
      </c>
      <c r="BX211" s="81"/>
      <c r="BY211" s="80">
        <v>39188</v>
      </c>
      <c r="BZ211" s="80">
        <v>226</v>
      </c>
      <c r="CA211" s="80">
        <v>58</v>
      </c>
      <c r="CB211" s="80">
        <v>168</v>
      </c>
      <c r="CC211" s="80">
        <v>0</v>
      </c>
      <c r="CD211" s="80">
        <v>32389</v>
      </c>
      <c r="CE211" s="80">
        <v>3860</v>
      </c>
      <c r="CF211" s="80">
        <v>18138</v>
      </c>
      <c r="CG211" s="80">
        <v>9695</v>
      </c>
      <c r="CH211" s="80">
        <v>287</v>
      </c>
      <c r="CI211" s="80">
        <v>0</v>
      </c>
      <c r="CJ211" s="80">
        <v>0</v>
      </c>
      <c r="CK211" s="80">
        <v>409</v>
      </c>
      <c r="CL211" s="80">
        <v>6573</v>
      </c>
      <c r="CM211" s="80">
        <v>6068</v>
      </c>
      <c r="CN211" s="80">
        <v>3072</v>
      </c>
      <c r="CO211" s="80">
        <v>2996</v>
      </c>
      <c r="CP211" s="80">
        <v>0</v>
      </c>
      <c r="CQ211" s="80">
        <v>491</v>
      </c>
      <c r="CR211" s="80">
        <v>0</v>
      </c>
      <c r="CS211" s="80">
        <v>0</v>
      </c>
      <c r="CT211" s="80">
        <v>491</v>
      </c>
      <c r="CU211" s="80">
        <v>14</v>
      </c>
      <c r="CV211" s="80">
        <v>533</v>
      </c>
      <c r="CW211" s="80">
        <v>0</v>
      </c>
      <c r="CX211" s="80">
        <v>533</v>
      </c>
      <c r="CY211" s="80">
        <v>0</v>
      </c>
      <c r="CZ211" s="80">
        <v>3114</v>
      </c>
      <c r="DA211" s="80">
        <v>0</v>
      </c>
      <c r="DB211" s="80">
        <v>0</v>
      </c>
      <c r="DC211" s="80">
        <v>0</v>
      </c>
      <c r="DD211" s="80">
        <v>0</v>
      </c>
      <c r="DE211" s="80">
        <v>0</v>
      </c>
      <c r="DF211" s="80">
        <v>0</v>
      </c>
      <c r="DG211" s="80">
        <v>1139</v>
      </c>
      <c r="DH211" s="80">
        <v>0</v>
      </c>
      <c r="DI211" s="80">
        <v>0</v>
      </c>
      <c r="DJ211" s="80">
        <v>0</v>
      </c>
      <c r="DK211" s="80">
        <v>0</v>
      </c>
      <c r="DL211" s="80">
        <v>0</v>
      </c>
      <c r="DM211" s="80">
        <v>1139</v>
      </c>
      <c r="DN211" s="80">
        <v>586</v>
      </c>
      <c r="DO211" s="80">
        <v>0</v>
      </c>
      <c r="DP211" s="80">
        <v>330</v>
      </c>
      <c r="DQ211" s="80">
        <v>223</v>
      </c>
      <c r="DR211" s="80">
        <v>0</v>
      </c>
      <c r="DS211" s="80">
        <v>0</v>
      </c>
      <c r="DT211" s="80">
        <v>0</v>
      </c>
      <c r="DU211" s="80">
        <v>0</v>
      </c>
      <c r="DV211" s="80">
        <v>0</v>
      </c>
      <c r="DW211" s="80">
        <v>1975</v>
      </c>
      <c r="DX211" s="80">
        <v>42835</v>
      </c>
      <c r="DY211" s="80">
        <v>25502</v>
      </c>
      <c r="DZ211" s="80">
        <v>15061</v>
      </c>
      <c r="EA211" s="80">
        <v>0</v>
      </c>
      <c r="EB211" s="80">
        <v>0</v>
      </c>
      <c r="EC211" s="80">
        <v>10159</v>
      </c>
      <c r="ED211" s="80">
        <v>282</v>
      </c>
      <c r="EE211" s="80">
        <v>6116</v>
      </c>
      <c r="EF211" s="80">
        <v>5116</v>
      </c>
      <c r="EG211" s="80">
        <v>1000</v>
      </c>
      <c r="EH211" s="80">
        <v>0</v>
      </c>
      <c r="EI211" s="80">
        <v>0</v>
      </c>
      <c r="EJ211" s="80">
        <v>0</v>
      </c>
      <c r="EK211" s="80">
        <v>645</v>
      </c>
      <c r="EL211" s="80">
        <v>0</v>
      </c>
      <c r="EM211" s="80">
        <v>645</v>
      </c>
      <c r="EN211" s="80">
        <v>0</v>
      </c>
      <c r="EO211" s="80">
        <v>10572</v>
      </c>
      <c r="EP211" s="80">
        <v>7691</v>
      </c>
      <c r="EQ211" s="80">
        <v>0</v>
      </c>
      <c r="ER211" s="80">
        <v>4353</v>
      </c>
      <c r="ES211" s="80">
        <v>0</v>
      </c>
      <c r="ET211" s="80">
        <v>4353</v>
      </c>
      <c r="EU211" s="80">
        <v>0</v>
      </c>
      <c r="EV211" s="80">
        <v>0</v>
      </c>
      <c r="EW211" s="80">
        <v>128</v>
      </c>
      <c r="EX211" s="80">
        <v>0</v>
      </c>
      <c r="EY211" s="80">
        <v>0</v>
      </c>
      <c r="EZ211" s="80">
        <v>0</v>
      </c>
      <c r="FA211" s="80">
        <v>3210</v>
      </c>
      <c r="FB211" s="80">
        <v>0</v>
      </c>
      <c r="FC211" s="80">
        <v>0</v>
      </c>
      <c r="FD211" s="80">
        <v>2881</v>
      </c>
      <c r="FE211" s="80">
        <v>0</v>
      </c>
      <c r="FF211" s="80">
        <v>646</v>
      </c>
      <c r="FG211" s="80">
        <v>40</v>
      </c>
      <c r="FH211" s="80">
        <v>606</v>
      </c>
      <c r="FI211" s="80">
        <v>0</v>
      </c>
      <c r="FJ211" s="80">
        <v>0</v>
      </c>
      <c r="FK211" s="80">
        <v>19</v>
      </c>
      <c r="FL211" s="80">
        <v>0</v>
      </c>
      <c r="FM211" s="80">
        <v>25</v>
      </c>
      <c r="FN211" s="80">
        <v>474</v>
      </c>
      <c r="FO211" s="80">
        <v>350</v>
      </c>
      <c r="FP211" s="80">
        <v>1367</v>
      </c>
      <c r="FQ211" s="80">
        <v>42835</v>
      </c>
      <c r="FR211" s="80">
        <v>1942</v>
      </c>
      <c r="FS211" s="80">
        <v>2016</v>
      </c>
      <c r="FT211" s="100">
        <v>21575.165526909113</v>
      </c>
      <c r="FU211" s="100"/>
      <c r="FV211" s="100">
        <v>8407</v>
      </c>
      <c r="FW211" s="67">
        <v>2154</v>
      </c>
      <c r="FX211" s="100">
        <f t="shared" si="20"/>
        <v>-25571</v>
      </c>
      <c r="FY211" s="100">
        <f t="shared" si="21"/>
        <v>-34320</v>
      </c>
      <c r="FZ211" s="100">
        <v>23196.995554634803</v>
      </c>
      <c r="GA211" s="67">
        <v>8749</v>
      </c>
      <c r="GB211" s="58">
        <f t="shared" si="18"/>
        <v>342</v>
      </c>
      <c r="GC211" s="67">
        <v>2154</v>
      </c>
      <c r="GD211" s="100">
        <v>627</v>
      </c>
      <c r="GE211" s="100">
        <v>627</v>
      </c>
      <c r="GF211" s="58">
        <f t="shared" si="19"/>
        <v>0</v>
      </c>
      <c r="GG211" s="100">
        <v>-10927.094999999999</v>
      </c>
      <c r="GH211" s="100">
        <v>-384.27760000000012</v>
      </c>
      <c r="GI211" s="100">
        <v>-11995.859967295943</v>
      </c>
      <c r="GJ211" s="67">
        <f t="shared" si="22"/>
        <v>0</v>
      </c>
      <c r="GK211" s="67"/>
      <c r="GM211" s="96"/>
    </row>
    <row r="212" spans="1:195" ht="13.5" customHeight="1" x14ac:dyDescent="0.2">
      <c r="A212" s="74">
        <v>636</v>
      </c>
      <c r="B212" s="75" t="s">
        <v>145</v>
      </c>
      <c r="C212" s="75" t="s">
        <v>145</v>
      </c>
      <c r="D212" s="76"/>
      <c r="E212" s="77" t="s">
        <v>219</v>
      </c>
      <c r="F212" s="78">
        <v>3</v>
      </c>
      <c r="G212" s="79">
        <v>8562</v>
      </c>
      <c r="H212" s="80">
        <v>9609</v>
      </c>
      <c r="I212" s="80">
        <v>4322</v>
      </c>
      <c r="J212" s="80">
        <v>2644</v>
      </c>
      <c r="K212" s="80">
        <v>501</v>
      </c>
      <c r="L212" s="80">
        <v>2142</v>
      </c>
      <c r="M212" s="80">
        <v>0</v>
      </c>
      <c r="N212" s="80">
        <v>0</v>
      </c>
      <c r="O212" s="80">
        <v>56081</v>
      </c>
      <c r="P212" s="80">
        <v>21785</v>
      </c>
      <c r="Q212" s="80">
        <v>16759</v>
      </c>
      <c r="R212" s="80">
        <v>5026</v>
      </c>
      <c r="S212" s="80">
        <v>4098</v>
      </c>
      <c r="T212" s="80">
        <v>928</v>
      </c>
      <c r="U212" s="80">
        <v>26520</v>
      </c>
      <c r="V212" s="80">
        <v>2778</v>
      </c>
      <c r="W212" s="80">
        <v>4053</v>
      </c>
      <c r="X212" s="80">
        <v>945</v>
      </c>
      <c r="Y212" s="80">
        <v>-46472</v>
      </c>
      <c r="Z212" s="80">
        <v>26438</v>
      </c>
      <c r="AA212" s="80">
        <v>23555</v>
      </c>
      <c r="AB212" s="80">
        <v>1449</v>
      </c>
      <c r="AC212" s="80">
        <v>1434</v>
      </c>
      <c r="AD212" s="80">
        <v>21366</v>
      </c>
      <c r="AE212" s="80">
        <v>-136</v>
      </c>
      <c r="AF212" s="80">
        <v>0</v>
      </c>
      <c r="AG212" s="80">
        <v>39</v>
      </c>
      <c r="AH212" s="80">
        <v>11</v>
      </c>
      <c r="AI212" s="80">
        <v>151</v>
      </c>
      <c r="AJ212" s="80">
        <v>24</v>
      </c>
      <c r="AK212" s="80">
        <v>1196</v>
      </c>
      <c r="AL212" s="80">
        <v>1956</v>
      </c>
      <c r="AM212" s="80">
        <v>1956</v>
      </c>
      <c r="AN212" s="80">
        <v>0</v>
      </c>
      <c r="AO212" s="80">
        <v>0</v>
      </c>
      <c r="AP212" s="80">
        <v>0</v>
      </c>
      <c r="AQ212" s="80">
        <v>0</v>
      </c>
      <c r="AR212" s="80">
        <v>-760</v>
      </c>
      <c r="AS212" s="80">
        <v>82</v>
      </c>
      <c r="AT212" s="80">
        <v>0</v>
      </c>
      <c r="AU212" s="80">
        <v>0</v>
      </c>
      <c r="AV212" s="80">
        <v>-678</v>
      </c>
      <c r="AW212" s="81"/>
      <c r="AX212" s="80">
        <v>837</v>
      </c>
      <c r="AY212" s="80">
        <v>1196</v>
      </c>
      <c r="AZ212" s="80">
        <v>0</v>
      </c>
      <c r="BA212" s="80">
        <v>-359</v>
      </c>
      <c r="BB212" s="80">
        <v>-1385</v>
      </c>
      <c r="BC212" s="80">
        <v>2636</v>
      </c>
      <c r="BD212" s="80">
        <v>445</v>
      </c>
      <c r="BE212" s="80">
        <v>806</v>
      </c>
      <c r="BF212" s="80">
        <v>-548</v>
      </c>
      <c r="BG212" s="80">
        <v>589</v>
      </c>
      <c r="BH212" s="80">
        <v>32</v>
      </c>
      <c r="BI212" s="80">
        <v>0</v>
      </c>
      <c r="BJ212" s="80">
        <v>32</v>
      </c>
      <c r="BK212" s="80">
        <v>1243</v>
      </c>
      <c r="BL212" s="80">
        <v>0</v>
      </c>
      <c r="BM212" s="80">
        <v>857</v>
      </c>
      <c r="BN212" s="80">
        <v>2100</v>
      </c>
      <c r="BO212" s="80">
        <v>0</v>
      </c>
      <c r="BP212" s="80">
        <v>-686</v>
      </c>
      <c r="BQ212" s="80">
        <v>128</v>
      </c>
      <c r="BR212" s="80">
        <v>6</v>
      </c>
      <c r="BS212" s="80">
        <v>-195</v>
      </c>
      <c r="BT212" s="80">
        <v>-625</v>
      </c>
      <c r="BU212" s="80">
        <v>42</v>
      </c>
      <c r="BV212" s="80">
        <v>102</v>
      </c>
      <c r="BW212" s="80">
        <v>60</v>
      </c>
      <c r="BX212" s="81"/>
      <c r="BY212" s="80">
        <v>40850</v>
      </c>
      <c r="BZ212" s="80">
        <v>131</v>
      </c>
      <c r="CA212" s="80">
        <v>0</v>
      </c>
      <c r="CB212" s="80">
        <v>131</v>
      </c>
      <c r="CC212" s="80">
        <v>0</v>
      </c>
      <c r="CD212" s="80">
        <v>30699</v>
      </c>
      <c r="CE212" s="80">
        <v>4829</v>
      </c>
      <c r="CF212" s="80">
        <v>20441</v>
      </c>
      <c r="CG212" s="80">
        <v>5188</v>
      </c>
      <c r="CH212" s="80">
        <v>152</v>
      </c>
      <c r="CI212" s="80">
        <v>19</v>
      </c>
      <c r="CJ212" s="80">
        <v>3</v>
      </c>
      <c r="CK212" s="80">
        <v>70</v>
      </c>
      <c r="CL212" s="80">
        <v>10020</v>
      </c>
      <c r="CM212" s="80">
        <v>9042</v>
      </c>
      <c r="CN212" s="80">
        <v>6113</v>
      </c>
      <c r="CO212" s="80">
        <v>2929</v>
      </c>
      <c r="CP212" s="80">
        <v>0</v>
      </c>
      <c r="CQ212" s="80">
        <v>928</v>
      </c>
      <c r="CR212" s="80">
        <v>0</v>
      </c>
      <c r="CS212" s="80">
        <v>0</v>
      </c>
      <c r="CT212" s="80">
        <v>928</v>
      </c>
      <c r="CU212" s="80">
        <v>50</v>
      </c>
      <c r="CV212" s="80">
        <v>88</v>
      </c>
      <c r="CW212" s="80">
        <v>0</v>
      </c>
      <c r="CX212" s="80">
        <v>88</v>
      </c>
      <c r="CY212" s="80">
        <v>0</v>
      </c>
      <c r="CZ212" s="80">
        <v>1955</v>
      </c>
      <c r="DA212" s="80">
        <v>65</v>
      </c>
      <c r="DB212" s="80">
        <v>0</v>
      </c>
      <c r="DC212" s="80">
        <v>0</v>
      </c>
      <c r="DD212" s="80">
        <v>65</v>
      </c>
      <c r="DE212" s="80">
        <v>0</v>
      </c>
      <c r="DF212" s="80">
        <v>0</v>
      </c>
      <c r="DG212" s="80">
        <v>1788</v>
      </c>
      <c r="DH212" s="80">
        <v>7</v>
      </c>
      <c r="DI212" s="80">
        <v>0</v>
      </c>
      <c r="DJ212" s="80">
        <v>0</v>
      </c>
      <c r="DK212" s="80">
        <v>7</v>
      </c>
      <c r="DL212" s="80">
        <v>0</v>
      </c>
      <c r="DM212" s="80">
        <v>1781</v>
      </c>
      <c r="DN212" s="80">
        <v>1276</v>
      </c>
      <c r="DO212" s="80">
        <v>0</v>
      </c>
      <c r="DP212" s="80">
        <v>134</v>
      </c>
      <c r="DQ212" s="80">
        <v>371</v>
      </c>
      <c r="DR212" s="80">
        <v>0</v>
      </c>
      <c r="DS212" s="80">
        <v>0</v>
      </c>
      <c r="DT212" s="80">
        <v>0</v>
      </c>
      <c r="DU212" s="80">
        <v>0</v>
      </c>
      <c r="DV212" s="80">
        <v>0</v>
      </c>
      <c r="DW212" s="80">
        <v>102</v>
      </c>
      <c r="DX212" s="80">
        <v>42893</v>
      </c>
      <c r="DY212" s="80">
        <v>22915</v>
      </c>
      <c r="DZ212" s="80">
        <v>23734</v>
      </c>
      <c r="EA212" s="80">
        <v>0</v>
      </c>
      <c r="EB212" s="80">
        <v>0</v>
      </c>
      <c r="EC212" s="80">
        <v>-140</v>
      </c>
      <c r="ED212" s="80">
        <v>-679</v>
      </c>
      <c r="EE212" s="80">
        <v>1511</v>
      </c>
      <c r="EF212" s="80">
        <v>584</v>
      </c>
      <c r="EG212" s="80">
        <v>927</v>
      </c>
      <c r="EH212" s="80">
        <v>0</v>
      </c>
      <c r="EI212" s="80">
        <v>0</v>
      </c>
      <c r="EJ212" s="80">
        <v>0</v>
      </c>
      <c r="EK212" s="80">
        <v>647</v>
      </c>
      <c r="EL212" s="80">
        <v>0</v>
      </c>
      <c r="EM212" s="80">
        <v>647</v>
      </c>
      <c r="EN212" s="80">
        <v>0</v>
      </c>
      <c r="EO212" s="80">
        <v>17820</v>
      </c>
      <c r="EP212" s="80">
        <v>8715</v>
      </c>
      <c r="EQ212" s="80">
        <v>0</v>
      </c>
      <c r="ER212" s="80">
        <v>7008</v>
      </c>
      <c r="ES212" s="80">
        <v>2469</v>
      </c>
      <c r="ET212" s="80">
        <v>4539</v>
      </c>
      <c r="EU212" s="80">
        <v>0</v>
      </c>
      <c r="EV212" s="80">
        <v>0</v>
      </c>
      <c r="EW212" s="80">
        <v>492</v>
      </c>
      <c r="EX212" s="80">
        <v>0</v>
      </c>
      <c r="EY212" s="80">
        <v>0</v>
      </c>
      <c r="EZ212" s="80">
        <v>0</v>
      </c>
      <c r="FA212" s="80">
        <v>1215</v>
      </c>
      <c r="FB212" s="80">
        <v>0</v>
      </c>
      <c r="FC212" s="80">
        <v>0</v>
      </c>
      <c r="FD212" s="80">
        <v>9105</v>
      </c>
      <c r="FE212" s="80">
        <v>0</v>
      </c>
      <c r="FF212" s="80">
        <v>3645</v>
      </c>
      <c r="FG212" s="80">
        <v>325</v>
      </c>
      <c r="FH212" s="80">
        <v>3320</v>
      </c>
      <c r="FI212" s="80">
        <v>0</v>
      </c>
      <c r="FJ212" s="80">
        <v>0</v>
      </c>
      <c r="FK212" s="80">
        <v>53</v>
      </c>
      <c r="FL212" s="80">
        <v>0</v>
      </c>
      <c r="FM212" s="80">
        <v>120</v>
      </c>
      <c r="FN212" s="80">
        <v>2108</v>
      </c>
      <c r="FO212" s="80">
        <v>613</v>
      </c>
      <c r="FP212" s="80">
        <v>2566</v>
      </c>
      <c r="FQ212" s="80">
        <v>42893</v>
      </c>
      <c r="FR212" s="80">
        <v>2089</v>
      </c>
      <c r="FS212" s="80">
        <v>1208</v>
      </c>
      <c r="FT212" s="100">
        <v>30190.215442664106</v>
      </c>
      <c r="FU212" s="100"/>
      <c r="FV212" s="100">
        <v>12910</v>
      </c>
      <c r="FW212" s="67">
        <v>1932</v>
      </c>
      <c r="FX212" s="100">
        <f t="shared" si="20"/>
        <v>-29001</v>
      </c>
      <c r="FY212" s="100">
        <f t="shared" si="21"/>
        <v>-44516</v>
      </c>
      <c r="FZ212" s="100">
        <v>29328.823952046758</v>
      </c>
      <c r="GA212" s="67">
        <v>15515</v>
      </c>
      <c r="GB212" s="58">
        <f t="shared" si="18"/>
        <v>2605</v>
      </c>
      <c r="GC212" s="67">
        <v>1957</v>
      </c>
      <c r="GD212" s="100">
        <v>2645</v>
      </c>
      <c r="GE212" s="100">
        <v>1004</v>
      </c>
      <c r="GF212" s="58">
        <f t="shared" si="19"/>
        <v>1641</v>
      </c>
      <c r="GG212" s="100">
        <v>-13333.225</v>
      </c>
      <c r="GH212" s="100">
        <v>-480.52575000000024</v>
      </c>
      <c r="GI212" s="100">
        <v>-15673.421526107335</v>
      </c>
      <c r="GJ212" s="67">
        <f t="shared" si="22"/>
        <v>25</v>
      </c>
      <c r="GK212" s="67"/>
      <c r="GM212" s="96"/>
    </row>
    <row r="213" spans="1:195" ht="13.5" customHeight="1" x14ac:dyDescent="0.2">
      <c r="A213" s="74">
        <v>681</v>
      </c>
      <c r="B213" s="75" t="s">
        <v>146</v>
      </c>
      <c r="C213" s="75" t="s">
        <v>146</v>
      </c>
      <c r="D213" s="76"/>
      <c r="E213" s="77" t="s">
        <v>220</v>
      </c>
      <c r="F213" s="78">
        <v>2</v>
      </c>
      <c r="G213" s="79">
        <v>3733</v>
      </c>
      <c r="H213" s="80">
        <v>8068</v>
      </c>
      <c r="I213" s="80">
        <v>4779</v>
      </c>
      <c r="J213" s="80">
        <v>635</v>
      </c>
      <c r="K213" s="80">
        <v>233</v>
      </c>
      <c r="L213" s="80">
        <v>2421</v>
      </c>
      <c r="M213" s="80">
        <v>0</v>
      </c>
      <c r="N213" s="80">
        <v>6</v>
      </c>
      <c r="O213" s="80">
        <v>31430</v>
      </c>
      <c r="P213" s="80">
        <v>8437</v>
      </c>
      <c r="Q213" s="80">
        <v>6122</v>
      </c>
      <c r="R213" s="80">
        <v>2315</v>
      </c>
      <c r="S213" s="80">
        <v>1966</v>
      </c>
      <c r="T213" s="80">
        <v>349</v>
      </c>
      <c r="U213" s="80">
        <v>20817</v>
      </c>
      <c r="V213" s="80">
        <v>469</v>
      </c>
      <c r="W213" s="80">
        <v>1126</v>
      </c>
      <c r="X213" s="80">
        <v>581</v>
      </c>
      <c r="Y213" s="80">
        <v>-23356</v>
      </c>
      <c r="Z213" s="80">
        <v>11412</v>
      </c>
      <c r="AA213" s="80">
        <v>9343</v>
      </c>
      <c r="AB213" s="80">
        <v>1075</v>
      </c>
      <c r="AC213" s="80">
        <v>994</v>
      </c>
      <c r="AD213" s="80">
        <v>13626</v>
      </c>
      <c r="AE213" s="80">
        <v>57</v>
      </c>
      <c r="AF213" s="80">
        <v>18</v>
      </c>
      <c r="AG213" s="80">
        <v>186</v>
      </c>
      <c r="AH213" s="80">
        <v>169</v>
      </c>
      <c r="AI213" s="80">
        <v>145</v>
      </c>
      <c r="AJ213" s="80">
        <v>2</v>
      </c>
      <c r="AK213" s="80">
        <v>1739</v>
      </c>
      <c r="AL213" s="80">
        <v>991</v>
      </c>
      <c r="AM213" s="80">
        <v>991</v>
      </c>
      <c r="AN213" s="80">
        <v>0</v>
      </c>
      <c r="AO213" s="80">
        <v>0</v>
      </c>
      <c r="AP213" s="80">
        <v>0</v>
      </c>
      <c r="AQ213" s="80">
        <v>0</v>
      </c>
      <c r="AR213" s="80">
        <v>748</v>
      </c>
      <c r="AS213" s="80">
        <v>0</v>
      </c>
      <c r="AT213" s="80">
        <v>0</v>
      </c>
      <c r="AU213" s="80">
        <v>0</v>
      </c>
      <c r="AV213" s="80">
        <v>748</v>
      </c>
      <c r="AW213" s="81"/>
      <c r="AX213" s="80">
        <v>1719</v>
      </c>
      <c r="AY213" s="80">
        <v>1739</v>
      </c>
      <c r="AZ213" s="80">
        <v>0</v>
      </c>
      <c r="BA213" s="80">
        <v>-20</v>
      </c>
      <c r="BB213" s="80">
        <v>-3300</v>
      </c>
      <c r="BC213" s="80">
        <v>4003</v>
      </c>
      <c r="BD213" s="80">
        <v>666</v>
      </c>
      <c r="BE213" s="80">
        <v>37</v>
      </c>
      <c r="BF213" s="80">
        <v>-1581</v>
      </c>
      <c r="BG213" s="80">
        <v>962</v>
      </c>
      <c r="BH213" s="80">
        <v>14</v>
      </c>
      <c r="BI213" s="80">
        <v>0</v>
      </c>
      <c r="BJ213" s="80">
        <v>14</v>
      </c>
      <c r="BK213" s="80">
        <v>2699</v>
      </c>
      <c r="BL213" s="80">
        <v>3900</v>
      </c>
      <c r="BM213" s="80">
        <v>1101</v>
      </c>
      <c r="BN213" s="80">
        <v>-100</v>
      </c>
      <c r="BO213" s="80">
        <v>0</v>
      </c>
      <c r="BP213" s="80">
        <v>-1751</v>
      </c>
      <c r="BQ213" s="80">
        <v>14</v>
      </c>
      <c r="BR213" s="80">
        <v>0</v>
      </c>
      <c r="BS213" s="80">
        <v>33</v>
      </c>
      <c r="BT213" s="80">
        <v>-1798</v>
      </c>
      <c r="BU213" s="80">
        <v>-620</v>
      </c>
      <c r="BV213" s="80">
        <v>360</v>
      </c>
      <c r="BW213" s="80">
        <v>980</v>
      </c>
      <c r="BX213" s="81"/>
      <c r="BY213" s="80">
        <v>33912</v>
      </c>
      <c r="BZ213" s="80">
        <v>22</v>
      </c>
      <c r="CA213" s="80">
        <v>22</v>
      </c>
      <c r="CB213" s="80">
        <v>0</v>
      </c>
      <c r="CC213" s="80">
        <v>0</v>
      </c>
      <c r="CD213" s="80">
        <v>20167</v>
      </c>
      <c r="CE213" s="80">
        <v>3708</v>
      </c>
      <c r="CF213" s="80">
        <v>15167</v>
      </c>
      <c r="CG213" s="80">
        <v>1118</v>
      </c>
      <c r="CH213" s="80">
        <v>65</v>
      </c>
      <c r="CI213" s="80">
        <v>0</v>
      </c>
      <c r="CJ213" s="80">
        <v>0</v>
      </c>
      <c r="CK213" s="80">
        <v>109</v>
      </c>
      <c r="CL213" s="80">
        <v>13723</v>
      </c>
      <c r="CM213" s="80">
        <v>12507</v>
      </c>
      <c r="CN213" s="80">
        <v>1349</v>
      </c>
      <c r="CO213" s="80">
        <v>11158</v>
      </c>
      <c r="CP213" s="80">
        <v>0</v>
      </c>
      <c r="CQ213" s="80">
        <v>1126</v>
      </c>
      <c r="CR213" s="80">
        <v>0</v>
      </c>
      <c r="CS213" s="80">
        <v>0</v>
      </c>
      <c r="CT213" s="80">
        <v>1126</v>
      </c>
      <c r="CU213" s="80">
        <v>90</v>
      </c>
      <c r="CV213" s="80">
        <v>1335</v>
      </c>
      <c r="CW213" s="80">
        <v>24</v>
      </c>
      <c r="CX213" s="80">
        <v>958</v>
      </c>
      <c r="CY213" s="80">
        <v>353</v>
      </c>
      <c r="CZ213" s="80">
        <v>1785</v>
      </c>
      <c r="DA213" s="80">
        <v>6</v>
      </c>
      <c r="DB213" s="80">
        <v>6</v>
      </c>
      <c r="DC213" s="80">
        <v>0</v>
      </c>
      <c r="DD213" s="80">
        <v>0</v>
      </c>
      <c r="DE213" s="80">
        <v>0</v>
      </c>
      <c r="DF213" s="80">
        <v>0</v>
      </c>
      <c r="DG213" s="80">
        <v>1419</v>
      </c>
      <c r="DH213" s="80">
        <v>3</v>
      </c>
      <c r="DI213" s="80">
        <v>0</v>
      </c>
      <c r="DJ213" s="80">
        <v>0</v>
      </c>
      <c r="DK213" s="80">
        <v>3</v>
      </c>
      <c r="DL213" s="80">
        <v>0</v>
      </c>
      <c r="DM213" s="80">
        <v>1416</v>
      </c>
      <c r="DN213" s="80">
        <v>743</v>
      </c>
      <c r="DO213" s="80">
        <v>15</v>
      </c>
      <c r="DP213" s="80">
        <v>194</v>
      </c>
      <c r="DQ213" s="80">
        <v>464</v>
      </c>
      <c r="DR213" s="80">
        <v>5</v>
      </c>
      <c r="DS213" s="80">
        <v>0</v>
      </c>
      <c r="DT213" s="80">
        <v>0</v>
      </c>
      <c r="DU213" s="80">
        <v>0</v>
      </c>
      <c r="DV213" s="80">
        <v>5</v>
      </c>
      <c r="DW213" s="80">
        <v>355</v>
      </c>
      <c r="DX213" s="80">
        <v>37032</v>
      </c>
      <c r="DY213" s="80">
        <v>20795</v>
      </c>
      <c r="DZ213" s="80">
        <v>14000</v>
      </c>
      <c r="EA213" s="80">
        <v>9048</v>
      </c>
      <c r="EB213" s="80">
        <v>0</v>
      </c>
      <c r="EC213" s="80">
        <v>-3001</v>
      </c>
      <c r="ED213" s="80">
        <v>748</v>
      </c>
      <c r="EE213" s="80">
        <v>0</v>
      </c>
      <c r="EF213" s="80">
        <v>0</v>
      </c>
      <c r="EG213" s="80">
        <v>0</v>
      </c>
      <c r="EH213" s="80">
        <v>348</v>
      </c>
      <c r="EI213" s="80">
        <v>0</v>
      </c>
      <c r="EJ213" s="80">
        <v>348</v>
      </c>
      <c r="EK213" s="80">
        <v>1331</v>
      </c>
      <c r="EL213" s="80">
        <v>5</v>
      </c>
      <c r="EM213" s="80">
        <v>958</v>
      </c>
      <c r="EN213" s="80">
        <v>368</v>
      </c>
      <c r="EO213" s="80">
        <v>14558</v>
      </c>
      <c r="EP213" s="80">
        <v>8275</v>
      </c>
      <c r="EQ213" s="80">
        <v>0</v>
      </c>
      <c r="ER213" s="80">
        <v>7538</v>
      </c>
      <c r="ES213" s="80">
        <v>3673</v>
      </c>
      <c r="ET213" s="80">
        <v>3865</v>
      </c>
      <c r="EU213" s="80">
        <v>0</v>
      </c>
      <c r="EV213" s="80">
        <v>0</v>
      </c>
      <c r="EW213" s="80">
        <v>660</v>
      </c>
      <c r="EX213" s="80">
        <v>0</v>
      </c>
      <c r="EY213" s="80">
        <v>0</v>
      </c>
      <c r="EZ213" s="80">
        <v>0</v>
      </c>
      <c r="FA213" s="80">
        <v>77</v>
      </c>
      <c r="FB213" s="80">
        <v>0</v>
      </c>
      <c r="FC213" s="80">
        <v>0</v>
      </c>
      <c r="FD213" s="80">
        <v>6283</v>
      </c>
      <c r="FE213" s="80">
        <v>0</v>
      </c>
      <c r="FF213" s="80">
        <v>3880</v>
      </c>
      <c r="FG213" s="80">
        <v>927</v>
      </c>
      <c r="FH213" s="80">
        <v>2953</v>
      </c>
      <c r="FI213" s="80">
        <v>0</v>
      </c>
      <c r="FJ213" s="80">
        <v>0</v>
      </c>
      <c r="FK213" s="80">
        <v>180</v>
      </c>
      <c r="FL213" s="80">
        <v>0</v>
      </c>
      <c r="FM213" s="80">
        <v>0</v>
      </c>
      <c r="FN213" s="80">
        <v>1021</v>
      </c>
      <c r="FO213" s="80">
        <v>156</v>
      </c>
      <c r="FP213" s="80">
        <v>1046</v>
      </c>
      <c r="FQ213" s="80">
        <v>37032</v>
      </c>
      <c r="FR213" s="80">
        <v>20</v>
      </c>
      <c r="FS213" s="80">
        <v>445</v>
      </c>
      <c r="FT213" s="100">
        <v>15283.849939917336</v>
      </c>
      <c r="FU213" s="100"/>
      <c r="FV213" s="100">
        <v>7273</v>
      </c>
      <c r="FW213" s="67">
        <v>733</v>
      </c>
      <c r="FX213" s="100">
        <f t="shared" si="20"/>
        <v>-13010</v>
      </c>
      <c r="FY213" s="100">
        <f t="shared" si="21"/>
        <v>-22365</v>
      </c>
      <c r="FZ213" s="100">
        <v>14923.660299707211</v>
      </c>
      <c r="GA213" s="67">
        <v>9355</v>
      </c>
      <c r="GB213" s="58">
        <f t="shared" si="18"/>
        <v>2082</v>
      </c>
      <c r="GC213" s="67">
        <v>983</v>
      </c>
      <c r="GD213" s="100">
        <v>634</v>
      </c>
      <c r="GE213" s="100">
        <v>632</v>
      </c>
      <c r="GF213" s="58">
        <f t="shared" si="19"/>
        <v>2</v>
      </c>
      <c r="GG213" s="100">
        <v>-5357.2889999999998</v>
      </c>
      <c r="GH213" s="100">
        <v>-323.08890000000014</v>
      </c>
      <c r="GI213" s="100">
        <v>-9798.4237366684811</v>
      </c>
      <c r="GJ213" s="67">
        <f t="shared" si="22"/>
        <v>250</v>
      </c>
      <c r="GK213" s="67"/>
      <c r="GM213" s="96"/>
    </row>
    <row r="214" spans="1:195" ht="13.5" customHeight="1" x14ac:dyDescent="0.2">
      <c r="A214" s="74">
        <v>683</v>
      </c>
      <c r="B214" s="75" t="s">
        <v>147</v>
      </c>
      <c r="C214" s="75" t="s">
        <v>147</v>
      </c>
      <c r="D214" s="76"/>
      <c r="E214" s="77" t="s">
        <v>222</v>
      </c>
      <c r="F214" s="78">
        <v>2</v>
      </c>
      <c r="G214" s="79">
        <v>4020</v>
      </c>
      <c r="H214" s="80">
        <v>4804</v>
      </c>
      <c r="I214" s="80">
        <v>1445</v>
      </c>
      <c r="J214" s="80">
        <v>1775</v>
      </c>
      <c r="K214" s="80">
        <v>535</v>
      </c>
      <c r="L214" s="80">
        <v>1049</v>
      </c>
      <c r="M214" s="80">
        <v>0</v>
      </c>
      <c r="N214" s="80">
        <v>0</v>
      </c>
      <c r="O214" s="80">
        <v>33575</v>
      </c>
      <c r="P214" s="80">
        <v>17359</v>
      </c>
      <c r="Q214" s="80">
        <v>13236</v>
      </c>
      <c r="R214" s="80">
        <v>4123</v>
      </c>
      <c r="S214" s="80">
        <v>3412</v>
      </c>
      <c r="T214" s="80">
        <v>711</v>
      </c>
      <c r="U214" s="80">
        <v>10994</v>
      </c>
      <c r="V214" s="80">
        <v>2288</v>
      </c>
      <c r="W214" s="80">
        <v>1779</v>
      </c>
      <c r="X214" s="80">
        <v>1155</v>
      </c>
      <c r="Y214" s="80">
        <v>-28771</v>
      </c>
      <c r="Z214" s="80">
        <v>10186</v>
      </c>
      <c r="AA214" s="80">
        <v>8836</v>
      </c>
      <c r="AB214" s="80">
        <v>612</v>
      </c>
      <c r="AC214" s="80">
        <v>738</v>
      </c>
      <c r="AD214" s="80">
        <v>21598</v>
      </c>
      <c r="AE214" s="80">
        <v>207</v>
      </c>
      <c r="AF214" s="80">
        <v>73</v>
      </c>
      <c r="AG214" s="80">
        <v>303</v>
      </c>
      <c r="AH214" s="80">
        <v>32</v>
      </c>
      <c r="AI214" s="80">
        <v>89</v>
      </c>
      <c r="AJ214" s="80">
        <v>80</v>
      </c>
      <c r="AK214" s="80">
        <v>3220</v>
      </c>
      <c r="AL214" s="80">
        <v>1302</v>
      </c>
      <c r="AM214" s="80">
        <v>1302</v>
      </c>
      <c r="AN214" s="80">
        <v>0</v>
      </c>
      <c r="AO214" s="80">
        <v>0</v>
      </c>
      <c r="AP214" s="80">
        <v>0</v>
      </c>
      <c r="AQ214" s="80">
        <v>0</v>
      </c>
      <c r="AR214" s="80">
        <v>1918</v>
      </c>
      <c r="AS214" s="80">
        <v>96</v>
      </c>
      <c r="AT214" s="80">
        <v>-1900</v>
      </c>
      <c r="AU214" s="80">
        <v>0</v>
      </c>
      <c r="AV214" s="80">
        <v>114</v>
      </c>
      <c r="AW214" s="81"/>
      <c r="AX214" s="80">
        <v>3767</v>
      </c>
      <c r="AY214" s="80">
        <v>3220</v>
      </c>
      <c r="AZ214" s="80">
        <v>0</v>
      </c>
      <c r="BA214" s="80">
        <v>547</v>
      </c>
      <c r="BB214" s="80">
        <v>-4533</v>
      </c>
      <c r="BC214" s="80">
        <v>4967</v>
      </c>
      <c r="BD214" s="80">
        <v>413</v>
      </c>
      <c r="BE214" s="80">
        <v>21</v>
      </c>
      <c r="BF214" s="80">
        <v>-766</v>
      </c>
      <c r="BG214" s="80">
        <v>2929</v>
      </c>
      <c r="BH214" s="80">
        <v>21</v>
      </c>
      <c r="BI214" s="80">
        <v>0</v>
      </c>
      <c r="BJ214" s="80">
        <v>21</v>
      </c>
      <c r="BK214" s="80">
        <v>2640</v>
      </c>
      <c r="BL214" s="80">
        <v>3000</v>
      </c>
      <c r="BM214" s="80">
        <v>360</v>
      </c>
      <c r="BN214" s="80">
        <v>0</v>
      </c>
      <c r="BO214" s="80">
        <v>0</v>
      </c>
      <c r="BP214" s="80">
        <v>268</v>
      </c>
      <c r="BQ214" s="80">
        <v>-45</v>
      </c>
      <c r="BR214" s="80">
        <v>2</v>
      </c>
      <c r="BS214" s="80">
        <v>304</v>
      </c>
      <c r="BT214" s="80">
        <v>7</v>
      </c>
      <c r="BU214" s="80">
        <v>2163</v>
      </c>
      <c r="BV214" s="80">
        <v>7964</v>
      </c>
      <c r="BW214" s="80">
        <v>5801</v>
      </c>
      <c r="BX214" s="81"/>
      <c r="BY214" s="80">
        <v>30238</v>
      </c>
      <c r="BZ214" s="80">
        <v>531</v>
      </c>
      <c r="CA214" s="80">
        <v>213</v>
      </c>
      <c r="CB214" s="80">
        <v>318</v>
      </c>
      <c r="CC214" s="80">
        <v>0</v>
      </c>
      <c r="CD214" s="80">
        <v>23950</v>
      </c>
      <c r="CE214" s="80">
        <v>1911</v>
      </c>
      <c r="CF214" s="80">
        <v>11869</v>
      </c>
      <c r="CG214" s="80">
        <v>4835</v>
      </c>
      <c r="CH214" s="80">
        <v>91</v>
      </c>
      <c r="CI214" s="80">
        <v>0</v>
      </c>
      <c r="CJ214" s="80">
        <v>0</v>
      </c>
      <c r="CK214" s="80">
        <v>5244</v>
      </c>
      <c r="CL214" s="80">
        <v>5757</v>
      </c>
      <c r="CM214" s="80">
        <v>5612</v>
      </c>
      <c r="CN214" s="80">
        <v>1073</v>
      </c>
      <c r="CO214" s="80">
        <v>4539</v>
      </c>
      <c r="CP214" s="80">
        <v>0</v>
      </c>
      <c r="CQ214" s="80">
        <v>0</v>
      </c>
      <c r="CR214" s="80">
        <v>0</v>
      </c>
      <c r="CS214" s="80">
        <v>0</v>
      </c>
      <c r="CT214" s="80">
        <v>0</v>
      </c>
      <c r="CU214" s="80">
        <v>145</v>
      </c>
      <c r="CV214" s="80">
        <v>93</v>
      </c>
      <c r="CW214" s="80">
        <v>65</v>
      </c>
      <c r="CX214" s="80">
        <v>28</v>
      </c>
      <c r="CY214" s="80">
        <v>0</v>
      </c>
      <c r="CZ214" s="80">
        <v>10811</v>
      </c>
      <c r="DA214" s="80">
        <v>0</v>
      </c>
      <c r="DB214" s="80">
        <v>0</v>
      </c>
      <c r="DC214" s="80">
        <v>0</v>
      </c>
      <c r="DD214" s="80">
        <v>0</v>
      </c>
      <c r="DE214" s="80">
        <v>0</v>
      </c>
      <c r="DF214" s="80">
        <v>0</v>
      </c>
      <c r="DG214" s="80">
        <v>2847</v>
      </c>
      <c r="DH214" s="80">
        <v>1572</v>
      </c>
      <c r="DI214" s="80">
        <v>0</v>
      </c>
      <c r="DJ214" s="80">
        <v>1572</v>
      </c>
      <c r="DK214" s="80">
        <v>0</v>
      </c>
      <c r="DL214" s="80">
        <v>0</v>
      </c>
      <c r="DM214" s="80">
        <v>1275</v>
      </c>
      <c r="DN214" s="80">
        <v>377</v>
      </c>
      <c r="DO214" s="80">
        <v>0</v>
      </c>
      <c r="DP214" s="80">
        <v>259</v>
      </c>
      <c r="DQ214" s="80">
        <v>639</v>
      </c>
      <c r="DR214" s="80">
        <v>4684</v>
      </c>
      <c r="DS214" s="80">
        <v>1026</v>
      </c>
      <c r="DT214" s="80">
        <v>879</v>
      </c>
      <c r="DU214" s="80">
        <v>2779</v>
      </c>
      <c r="DV214" s="80">
        <v>0</v>
      </c>
      <c r="DW214" s="80">
        <v>3280</v>
      </c>
      <c r="DX214" s="80">
        <v>41142</v>
      </c>
      <c r="DY214" s="80">
        <v>23987</v>
      </c>
      <c r="DZ214" s="80">
        <v>12682</v>
      </c>
      <c r="EA214" s="80">
        <v>0</v>
      </c>
      <c r="EB214" s="80">
        <v>0</v>
      </c>
      <c r="EC214" s="80">
        <v>11191</v>
      </c>
      <c r="ED214" s="80">
        <v>114</v>
      </c>
      <c r="EE214" s="80">
        <v>7645</v>
      </c>
      <c r="EF214" s="80">
        <v>1428</v>
      </c>
      <c r="EG214" s="80">
        <v>6217</v>
      </c>
      <c r="EH214" s="80">
        <v>40</v>
      </c>
      <c r="EI214" s="80">
        <v>0</v>
      </c>
      <c r="EJ214" s="80">
        <v>40</v>
      </c>
      <c r="EK214" s="80">
        <v>68</v>
      </c>
      <c r="EL214" s="80">
        <v>40</v>
      </c>
      <c r="EM214" s="80">
        <v>28</v>
      </c>
      <c r="EN214" s="80">
        <v>0</v>
      </c>
      <c r="EO214" s="80">
        <v>9402</v>
      </c>
      <c r="EP214" s="80">
        <v>4650</v>
      </c>
      <c r="EQ214" s="80">
        <v>0</v>
      </c>
      <c r="ER214" s="80">
        <v>4519</v>
      </c>
      <c r="ES214" s="80">
        <v>0</v>
      </c>
      <c r="ET214" s="80">
        <v>4519</v>
      </c>
      <c r="EU214" s="80">
        <v>0</v>
      </c>
      <c r="EV214" s="80">
        <v>0</v>
      </c>
      <c r="EW214" s="80">
        <v>131</v>
      </c>
      <c r="EX214" s="80">
        <v>0</v>
      </c>
      <c r="EY214" s="80">
        <v>0</v>
      </c>
      <c r="EZ214" s="80">
        <v>0</v>
      </c>
      <c r="FA214" s="80">
        <v>0</v>
      </c>
      <c r="FB214" s="80">
        <v>0</v>
      </c>
      <c r="FC214" s="80">
        <v>0</v>
      </c>
      <c r="FD214" s="80">
        <v>4752</v>
      </c>
      <c r="FE214" s="80">
        <v>0</v>
      </c>
      <c r="FF214" s="80">
        <v>394</v>
      </c>
      <c r="FG214" s="80">
        <v>0</v>
      </c>
      <c r="FH214" s="80">
        <v>394</v>
      </c>
      <c r="FI214" s="80">
        <v>0</v>
      </c>
      <c r="FJ214" s="80">
        <v>0</v>
      </c>
      <c r="FK214" s="80">
        <v>88</v>
      </c>
      <c r="FL214" s="80">
        <v>0</v>
      </c>
      <c r="FM214" s="80">
        <v>206</v>
      </c>
      <c r="FN214" s="80">
        <v>1621</v>
      </c>
      <c r="FO214" s="80">
        <v>288</v>
      </c>
      <c r="FP214" s="80">
        <v>2155</v>
      </c>
      <c r="FQ214" s="80">
        <v>41142</v>
      </c>
      <c r="FR214" s="80">
        <v>7405</v>
      </c>
      <c r="FS214" s="80">
        <v>2808</v>
      </c>
      <c r="FT214" s="100">
        <v>17507.229894662923</v>
      </c>
      <c r="FU214" s="100"/>
      <c r="FV214" s="100">
        <v>5773</v>
      </c>
      <c r="FW214" s="67">
        <v>1065</v>
      </c>
      <c r="FX214" s="100">
        <f t="shared" si="20"/>
        <v>-18849</v>
      </c>
      <c r="FY214" s="100">
        <f t="shared" si="21"/>
        <v>-27469</v>
      </c>
      <c r="FZ214" s="100">
        <v>15997.903433544612</v>
      </c>
      <c r="GA214" s="67">
        <v>8620</v>
      </c>
      <c r="GB214" s="58">
        <f t="shared" si="18"/>
        <v>2847</v>
      </c>
      <c r="GC214" s="67">
        <v>1302</v>
      </c>
      <c r="GD214" s="100">
        <v>1775</v>
      </c>
      <c r="GE214" s="100">
        <v>265</v>
      </c>
      <c r="GF214" s="58">
        <f t="shared" si="19"/>
        <v>1510</v>
      </c>
      <c r="GG214" s="100">
        <v>-5395.1790000000001</v>
      </c>
      <c r="GH214" s="100">
        <v>-168.79830000000004</v>
      </c>
      <c r="GI214" s="100">
        <v>-10935.549252265828</v>
      </c>
      <c r="GJ214" s="67">
        <f t="shared" si="22"/>
        <v>237</v>
      </c>
      <c r="GK214" s="67"/>
      <c r="GM214" s="96"/>
    </row>
    <row r="215" spans="1:195" ht="13.5" customHeight="1" x14ac:dyDescent="0.2">
      <c r="A215" s="74">
        <v>710</v>
      </c>
      <c r="B215" s="75" t="s">
        <v>299</v>
      </c>
      <c r="C215" s="82" t="s">
        <v>299</v>
      </c>
      <c r="D215" s="76"/>
      <c r="E215" s="77" t="s">
        <v>218</v>
      </c>
      <c r="F215" s="78">
        <v>5</v>
      </c>
      <c r="G215" s="79">
        <v>28405</v>
      </c>
      <c r="H215" s="80">
        <v>32869</v>
      </c>
      <c r="I215" s="80">
        <v>10035</v>
      </c>
      <c r="J215" s="80">
        <v>11111</v>
      </c>
      <c r="K215" s="80">
        <v>3366</v>
      </c>
      <c r="L215" s="80">
        <v>8357</v>
      </c>
      <c r="M215" s="80">
        <v>0</v>
      </c>
      <c r="N215" s="80">
        <v>133</v>
      </c>
      <c r="O215" s="80">
        <v>196425</v>
      </c>
      <c r="P215" s="80">
        <v>85045</v>
      </c>
      <c r="Q215" s="80">
        <v>64332</v>
      </c>
      <c r="R215" s="80">
        <v>20713</v>
      </c>
      <c r="S215" s="80">
        <v>17101</v>
      </c>
      <c r="T215" s="80">
        <v>3612</v>
      </c>
      <c r="U215" s="80">
        <v>83878</v>
      </c>
      <c r="V215" s="80">
        <v>10545</v>
      </c>
      <c r="W215" s="80">
        <v>11362</v>
      </c>
      <c r="X215" s="80">
        <v>5595</v>
      </c>
      <c r="Y215" s="80">
        <v>-163423</v>
      </c>
      <c r="Z215" s="80">
        <v>114413</v>
      </c>
      <c r="AA215" s="80">
        <v>100375</v>
      </c>
      <c r="AB215" s="80">
        <v>3811</v>
      </c>
      <c r="AC215" s="80">
        <v>10227</v>
      </c>
      <c r="AD215" s="80">
        <v>52252</v>
      </c>
      <c r="AE215" s="80">
        <v>83</v>
      </c>
      <c r="AF215" s="80">
        <v>1922</v>
      </c>
      <c r="AG215" s="80">
        <v>352</v>
      </c>
      <c r="AH215" s="80">
        <v>19</v>
      </c>
      <c r="AI215" s="80">
        <v>2187</v>
      </c>
      <c r="AJ215" s="80">
        <v>4</v>
      </c>
      <c r="AK215" s="80">
        <v>3325</v>
      </c>
      <c r="AL215" s="80">
        <v>5919</v>
      </c>
      <c r="AM215" s="80">
        <v>5803</v>
      </c>
      <c r="AN215" s="80">
        <v>116</v>
      </c>
      <c r="AO215" s="80">
        <v>0</v>
      </c>
      <c r="AP215" s="80">
        <v>0</v>
      </c>
      <c r="AQ215" s="80">
        <v>0</v>
      </c>
      <c r="AR215" s="80">
        <v>-2594</v>
      </c>
      <c r="AS215" s="80">
        <v>0</v>
      </c>
      <c r="AT215" s="80">
        <v>0</v>
      </c>
      <c r="AU215" s="80">
        <v>0</v>
      </c>
      <c r="AV215" s="80">
        <v>-2594</v>
      </c>
      <c r="AW215" s="81"/>
      <c r="AX215" s="80">
        <v>1122</v>
      </c>
      <c r="AY215" s="80">
        <v>3325</v>
      </c>
      <c r="AZ215" s="80">
        <v>0</v>
      </c>
      <c r="BA215" s="80">
        <v>-2203</v>
      </c>
      <c r="BB215" s="80">
        <v>-7998</v>
      </c>
      <c r="BC215" s="80">
        <v>12516</v>
      </c>
      <c r="BD215" s="80">
        <v>453</v>
      </c>
      <c r="BE215" s="80">
        <v>4065</v>
      </c>
      <c r="BF215" s="80">
        <v>-6876</v>
      </c>
      <c r="BG215" s="80">
        <v>5411</v>
      </c>
      <c r="BH215" s="80">
        <v>367</v>
      </c>
      <c r="BI215" s="80">
        <v>0</v>
      </c>
      <c r="BJ215" s="80">
        <v>367</v>
      </c>
      <c r="BK215" s="80">
        <v>-26</v>
      </c>
      <c r="BL215" s="80">
        <v>7732</v>
      </c>
      <c r="BM215" s="80">
        <v>11294</v>
      </c>
      <c r="BN215" s="80">
        <v>3536</v>
      </c>
      <c r="BO215" s="80">
        <v>0</v>
      </c>
      <c r="BP215" s="80">
        <v>5070</v>
      </c>
      <c r="BQ215" s="80">
        <v>-2</v>
      </c>
      <c r="BR215" s="80">
        <v>18</v>
      </c>
      <c r="BS215" s="80">
        <v>3915</v>
      </c>
      <c r="BT215" s="80">
        <v>1139</v>
      </c>
      <c r="BU215" s="80">
        <v>-1465</v>
      </c>
      <c r="BV215" s="80">
        <v>4387</v>
      </c>
      <c r="BW215" s="80">
        <v>5852</v>
      </c>
      <c r="BX215" s="81"/>
      <c r="BY215" s="80">
        <v>164096</v>
      </c>
      <c r="BZ215" s="80">
        <v>359</v>
      </c>
      <c r="CA215" s="80">
        <v>359</v>
      </c>
      <c r="CB215" s="80">
        <v>0</v>
      </c>
      <c r="CC215" s="80">
        <v>0</v>
      </c>
      <c r="CD215" s="80">
        <v>125495</v>
      </c>
      <c r="CE215" s="80">
        <v>16732</v>
      </c>
      <c r="CF215" s="80">
        <v>63588</v>
      </c>
      <c r="CG215" s="80">
        <v>41102</v>
      </c>
      <c r="CH215" s="80">
        <v>41</v>
      </c>
      <c r="CI215" s="80">
        <v>0</v>
      </c>
      <c r="CJ215" s="80">
        <v>0</v>
      </c>
      <c r="CK215" s="80">
        <v>4032</v>
      </c>
      <c r="CL215" s="80">
        <v>38242</v>
      </c>
      <c r="CM215" s="80">
        <v>36284</v>
      </c>
      <c r="CN215" s="80">
        <v>11402</v>
      </c>
      <c r="CO215" s="80">
        <v>24882</v>
      </c>
      <c r="CP215" s="80">
        <v>0</v>
      </c>
      <c r="CQ215" s="80">
        <v>1284</v>
      </c>
      <c r="CR215" s="80">
        <v>0</v>
      </c>
      <c r="CS215" s="80">
        <v>0</v>
      </c>
      <c r="CT215" s="80">
        <v>1284</v>
      </c>
      <c r="CU215" s="80">
        <v>674</v>
      </c>
      <c r="CV215" s="80">
        <v>879</v>
      </c>
      <c r="CW215" s="80">
        <v>1</v>
      </c>
      <c r="CX215" s="80">
        <v>878</v>
      </c>
      <c r="CY215" s="80">
        <v>0</v>
      </c>
      <c r="CZ215" s="80">
        <v>42407</v>
      </c>
      <c r="DA215" s="80">
        <v>153</v>
      </c>
      <c r="DB215" s="80">
        <v>153</v>
      </c>
      <c r="DC215" s="80">
        <v>0</v>
      </c>
      <c r="DD215" s="80">
        <v>0</v>
      </c>
      <c r="DE215" s="80">
        <v>0</v>
      </c>
      <c r="DF215" s="80">
        <v>0</v>
      </c>
      <c r="DG215" s="80">
        <v>37867</v>
      </c>
      <c r="DH215" s="80">
        <v>30860</v>
      </c>
      <c r="DI215" s="80">
        <v>0</v>
      </c>
      <c r="DJ215" s="80">
        <v>30223</v>
      </c>
      <c r="DK215" s="80">
        <v>637</v>
      </c>
      <c r="DL215" s="80">
        <v>0</v>
      </c>
      <c r="DM215" s="80">
        <v>7007</v>
      </c>
      <c r="DN215" s="80">
        <v>3074</v>
      </c>
      <c r="DO215" s="80">
        <v>1017</v>
      </c>
      <c r="DP215" s="80">
        <v>2851</v>
      </c>
      <c r="DQ215" s="80">
        <v>65</v>
      </c>
      <c r="DR215" s="80">
        <v>11</v>
      </c>
      <c r="DS215" s="80">
        <v>11</v>
      </c>
      <c r="DT215" s="80">
        <v>0</v>
      </c>
      <c r="DU215" s="80">
        <v>0</v>
      </c>
      <c r="DV215" s="80">
        <v>0</v>
      </c>
      <c r="DW215" s="80">
        <v>4376</v>
      </c>
      <c r="DX215" s="80">
        <v>207382</v>
      </c>
      <c r="DY215" s="80">
        <v>58929</v>
      </c>
      <c r="DZ215" s="80">
        <v>71672</v>
      </c>
      <c r="EA215" s="80">
        <v>833</v>
      </c>
      <c r="EB215" s="80">
        <v>606</v>
      </c>
      <c r="EC215" s="80">
        <v>-11588</v>
      </c>
      <c r="ED215" s="80">
        <v>-2594</v>
      </c>
      <c r="EE215" s="80">
        <v>0</v>
      </c>
      <c r="EF215" s="80">
        <v>0</v>
      </c>
      <c r="EG215" s="80">
        <v>0</v>
      </c>
      <c r="EH215" s="80">
        <v>614</v>
      </c>
      <c r="EI215" s="80">
        <v>170</v>
      </c>
      <c r="EJ215" s="80">
        <v>444</v>
      </c>
      <c r="EK215" s="80">
        <v>929</v>
      </c>
      <c r="EL215" s="80">
        <v>1</v>
      </c>
      <c r="EM215" s="80">
        <v>878</v>
      </c>
      <c r="EN215" s="80">
        <v>50</v>
      </c>
      <c r="EO215" s="80">
        <v>146910</v>
      </c>
      <c r="EP215" s="80">
        <v>65786</v>
      </c>
      <c r="EQ215" s="80">
        <v>0</v>
      </c>
      <c r="ER215" s="80">
        <v>61866</v>
      </c>
      <c r="ES215" s="80">
        <v>26192</v>
      </c>
      <c r="ET215" s="80">
        <v>35674</v>
      </c>
      <c r="EU215" s="80">
        <v>0</v>
      </c>
      <c r="EV215" s="80">
        <v>0</v>
      </c>
      <c r="EW215" s="80">
        <v>666</v>
      </c>
      <c r="EX215" s="80">
        <v>0</v>
      </c>
      <c r="EY215" s="80">
        <v>59</v>
      </c>
      <c r="EZ215" s="80">
        <v>0</v>
      </c>
      <c r="FA215" s="80">
        <v>3195</v>
      </c>
      <c r="FB215" s="80">
        <v>0</v>
      </c>
      <c r="FC215" s="80">
        <v>0</v>
      </c>
      <c r="FD215" s="80">
        <v>81124</v>
      </c>
      <c r="FE215" s="80">
        <v>0</v>
      </c>
      <c r="FF215" s="80">
        <v>55768</v>
      </c>
      <c r="FG215" s="80">
        <v>32234</v>
      </c>
      <c r="FH215" s="80">
        <v>23534</v>
      </c>
      <c r="FI215" s="80">
        <v>0</v>
      </c>
      <c r="FJ215" s="80">
        <v>0</v>
      </c>
      <c r="FK215" s="80">
        <v>374</v>
      </c>
      <c r="FL215" s="80">
        <v>1551</v>
      </c>
      <c r="FM215" s="80">
        <v>124</v>
      </c>
      <c r="FN215" s="80">
        <v>7259</v>
      </c>
      <c r="FO215" s="80">
        <v>3406</v>
      </c>
      <c r="FP215" s="80">
        <v>12642</v>
      </c>
      <c r="FQ215" s="80">
        <v>207382</v>
      </c>
      <c r="FR215" s="80">
        <v>7219</v>
      </c>
      <c r="FS215" s="80">
        <v>6671</v>
      </c>
      <c r="FT215" s="100">
        <v>103311.66533214913</v>
      </c>
      <c r="FU215" s="100"/>
      <c r="FV215" s="100">
        <v>40959</v>
      </c>
      <c r="FW215" s="67">
        <v>5916</v>
      </c>
      <c r="FX215" s="100">
        <f t="shared" si="20"/>
        <v>-103685</v>
      </c>
      <c r="FY215" s="100">
        <f t="shared" si="21"/>
        <v>-157504</v>
      </c>
      <c r="FZ215" s="100">
        <v>100502.33000147689</v>
      </c>
      <c r="GA215" s="67">
        <v>53819</v>
      </c>
      <c r="GB215" s="58">
        <f t="shared" si="18"/>
        <v>12860</v>
      </c>
      <c r="GC215" s="67">
        <v>5919</v>
      </c>
      <c r="GD215" s="100">
        <v>11112</v>
      </c>
      <c r="GE215" s="100">
        <v>3427</v>
      </c>
      <c r="GF215" s="58">
        <f t="shared" si="19"/>
        <v>7685</v>
      </c>
      <c r="GG215" s="100">
        <v>-55034.612999999998</v>
      </c>
      <c r="GH215" s="100">
        <v>-1032.5097500000006</v>
      </c>
      <c r="GI215" s="100">
        <v>-45206.519131076573</v>
      </c>
      <c r="GJ215" s="67">
        <f t="shared" si="22"/>
        <v>3</v>
      </c>
      <c r="GK215" s="67"/>
      <c r="GM215" s="96"/>
    </row>
    <row r="216" spans="1:195" ht="13.5" customHeight="1" x14ac:dyDescent="0.2">
      <c r="A216" s="74">
        <v>684</v>
      </c>
      <c r="B216" s="75" t="s">
        <v>301</v>
      </c>
      <c r="C216" s="82" t="s">
        <v>301</v>
      </c>
      <c r="D216" s="76"/>
      <c r="E216" s="77" t="s">
        <v>224</v>
      </c>
      <c r="F216" s="78">
        <v>5</v>
      </c>
      <c r="G216" s="79">
        <v>39809</v>
      </c>
      <c r="H216" s="80">
        <v>55160</v>
      </c>
      <c r="I216" s="80">
        <v>23126</v>
      </c>
      <c r="J216" s="80">
        <v>13228</v>
      </c>
      <c r="K216" s="80">
        <v>4542</v>
      </c>
      <c r="L216" s="80">
        <v>14264</v>
      </c>
      <c r="M216" s="80">
        <v>0</v>
      </c>
      <c r="N216" s="80">
        <v>24643</v>
      </c>
      <c r="O216" s="80">
        <v>281149</v>
      </c>
      <c r="P216" s="80">
        <v>126899</v>
      </c>
      <c r="Q216" s="80">
        <v>96157</v>
      </c>
      <c r="R216" s="80">
        <v>30742</v>
      </c>
      <c r="S216" s="80">
        <v>25331</v>
      </c>
      <c r="T216" s="80">
        <v>5411</v>
      </c>
      <c r="U216" s="80">
        <v>112752</v>
      </c>
      <c r="V216" s="80">
        <v>20027</v>
      </c>
      <c r="W216" s="80">
        <v>14650</v>
      </c>
      <c r="X216" s="80">
        <v>6821</v>
      </c>
      <c r="Y216" s="80">
        <v>-201346</v>
      </c>
      <c r="Z216" s="80">
        <v>161447</v>
      </c>
      <c r="AA216" s="80">
        <v>132909</v>
      </c>
      <c r="AB216" s="80">
        <v>21578</v>
      </c>
      <c r="AC216" s="80">
        <v>6960</v>
      </c>
      <c r="AD216" s="80">
        <v>46282</v>
      </c>
      <c r="AE216" s="80">
        <v>2029</v>
      </c>
      <c r="AF216" s="80">
        <v>1777</v>
      </c>
      <c r="AG216" s="80">
        <v>387</v>
      </c>
      <c r="AH216" s="80">
        <v>78</v>
      </c>
      <c r="AI216" s="80">
        <v>2</v>
      </c>
      <c r="AJ216" s="80">
        <v>133</v>
      </c>
      <c r="AK216" s="80">
        <v>8412</v>
      </c>
      <c r="AL216" s="80">
        <v>20594</v>
      </c>
      <c r="AM216" s="80">
        <v>20594</v>
      </c>
      <c r="AN216" s="80">
        <v>0</v>
      </c>
      <c r="AO216" s="80">
        <v>-1040</v>
      </c>
      <c r="AP216" s="80">
        <v>0</v>
      </c>
      <c r="AQ216" s="80">
        <v>1040</v>
      </c>
      <c r="AR216" s="80">
        <v>-13222</v>
      </c>
      <c r="AS216" s="80">
        <v>64</v>
      </c>
      <c r="AT216" s="80">
        <v>0</v>
      </c>
      <c r="AU216" s="80">
        <v>0</v>
      </c>
      <c r="AV216" s="80">
        <v>-13158</v>
      </c>
      <c r="AW216" s="81"/>
      <c r="AX216" s="80">
        <v>8169</v>
      </c>
      <c r="AY216" s="80">
        <v>8412</v>
      </c>
      <c r="AZ216" s="80">
        <v>-1040</v>
      </c>
      <c r="BA216" s="80">
        <v>797</v>
      </c>
      <c r="BB216" s="80">
        <v>-27755</v>
      </c>
      <c r="BC216" s="80">
        <v>29377</v>
      </c>
      <c r="BD216" s="80">
        <v>233</v>
      </c>
      <c r="BE216" s="80">
        <v>1389</v>
      </c>
      <c r="BF216" s="80">
        <v>-19586</v>
      </c>
      <c r="BG216" s="80">
        <v>-17252</v>
      </c>
      <c r="BH216" s="80">
        <v>-9256</v>
      </c>
      <c r="BI216" s="80">
        <v>10361</v>
      </c>
      <c r="BJ216" s="80">
        <v>1105</v>
      </c>
      <c r="BK216" s="80">
        <v>1404</v>
      </c>
      <c r="BL216" s="80">
        <v>0</v>
      </c>
      <c r="BM216" s="80">
        <v>69</v>
      </c>
      <c r="BN216" s="80">
        <v>1473</v>
      </c>
      <c r="BO216" s="80">
        <v>0</v>
      </c>
      <c r="BP216" s="80">
        <v>-9400</v>
      </c>
      <c r="BQ216" s="80">
        <v>-59</v>
      </c>
      <c r="BR216" s="80">
        <v>2</v>
      </c>
      <c r="BS216" s="80">
        <v>-242</v>
      </c>
      <c r="BT216" s="80">
        <v>-9101</v>
      </c>
      <c r="BU216" s="80">
        <v>-36838</v>
      </c>
      <c r="BV216" s="80">
        <v>20776</v>
      </c>
      <c r="BW216" s="80">
        <v>57614</v>
      </c>
      <c r="BX216" s="81"/>
      <c r="BY216" s="80">
        <v>287579</v>
      </c>
      <c r="BZ216" s="80">
        <v>8261</v>
      </c>
      <c r="CA216" s="80">
        <v>239</v>
      </c>
      <c r="CB216" s="80">
        <v>8022</v>
      </c>
      <c r="CC216" s="80">
        <v>0</v>
      </c>
      <c r="CD216" s="80">
        <v>182785</v>
      </c>
      <c r="CE216" s="80">
        <v>41986</v>
      </c>
      <c r="CF216" s="80">
        <v>73192</v>
      </c>
      <c r="CG216" s="80">
        <v>61318</v>
      </c>
      <c r="CH216" s="80">
        <v>3093</v>
      </c>
      <c r="CI216" s="80">
        <v>0</v>
      </c>
      <c r="CJ216" s="80">
        <v>0</v>
      </c>
      <c r="CK216" s="80">
        <v>3196</v>
      </c>
      <c r="CL216" s="80">
        <v>96533</v>
      </c>
      <c r="CM216" s="80">
        <v>74179</v>
      </c>
      <c r="CN216" s="80">
        <v>17820</v>
      </c>
      <c r="CO216" s="80">
        <v>56359</v>
      </c>
      <c r="CP216" s="80">
        <v>0</v>
      </c>
      <c r="CQ216" s="80">
        <v>21721</v>
      </c>
      <c r="CR216" s="80">
        <v>0</v>
      </c>
      <c r="CS216" s="80">
        <v>0</v>
      </c>
      <c r="CT216" s="80">
        <v>21721</v>
      </c>
      <c r="CU216" s="80">
        <v>633</v>
      </c>
      <c r="CV216" s="80">
        <v>4168</v>
      </c>
      <c r="CW216" s="80">
        <v>4036</v>
      </c>
      <c r="CX216" s="80">
        <v>132</v>
      </c>
      <c r="CY216" s="80">
        <v>0</v>
      </c>
      <c r="CZ216" s="80">
        <v>35147</v>
      </c>
      <c r="DA216" s="80">
        <v>191</v>
      </c>
      <c r="DB216" s="80">
        <v>0</v>
      </c>
      <c r="DC216" s="80">
        <v>0</v>
      </c>
      <c r="DD216" s="80">
        <v>157</v>
      </c>
      <c r="DE216" s="80">
        <v>34</v>
      </c>
      <c r="DF216" s="80">
        <v>0</v>
      </c>
      <c r="DG216" s="80">
        <v>14181</v>
      </c>
      <c r="DH216" s="80">
        <v>1274</v>
      </c>
      <c r="DI216" s="80">
        <v>0</v>
      </c>
      <c r="DJ216" s="80">
        <v>17</v>
      </c>
      <c r="DK216" s="80">
        <v>1257</v>
      </c>
      <c r="DL216" s="80">
        <v>0</v>
      </c>
      <c r="DM216" s="80">
        <v>12907</v>
      </c>
      <c r="DN216" s="80">
        <v>6895</v>
      </c>
      <c r="DO216" s="80">
        <v>80</v>
      </c>
      <c r="DP216" s="80">
        <v>2043</v>
      </c>
      <c r="DQ216" s="80">
        <v>3889</v>
      </c>
      <c r="DR216" s="80">
        <v>1815</v>
      </c>
      <c r="DS216" s="80">
        <v>865</v>
      </c>
      <c r="DT216" s="80">
        <v>0</v>
      </c>
      <c r="DU216" s="80">
        <v>0</v>
      </c>
      <c r="DV216" s="80">
        <v>950</v>
      </c>
      <c r="DW216" s="80">
        <v>18960</v>
      </c>
      <c r="DX216" s="80">
        <v>326894</v>
      </c>
      <c r="DY216" s="80">
        <v>268450</v>
      </c>
      <c r="DZ216" s="80">
        <v>159761</v>
      </c>
      <c r="EA216" s="80">
        <v>0</v>
      </c>
      <c r="EB216" s="80">
        <v>4207</v>
      </c>
      <c r="EC216" s="80">
        <v>117640</v>
      </c>
      <c r="ED216" s="80">
        <v>-13158</v>
      </c>
      <c r="EE216" s="80">
        <v>1245</v>
      </c>
      <c r="EF216" s="80">
        <v>1245</v>
      </c>
      <c r="EG216" s="80">
        <v>0</v>
      </c>
      <c r="EH216" s="80">
        <v>5966</v>
      </c>
      <c r="EI216" s="80">
        <v>179</v>
      </c>
      <c r="EJ216" s="80">
        <v>5787</v>
      </c>
      <c r="EK216" s="80">
        <v>8183</v>
      </c>
      <c r="EL216" s="80">
        <v>4036</v>
      </c>
      <c r="EM216" s="80">
        <v>3844</v>
      </c>
      <c r="EN216" s="80">
        <v>303</v>
      </c>
      <c r="EO216" s="80">
        <v>43051</v>
      </c>
      <c r="EP216" s="80">
        <v>5444</v>
      </c>
      <c r="EQ216" s="80">
        <v>0</v>
      </c>
      <c r="ER216" s="80">
        <v>227</v>
      </c>
      <c r="ES216" s="80">
        <v>95</v>
      </c>
      <c r="ET216" s="80">
        <v>132</v>
      </c>
      <c r="EU216" s="80">
        <v>0</v>
      </c>
      <c r="EV216" s="80">
        <v>0</v>
      </c>
      <c r="EW216" s="80">
        <v>0</v>
      </c>
      <c r="EX216" s="80">
        <v>0</v>
      </c>
      <c r="EY216" s="80">
        <v>0</v>
      </c>
      <c r="EZ216" s="80">
        <v>0</v>
      </c>
      <c r="FA216" s="80">
        <v>5217</v>
      </c>
      <c r="FB216" s="80">
        <v>0</v>
      </c>
      <c r="FC216" s="80">
        <v>0</v>
      </c>
      <c r="FD216" s="80">
        <v>37607</v>
      </c>
      <c r="FE216" s="80">
        <v>0</v>
      </c>
      <c r="FF216" s="80">
        <v>1569</v>
      </c>
      <c r="FG216" s="80">
        <v>1534</v>
      </c>
      <c r="FH216" s="80">
        <v>35</v>
      </c>
      <c r="FI216" s="80">
        <v>0</v>
      </c>
      <c r="FJ216" s="80">
        <v>0</v>
      </c>
      <c r="FK216" s="80">
        <v>0</v>
      </c>
      <c r="FL216" s="80">
        <v>0</v>
      </c>
      <c r="FM216" s="80">
        <v>37</v>
      </c>
      <c r="FN216" s="80">
        <v>14379</v>
      </c>
      <c r="FO216" s="80">
        <v>2931</v>
      </c>
      <c r="FP216" s="80">
        <v>18691</v>
      </c>
      <c r="FQ216" s="80">
        <v>326895</v>
      </c>
      <c r="FR216" s="80">
        <v>27875</v>
      </c>
      <c r="FS216" s="80">
        <v>1939</v>
      </c>
      <c r="FT216" s="100">
        <v>146381.26306337051</v>
      </c>
      <c r="FU216" s="100"/>
      <c r="FV216" s="100">
        <v>75329</v>
      </c>
      <c r="FW216" s="67">
        <v>20122</v>
      </c>
      <c r="FX216" s="100">
        <f t="shared" si="20"/>
        <v>-85227</v>
      </c>
      <c r="FY216" s="100">
        <f t="shared" si="21"/>
        <v>-180752</v>
      </c>
      <c r="FZ216" s="100">
        <v>131070.17144215349</v>
      </c>
      <c r="GA216" s="67">
        <v>95525</v>
      </c>
      <c r="GB216" s="58">
        <f t="shared" si="18"/>
        <v>20196</v>
      </c>
      <c r="GC216" s="67">
        <v>20594</v>
      </c>
      <c r="GD216" s="100">
        <v>13269</v>
      </c>
      <c r="GE216" s="100">
        <v>3584</v>
      </c>
      <c r="GF216" s="58">
        <f t="shared" si="19"/>
        <v>9685</v>
      </c>
      <c r="GG216" s="100">
        <v>-87470.021999999997</v>
      </c>
      <c r="GH216" s="100">
        <v>-6596.4756500000021</v>
      </c>
      <c r="GI216" s="100">
        <v>-37751.620946091112</v>
      </c>
      <c r="GJ216" s="67">
        <f t="shared" si="22"/>
        <v>472</v>
      </c>
      <c r="GK216" s="67"/>
      <c r="GM216" s="96"/>
    </row>
    <row r="217" spans="1:195" ht="13.5" customHeight="1" x14ac:dyDescent="0.2">
      <c r="A217" s="74">
        <v>686</v>
      </c>
      <c r="B217" s="75" t="s">
        <v>148</v>
      </c>
      <c r="C217" s="75" t="s">
        <v>148</v>
      </c>
      <c r="D217" s="76"/>
      <c r="E217" s="77" t="s">
        <v>239</v>
      </c>
      <c r="F217" s="78">
        <v>2</v>
      </c>
      <c r="G217" s="79">
        <v>3303</v>
      </c>
      <c r="H217" s="80">
        <v>2875</v>
      </c>
      <c r="I217" s="80">
        <v>999</v>
      </c>
      <c r="J217" s="80">
        <v>763</v>
      </c>
      <c r="K217" s="80">
        <v>535</v>
      </c>
      <c r="L217" s="80">
        <v>578</v>
      </c>
      <c r="M217" s="80">
        <v>0</v>
      </c>
      <c r="N217" s="80">
        <v>0</v>
      </c>
      <c r="O217" s="80">
        <v>23846</v>
      </c>
      <c r="P217" s="80">
        <v>7982</v>
      </c>
      <c r="Q217" s="80">
        <v>6082</v>
      </c>
      <c r="R217" s="80">
        <v>1900</v>
      </c>
      <c r="S217" s="80">
        <v>1587</v>
      </c>
      <c r="T217" s="80">
        <v>313</v>
      </c>
      <c r="U217" s="80">
        <v>12763</v>
      </c>
      <c r="V217" s="80">
        <v>1328</v>
      </c>
      <c r="W217" s="80">
        <v>1476</v>
      </c>
      <c r="X217" s="80">
        <v>297</v>
      </c>
      <c r="Y217" s="80">
        <v>-20971</v>
      </c>
      <c r="Z217" s="80">
        <v>10846</v>
      </c>
      <c r="AA217" s="80">
        <v>9054</v>
      </c>
      <c r="AB217" s="80">
        <v>699</v>
      </c>
      <c r="AC217" s="80">
        <v>1093</v>
      </c>
      <c r="AD217" s="80">
        <v>12913</v>
      </c>
      <c r="AE217" s="80">
        <v>37</v>
      </c>
      <c r="AF217" s="80">
        <v>0</v>
      </c>
      <c r="AG217" s="80">
        <v>276</v>
      </c>
      <c r="AH217" s="80">
        <v>271</v>
      </c>
      <c r="AI217" s="80">
        <v>237</v>
      </c>
      <c r="AJ217" s="80">
        <v>2</v>
      </c>
      <c r="AK217" s="80">
        <v>2825</v>
      </c>
      <c r="AL217" s="80">
        <v>782</v>
      </c>
      <c r="AM217" s="80">
        <v>782</v>
      </c>
      <c r="AN217" s="80">
        <v>0</v>
      </c>
      <c r="AO217" s="80">
        <v>126</v>
      </c>
      <c r="AP217" s="80">
        <v>126</v>
      </c>
      <c r="AQ217" s="80">
        <v>0</v>
      </c>
      <c r="AR217" s="80">
        <v>2169</v>
      </c>
      <c r="AS217" s="80">
        <v>0</v>
      </c>
      <c r="AT217" s="80">
        <v>0</v>
      </c>
      <c r="AU217" s="80">
        <v>0</v>
      </c>
      <c r="AV217" s="80">
        <v>2169</v>
      </c>
      <c r="AW217" s="81"/>
      <c r="AX217" s="80">
        <v>2970</v>
      </c>
      <c r="AY217" s="80">
        <v>2825</v>
      </c>
      <c r="AZ217" s="80">
        <v>126</v>
      </c>
      <c r="BA217" s="80">
        <v>19</v>
      </c>
      <c r="BB217" s="80">
        <v>-1955</v>
      </c>
      <c r="BC217" s="80">
        <v>2135</v>
      </c>
      <c r="BD217" s="80">
        <v>30</v>
      </c>
      <c r="BE217" s="80">
        <v>150</v>
      </c>
      <c r="BF217" s="80">
        <v>1015</v>
      </c>
      <c r="BG217" s="80">
        <v>130</v>
      </c>
      <c r="BH217" s="80">
        <v>-19</v>
      </c>
      <c r="BI217" s="80">
        <v>19</v>
      </c>
      <c r="BJ217" s="80">
        <v>0</v>
      </c>
      <c r="BK217" s="80">
        <v>-731</v>
      </c>
      <c r="BL217" s="80">
        <v>1300</v>
      </c>
      <c r="BM217" s="80">
        <v>1731</v>
      </c>
      <c r="BN217" s="80">
        <v>-300</v>
      </c>
      <c r="BO217" s="80">
        <v>0</v>
      </c>
      <c r="BP217" s="80">
        <v>880</v>
      </c>
      <c r="BQ217" s="80">
        <v>-2</v>
      </c>
      <c r="BR217" s="80">
        <v>0</v>
      </c>
      <c r="BS217" s="80">
        <v>724</v>
      </c>
      <c r="BT217" s="80">
        <v>158</v>
      </c>
      <c r="BU217" s="80">
        <v>1145</v>
      </c>
      <c r="BV217" s="80">
        <v>1290</v>
      </c>
      <c r="BW217" s="80">
        <v>145</v>
      </c>
      <c r="BX217" s="81"/>
      <c r="BY217" s="80">
        <v>21497</v>
      </c>
      <c r="BZ217" s="80">
        <v>7</v>
      </c>
      <c r="CA217" s="80">
        <v>0</v>
      </c>
      <c r="CB217" s="80">
        <v>7</v>
      </c>
      <c r="CC217" s="80">
        <v>0</v>
      </c>
      <c r="CD217" s="80">
        <v>15925</v>
      </c>
      <c r="CE217" s="80">
        <v>2041</v>
      </c>
      <c r="CF217" s="80">
        <v>11515</v>
      </c>
      <c r="CG217" s="80">
        <v>1141</v>
      </c>
      <c r="CH217" s="80">
        <v>7</v>
      </c>
      <c r="CI217" s="80">
        <v>0</v>
      </c>
      <c r="CJ217" s="80">
        <v>0</v>
      </c>
      <c r="CK217" s="80">
        <v>1221</v>
      </c>
      <c r="CL217" s="80">
        <v>5565</v>
      </c>
      <c r="CM217" s="80">
        <v>5139</v>
      </c>
      <c r="CN217" s="80">
        <v>2068</v>
      </c>
      <c r="CO217" s="80">
        <v>3071</v>
      </c>
      <c r="CP217" s="80">
        <v>0</v>
      </c>
      <c r="CQ217" s="80">
        <v>279</v>
      </c>
      <c r="CR217" s="80">
        <v>0</v>
      </c>
      <c r="CS217" s="80">
        <v>0</v>
      </c>
      <c r="CT217" s="80">
        <v>279</v>
      </c>
      <c r="CU217" s="80">
        <v>147</v>
      </c>
      <c r="CV217" s="80">
        <v>3</v>
      </c>
      <c r="CW217" s="80">
        <v>2</v>
      </c>
      <c r="CX217" s="80">
        <v>1</v>
      </c>
      <c r="CY217" s="80">
        <v>0</v>
      </c>
      <c r="CZ217" s="80">
        <v>2516</v>
      </c>
      <c r="DA217" s="80">
        <v>0</v>
      </c>
      <c r="DB217" s="80">
        <v>0</v>
      </c>
      <c r="DC217" s="80">
        <v>0</v>
      </c>
      <c r="DD217" s="80">
        <v>0</v>
      </c>
      <c r="DE217" s="80">
        <v>0</v>
      </c>
      <c r="DF217" s="80">
        <v>0</v>
      </c>
      <c r="DG217" s="80">
        <v>1226</v>
      </c>
      <c r="DH217" s="80">
        <v>0</v>
      </c>
      <c r="DI217" s="80">
        <v>0</v>
      </c>
      <c r="DJ217" s="80">
        <v>0</v>
      </c>
      <c r="DK217" s="80">
        <v>0</v>
      </c>
      <c r="DL217" s="80">
        <v>0</v>
      </c>
      <c r="DM217" s="80">
        <v>1226</v>
      </c>
      <c r="DN217" s="80">
        <v>506</v>
      </c>
      <c r="DO217" s="80">
        <v>0</v>
      </c>
      <c r="DP217" s="80">
        <v>317</v>
      </c>
      <c r="DQ217" s="80">
        <v>403</v>
      </c>
      <c r="DR217" s="80">
        <v>22</v>
      </c>
      <c r="DS217" s="80">
        <v>0</v>
      </c>
      <c r="DT217" s="80">
        <v>0</v>
      </c>
      <c r="DU217" s="80">
        <v>0</v>
      </c>
      <c r="DV217" s="80">
        <v>22</v>
      </c>
      <c r="DW217" s="80">
        <v>1268</v>
      </c>
      <c r="DX217" s="80">
        <v>24016</v>
      </c>
      <c r="DY217" s="80">
        <v>11117</v>
      </c>
      <c r="DZ217" s="80">
        <v>8076</v>
      </c>
      <c r="EA217" s="80">
        <v>0</v>
      </c>
      <c r="EB217" s="80">
        <v>0</v>
      </c>
      <c r="EC217" s="80">
        <v>871</v>
      </c>
      <c r="ED217" s="80">
        <v>2170</v>
      </c>
      <c r="EE217" s="80">
        <v>0</v>
      </c>
      <c r="EF217" s="80">
        <v>0</v>
      </c>
      <c r="EG217" s="80">
        <v>0</v>
      </c>
      <c r="EH217" s="80">
        <v>0</v>
      </c>
      <c r="EI217" s="80">
        <v>0</v>
      </c>
      <c r="EJ217" s="80">
        <v>0</v>
      </c>
      <c r="EK217" s="80">
        <v>81</v>
      </c>
      <c r="EL217" s="80">
        <v>7</v>
      </c>
      <c r="EM217" s="80">
        <v>35</v>
      </c>
      <c r="EN217" s="80">
        <v>39</v>
      </c>
      <c r="EO217" s="80">
        <v>12818</v>
      </c>
      <c r="EP217" s="80">
        <v>8813</v>
      </c>
      <c r="EQ217" s="80">
        <v>0</v>
      </c>
      <c r="ER217" s="80">
        <v>8364</v>
      </c>
      <c r="ES217" s="80">
        <v>0</v>
      </c>
      <c r="ET217" s="80">
        <v>8364</v>
      </c>
      <c r="EU217" s="80">
        <v>0</v>
      </c>
      <c r="EV217" s="80">
        <v>0</v>
      </c>
      <c r="EW217" s="80">
        <v>222</v>
      </c>
      <c r="EX217" s="80">
        <v>0</v>
      </c>
      <c r="EY217" s="80">
        <v>0</v>
      </c>
      <c r="EZ217" s="80">
        <v>0</v>
      </c>
      <c r="FA217" s="80">
        <v>227</v>
      </c>
      <c r="FB217" s="80">
        <v>0</v>
      </c>
      <c r="FC217" s="80">
        <v>0</v>
      </c>
      <c r="FD217" s="80">
        <v>4005</v>
      </c>
      <c r="FE217" s="80">
        <v>0</v>
      </c>
      <c r="FF217" s="80">
        <v>1586</v>
      </c>
      <c r="FG217" s="80">
        <v>50</v>
      </c>
      <c r="FH217" s="80">
        <v>1536</v>
      </c>
      <c r="FI217" s="80">
        <v>0</v>
      </c>
      <c r="FJ217" s="80">
        <v>0</v>
      </c>
      <c r="FK217" s="80">
        <v>12</v>
      </c>
      <c r="FL217" s="80">
        <v>0</v>
      </c>
      <c r="FM217" s="80">
        <v>0</v>
      </c>
      <c r="FN217" s="80">
        <v>1257</v>
      </c>
      <c r="FO217" s="80">
        <v>136</v>
      </c>
      <c r="FP217" s="80">
        <v>1014</v>
      </c>
      <c r="FQ217" s="80">
        <v>24016</v>
      </c>
      <c r="FR217" s="80">
        <v>2255</v>
      </c>
      <c r="FS217" s="80">
        <v>488</v>
      </c>
      <c r="FT217" s="100">
        <v>10375.587768550648</v>
      </c>
      <c r="FU217" s="100"/>
      <c r="FV217" s="100">
        <v>3199</v>
      </c>
      <c r="FW217" s="67">
        <v>660</v>
      </c>
      <c r="FX217" s="100">
        <f t="shared" si="20"/>
        <v>-15646</v>
      </c>
      <c r="FY217" s="100">
        <f t="shared" si="21"/>
        <v>-20189</v>
      </c>
      <c r="FZ217" s="100">
        <v>13104.567215377529</v>
      </c>
      <c r="GA217" s="67">
        <v>4543</v>
      </c>
      <c r="GB217" s="58">
        <f t="shared" si="18"/>
        <v>1344</v>
      </c>
      <c r="GC217" s="67">
        <v>777</v>
      </c>
      <c r="GD217" s="100">
        <v>759</v>
      </c>
      <c r="GE217" s="100">
        <v>194</v>
      </c>
      <c r="GF217" s="58">
        <f t="shared" si="19"/>
        <v>565</v>
      </c>
      <c r="GG217" s="100">
        <v>-4823.6589999999997</v>
      </c>
      <c r="GH217" s="100">
        <v>-213.3158500000001</v>
      </c>
      <c r="GI217" s="100">
        <v>-8443.8851607566266</v>
      </c>
      <c r="GJ217" s="67">
        <f t="shared" si="22"/>
        <v>117</v>
      </c>
      <c r="GK217" s="67"/>
      <c r="GM217" s="96"/>
    </row>
    <row r="218" spans="1:195" ht="13.5" customHeight="1" x14ac:dyDescent="0.2">
      <c r="A218" s="74">
        <v>687</v>
      </c>
      <c r="B218" s="75" t="s">
        <v>149</v>
      </c>
      <c r="C218" s="75" t="s">
        <v>149</v>
      </c>
      <c r="D218" s="76"/>
      <c r="E218" s="77" t="s">
        <v>239</v>
      </c>
      <c r="F218" s="78">
        <v>1</v>
      </c>
      <c r="G218" s="79">
        <v>1735</v>
      </c>
      <c r="H218" s="80">
        <v>2917</v>
      </c>
      <c r="I218" s="80">
        <v>1301</v>
      </c>
      <c r="J218" s="80">
        <v>418</v>
      </c>
      <c r="K218" s="80">
        <v>199</v>
      </c>
      <c r="L218" s="80">
        <v>999</v>
      </c>
      <c r="M218" s="80">
        <v>0</v>
      </c>
      <c r="N218" s="80">
        <v>0</v>
      </c>
      <c r="O218" s="80">
        <v>15765</v>
      </c>
      <c r="P218" s="80">
        <v>6892</v>
      </c>
      <c r="Q218" s="80">
        <v>5071</v>
      </c>
      <c r="R218" s="80">
        <v>1821</v>
      </c>
      <c r="S218" s="80">
        <v>1564</v>
      </c>
      <c r="T218" s="80">
        <v>257</v>
      </c>
      <c r="U218" s="80">
        <v>6973</v>
      </c>
      <c r="V218" s="80">
        <v>984</v>
      </c>
      <c r="W218" s="80">
        <v>701</v>
      </c>
      <c r="X218" s="80">
        <v>215</v>
      </c>
      <c r="Y218" s="80">
        <v>-12848</v>
      </c>
      <c r="Z218" s="80">
        <v>5513</v>
      </c>
      <c r="AA218" s="80">
        <v>3878</v>
      </c>
      <c r="AB218" s="80">
        <v>1306</v>
      </c>
      <c r="AC218" s="80">
        <v>329</v>
      </c>
      <c r="AD218" s="80">
        <v>8358</v>
      </c>
      <c r="AE218" s="80">
        <v>-225</v>
      </c>
      <c r="AF218" s="80">
        <v>154</v>
      </c>
      <c r="AG218" s="80">
        <v>252</v>
      </c>
      <c r="AH218" s="80">
        <v>185</v>
      </c>
      <c r="AI218" s="80">
        <v>130</v>
      </c>
      <c r="AJ218" s="80">
        <v>501</v>
      </c>
      <c r="AK218" s="80">
        <v>798</v>
      </c>
      <c r="AL218" s="80">
        <v>907</v>
      </c>
      <c r="AM218" s="80">
        <v>907</v>
      </c>
      <c r="AN218" s="80">
        <v>0</v>
      </c>
      <c r="AO218" s="80">
        <v>0</v>
      </c>
      <c r="AP218" s="80">
        <v>0</v>
      </c>
      <c r="AQ218" s="80">
        <v>0</v>
      </c>
      <c r="AR218" s="80">
        <v>-109</v>
      </c>
      <c r="AS218" s="80">
        <v>0</v>
      </c>
      <c r="AT218" s="80">
        <v>0</v>
      </c>
      <c r="AU218" s="80">
        <v>0</v>
      </c>
      <c r="AV218" s="80">
        <v>-109</v>
      </c>
      <c r="AW218" s="81"/>
      <c r="AX218" s="80">
        <v>756</v>
      </c>
      <c r="AY218" s="80">
        <v>798</v>
      </c>
      <c r="AZ218" s="80">
        <v>0</v>
      </c>
      <c r="BA218" s="80">
        <v>-42</v>
      </c>
      <c r="BB218" s="80">
        <v>-3122</v>
      </c>
      <c r="BC218" s="80">
        <v>3183</v>
      </c>
      <c r="BD218" s="80">
        <v>0</v>
      </c>
      <c r="BE218" s="80">
        <v>61</v>
      </c>
      <c r="BF218" s="80">
        <v>-2366</v>
      </c>
      <c r="BG218" s="80">
        <v>3157</v>
      </c>
      <c r="BH218" s="80">
        <v>650</v>
      </c>
      <c r="BI218" s="80">
        <v>0</v>
      </c>
      <c r="BJ218" s="80">
        <v>650</v>
      </c>
      <c r="BK218" s="80">
        <v>2627</v>
      </c>
      <c r="BL218" s="80">
        <v>3500</v>
      </c>
      <c r="BM218" s="80">
        <v>873</v>
      </c>
      <c r="BN218" s="80">
        <v>0</v>
      </c>
      <c r="BO218" s="80">
        <v>0</v>
      </c>
      <c r="BP218" s="80">
        <v>-120</v>
      </c>
      <c r="BQ218" s="80">
        <v>-49</v>
      </c>
      <c r="BR218" s="80">
        <v>0</v>
      </c>
      <c r="BS218" s="80">
        <v>-89</v>
      </c>
      <c r="BT218" s="80">
        <v>18</v>
      </c>
      <c r="BU218" s="80">
        <v>792</v>
      </c>
      <c r="BV218" s="80">
        <v>2374</v>
      </c>
      <c r="BW218" s="80">
        <v>1582</v>
      </c>
      <c r="BX218" s="81"/>
      <c r="BY218" s="80">
        <v>22706</v>
      </c>
      <c r="BZ218" s="80">
        <v>7</v>
      </c>
      <c r="CA218" s="80">
        <v>7</v>
      </c>
      <c r="CB218" s="80">
        <v>0</v>
      </c>
      <c r="CC218" s="80">
        <v>0</v>
      </c>
      <c r="CD218" s="80">
        <v>16818</v>
      </c>
      <c r="CE218" s="80">
        <v>2581</v>
      </c>
      <c r="CF218" s="80">
        <v>11186</v>
      </c>
      <c r="CG218" s="80">
        <v>2208</v>
      </c>
      <c r="CH218" s="80">
        <v>93</v>
      </c>
      <c r="CI218" s="80">
        <v>0</v>
      </c>
      <c r="CJ218" s="80">
        <v>0</v>
      </c>
      <c r="CK218" s="80">
        <v>750</v>
      </c>
      <c r="CL218" s="80">
        <v>5881</v>
      </c>
      <c r="CM218" s="80">
        <v>4319</v>
      </c>
      <c r="CN218" s="80">
        <v>1562</v>
      </c>
      <c r="CO218" s="80">
        <v>2757</v>
      </c>
      <c r="CP218" s="80">
        <v>0</v>
      </c>
      <c r="CQ218" s="80">
        <v>1535</v>
      </c>
      <c r="CR218" s="80">
        <v>0</v>
      </c>
      <c r="CS218" s="80">
        <v>0</v>
      </c>
      <c r="CT218" s="80">
        <v>1535</v>
      </c>
      <c r="CU218" s="80">
        <v>27</v>
      </c>
      <c r="CV218" s="80">
        <v>53</v>
      </c>
      <c r="CW218" s="80">
        <v>43</v>
      </c>
      <c r="CX218" s="80">
        <v>10</v>
      </c>
      <c r="CY218" s="80">
        <v>0</v>
      </c>
      <c r="CZ218" s="80">
        <v>3420</v>
      </c>
      <c r="DA218" s="80">
        <v>0</v>
      </c>
      <c r="DB218" s="80">
        <v>0</v>
      </c>
      <c r="DC218" s="80">
        <v>0</v>
      </c>
      <c r="DD218" s="80">
        <v>0</v>
      </c>
      <c r="DE218" s="80">
        <v>0</v>
      </c>
      <c r="DF218" s="80">
        <v>0</v>
      </c>
      <c r="DG218" s="80">
        <v>1047</v>
      </c>
      <c r="DH218" s="80">
        <v>218</v>
      </c>
      <c r="DI218" s="80">
        <v>7</v>
      </c>
      <c r="DJ218" s="80">
        <v>155</v>
      </c>
      <c r="DK218" s="80">
        <v>0</v>
      </c>
      <c r="DL218" s="80">
        <v>56</v>
      </c>
      <c r="DM218" s="80">
        <v>829</v>
      </c>
      <c r="DN218" s="80">
        <v>556</v>
      </c>
      <c r="DO218" s="80">
        <v>0</v>
      </c>
      <c r="DP218" s="80">
        <v>71</v>
      </c>
      <c r="DQ218" s="80">
        <v>202</v>
      </c>
      <c r="DR218" s="80">
        <v>948</v>
      </c>
      <c r="DS218" s="80">
        <v>0</v>
      </c>
      <c r="DT218" s="80">
        <v>0</v>
      </c>
      <c r="DU218" s="80">
        <v>0</v>
      </c>
      <c r="DV218" s="80">
        <v>948</v>
      </c>
      <c r="DW218" s="80">
        <v>1425</v>
      </c>
      <c r="DX218" s="80">
        <v>26179</v>
      </c>
      <c r="DY218" s="80">
        <v>13368</v>
      </c>
      <c r="DZ218" s="80">
        <v>8395</v>
      </c>
      <c r="EA218" s="80">
        <v>0</v>
      </c>
      <c r="EB218" s="80">
        <v>0</v>
      </c>
      <c r="EC218" s="80">
        <v>5082</v>
      </c>
      <c r="ED218" s="80">
        <v>-109</v>
      </c>
      <c r="EE218" s="80">
        <v>0</v>
      </c>
      <c r="EF218" s="80">
        <v>0</v>
      </c>
      <c r="EG218" s="80">
        <v>0</v>
      </c>
      <c r="EH218" s="80">
        <v>0</v>
      </c>
      <c r="EI218" s="80">
        <v>0</v>
      </c>
      <c r="EJ218" s="80">
        <v>0</v>
      </c>
      <c r="EK218" s="80">
        <v>192</v>
      </c>
      <c r="EL218" s="80">
        <v>0</v>
      </c>
      <c r="EM218" s="80">
        <v>192</v>
      </c>
      <c r="EN218" s="80">
        <v>0</v>
      </c>
      <c r="EO218" s="80">
        <v>12619</v>
      </c>
      <c r="EP218" s="80">
        <v>9744</v>
      </c>
      <c r="EQ218" s="80">
        <v>0</v>
      </c>
      <c r="ER218" s="80">
        <v>9727</v>
      </c>
      <c r="ES218" s="80">
        <v>3000</v>
      </c>
      <c r="ET218" s="80">
        <v>6727</v>
      </c>
      <c r="EU218" s="80">
        <v>0</v>
      </c>
      <c r="EV218" s="80">
        <v>0</v>
      </c>
      <c r="EW218" s="80">
        <v>17</v>
      </c>
      <c r="EX218" s="80">
        <v>0</v>
      </c>
      <c r="EY218" s="80">
        <v>0</v>
      </c>
      <c r="EZ218" s="80">
        <v>0</v>
      </c>
      <c r="FA218" s="80">
        <v>0</v>
      </c>
      <c r="FB218" s="80">
        <v>0</v>
      </c>
      <c r="FC218" s="80">
        <v>0</v>
      </c>
      <c r="FD218" s="80">
        <v>2875</v>
      </c>
      <c r="FE218" s="80">
        <v>0</v>
      </c>
      <c r="FF218" s="80">
        <v>1148</v>
      </c>
      <c r="FG218" s="80">
        <v>500</v>
      </c>
      <c r="FH218" s="80">
        <v>648</v>
      </c>
      <c r="FI218" s="80">
        <v>0</v>
      </c>
      <c r="FJ218" s="80">
        <v>0</v>
      </c>
      <c r="FK218" s="80">
        <v>38</v>
      </c>
      <c r="FL218" s="80">
        <v>0</v>
      </c>
      <c r="FM218" s="80">
        <v>42</v>
      </c>
      <c r="FN218" s="80">
        <v>511</v>
      </c>
      <c r="FO218" s="80">
        <v>153</v>
      </c>
      <c r="FP218" s="80">
        <v>983</v>
      </c>
      <c r="FQ218" s="80">
        <v>26179</v>
      </c>
      <c r="FR218" s="80">
        <v>45</v>
      </c>
      <c r="FS218" s="80">
        <v>3329</v>
      </c>
      <c r="FT218" s="100">
        <v>7191.0840366177044</v>
      </c>
      <c r="FU218" s="100"/>
      <c r="FV218" s="100">
        <v>2714</v>
      </c>
      <c r="FW218" s="67">
        <v>634</v>
      </c>
      <c r="FX218" s="100">
        <f t="shared" si="20"/>
        <v>-7972</v>
      </c>
      <c r="FY218" s="100">
        <f t="shared" si="21"/>
        <v>-11941</v>
      </c>
      <c r="FZ218" s="100">
        <v>8358.1205970022147</v>
      </c>
      <c r="GA218" s="67">
        <v>3969</v>
      </c>
      <c r="GB218" s="58">
        <f t="shared" si="18"/>
        <v>1255</v>
      </c>
      <c r="GC218" s="67">
        <v>908</v>
      </c>
      <c r="GD218" s="100">
        <v>417</v>
      </c>
      <c r="GE218" s="100">
        <v>57</v>
      </c>
      <c r="GF218" s="58">
        <f t="shared" si="19"/>
        <v>360</v>
      </c>
      <c r="GG218" s="100">
        <v>-2185.395</v>
      </c>
      <c r="GH218" s="100">
        <v>-392.03625000000011</v>
      </c>
      <c r="GI218" s="100">
        <v>-6205.8292549273428</v>
      </c>
      <c r="GJ218" s="67">
        <f t="shared" si="22"/>
        <v>274</v>
      </c>
      <c r="GK218" s="67"/>
      <c r="GM218" s="96"/>
    </row>
    <row r="219" spans="1:195" ht="13.5" customHeight="1" x14ac:dyDescent="0.2">
      <c r="A219" s="74">
        <v>689</v>
      </c>
      <c r="B219" s="75" t="s">
        <v>150</v>
      </c>
      <c r="C219" s="75" t="s">
        <v>150</v>
      </c>
      <c r="D219" s="76"/>
      <c r="E219" s="77" t="s">
        <v>243</v>
      </c>
      <c r="F219" s="78">
        <v>2</v>
      </c>
      <c r="G219" s="79">
        <v>3537</v>
      </c>
      <c r="H219" s="80">
        <v>3231</v>
      </c>
      <c r="I219" s="80">
        <v>1518</v>
      </c>
      <c r="J219" s="80">
        <v>138</v>
      </c>
      <c r="K219" s="80">
        <v>270</v>
      </c>
      <c r="L219" s="80">
        <v>1305</v>
      </c>
      <c r="M219" s="80">
        <v>0</v>
      </c>
      <c r="N219" s="80">
        <v>0</v>
      </c>
      <c r="O219" s="80">
        <v>25036</v>
      </c>
      <c r="P219" s="80">
        <v>6081</v>
      </c>
      <c r="Q219" s="80">
        <v>4592</v>
      </c>
      <c r="R219" s="80">
        <v>1489</v>
      </c>
      <c r="S219" s="80">
        <v>1256</v>
      </c>
      <c r="T219" s="80">
        <v>233</v>
      </c>
      <c r="U219" s="80">
        <v>17430</v>
      </c>
      <c r="V219" s="80">
        <v>1179</v>
      </c>
      <c r="W219" s="80">
        <v>253</v>
      </c>
      <c r="X219" s="80">
        <v>93</v>
      </c>
      <c r="Y219" s="80">
        <v>-21805</v>
      </c>
      <c r="Z219" s="80">
        <v>12249</v>
      </c>
      <c r="AA219" s="80">
        <v>10798</v>
      </c>
      <c r="AB219" s="80">
        <v>738</v>
      </c>
      <c r="AC219" s="80">
        <v>713</v>
      </c>
      <c r="AD219" s="80">
        <v>12212</v>
      </c>
      <c r="AE219" s="80">
        <v>-17</v>
      </c>
      <c r="AF219" s="80">
        <v>20</v>
      </c>
      <c r="AG219" s="80">
        <v>19</v>
      </c>
      <c r="AH219" s="80">
        <v>16</v>
      </c>
      <c r="AI219" s="80">
        <v>55</v>
      </c>
      <c r="AJ219" s="80">
        <v>1</v>
      </c>
      <c r="AK219" s="80">
        <v>2639</v>
      </c>
      <c r="AL219" s="80">
        <v>1470</v>
      </c>
      <c r="AM219" s="80">
        <v>1470</v>
      </c>
      <c r="AN219" s="80">
        <v>0</v>
      </c>
      <c r="AO219" s="80">
        <v>0</v>
      </c>
      <c r="AP219" s="80">
        <v>0</v>
      </c>
      <c r="AQ219" s="80">
        <v>0</v>
      </c>
      <c r="AR219" s="80">
        <v>1169</v>
      </c>
      <c r="AS219" s="80">
        <v>65</v>
      </c>
      <c r="AT219" s="80">
        <v>-210</v>
      </c>
      <c r="AU219" s="80">
        <v>0</v>
      </c>
      <c r="AV219" s="80">
        <v>1024</v>
      </c>
      <c r="AW219" s="81"/>
      <c r="AX219" s="80">
        <v>2247</v>
      </c>
      <c r="AY219" s="80">
        <v>2639</v>
      </c>
      <c r="AZ219" s="80">
        <v>0</v>
      </c>
      <c r="BA219" s="80">
        <v>-392</v>
      </c>
      <c r="BB219" s="80">
        <v>-5982</v>
      </c>
      <c r="BC219" s="80">
        <v>6267</v>
      </c>
      <c r="BD219" s="80">
        <v>285</v>
      </c>
      <c r="BE219" s="80">
        <v>0</v>
      </c>
      <c r="BF219" s="80">
        <v>-3735</v>
      </c>
      <c r="BG219" s="80">
        <v>2816</v>
      </c>
      <c r="BH219" s="80">
        <v>0</v>
      </c>
      <c r="BI219" s="80">
        <v>0</v>
      </c>
      <c r="BJ219" s="80">
        <v>0</v>
      </c>
      <c r="BK219" s="80">
        <v>2200</v>
      </c>
      <c r="BL219" s="80">
        <v>1700</v>
      </c>
      <c r="BM219" s="80">
        <v>655</v>
      </c>
      <c r="BN219" s="80">
        <v>1155</v>
      </c>
      <c r="BO219" s="80">
        <v>0</v>
      </c>
      <c r="BP219" s="80">
        <v>616</v>
      </c>
      <c r="BQ219" s="80">
        <v>13</v>
      </c>
      <c r="BR219" s="80">
        <v>0</v>
      </c>
      <c r="BS219" s="80">
        <v>279</v>
      </c>
      <c r="BT219" s="80">
        <v>324</v>
      </c>
      <c r="BU219" s="80">
        <v>-918</v>
      </c>
      <c r="BV219" s="80">
        <v>860</v>
      </c>
      <c r="BW219" s="80">
        <v>1778</v>
      </c>
      <c r="BX219" s="81"/>
      <c r="BY219" s="80">
        <v>28044</v>
      </c>
      <c r="BZ219" s="80">
        <v>142</v>
      </c>
      <c r="CA219" s="80">
        <v>27</v>
      </c>
      <c r="CB219" s="80">
        <v>115</v>
      </c>
      <c r="CC219" s="80">
        <v>0</v>
      </c>
      <c r="CD219" s="80">
        <v>24542</v>
      </c>
      <c r="CE219" s="80">
        <v>2106</v>
      </c>
      <c r="CF219" s="80">
        <v>13146</v>
      </c>
      <c r="CG219" s="80">
        <v>3188</v>
      </c>
      <c r="CH219" s="80">
        <v>314</v>
      </c>
      <c r="CI219" s="80">
        <v>0</v>
      </c>
      <c r="CJ219" s="80">
        <v>0</v>
      </c>
      <c r="CK219" s="80">
        <v>5788</v>
      </c>
      <c r="CL219" s="80">
        <v>3360</v>
      </c>
      <c r="CM219" s="80">
        <v>3296</v>
      </c>
      <c r="CN219" s="80">
        <v>986</v>
      </c>
      <c r="CO219" s="80">
        <v>2310</v>
      </c>
      <c r="CP219" s="80">
        <v>0</v>
      </c>
      <c r="CQ219" s="80">
        <v>36</v>
      </c>
      <c r="CR219" s="80">
        <v>0</v>
      </c>
      <c r="CS219" s="80">
        <v>0</v>
      </c>
      <c r="CT219" s="80">
        <v>36</v>
      </c>
      <c r="CU219" s="80">
        <v>28</v>
      </c>
      <c r="CV219" s="80">
        <v>36</v>
      </c>
      <c r="CW219" s="80">
        <v>0</v>
      </c>
      <c r="CX219" s="80">
        <v>36</v>
      </c>
      <c r="CY219" s="80">
        <v>0</v>
      </c>
      <c r="CZ219" s="80">
        <v>1776</v>
      </c>
      <c r="DA219" s="80">
        <v>471</v>
      </c>
      <c r="DB219" s="80">
        <v>0</v>
      </c>
      <c r="DC219" s="80">
        <v>0</v>
      </c>
      <c r="DD219" s="80">
        <v>0</v>
      </c>
      <c r="DE219" s="80">
        <v>471</v>
      </c>
      <c r="DF219" s="80">
        <v>0</v>
      </c>
      <c r="DG219" s="80">
        <v>445</v>
      </c>
      <c r="DH219" s="80">
        <v>59</v>
      </c>
      <c r="DI219" s="80">
        <v>0</v>
      </c>
      <c r="DJ219" s="80">
        <v>59</v>
      </c>
      <c r="DK219" s="80">
        <v>0</v>
      </c>
      <c r="DL219" s="80">
        <v>0</v>
      </c>
      <c r="DM219" s="80">
        <v>386</v>
      </c>
      <c r="DN219" s="80">
        <v>144</v>
      </c>
      <c r="DO219" s="80">
        <v>0</v>
      </c>
      <c r="DP219" s="80">
        <v>215</v>
      </c>
      <c r="DQ219" s="80">
        <v>27</v>
      </c>
      <c r="DR219" s="80">
        <v>438</v>
      </c>
      <c r="DS219" s="80">
        <v>0</v>
      </c>
      <c r="DT219" s="80">
        <v>0</v>
      </c>
      <c r="DU219" s="80">
        <v>0</v>
      </c>
      <c r="DV219" s="80">
        <v>438</v>
      </c>
      <c r="DW219" s="80">
        <v>422</v>
      </c>
      <c r="DX219" s="80">
        <v>29856</v>
      </c>
      <c r="DY219" s="80">
        <v>16263</v>
      </c>
      <c r="DZ219" s="80">
        <v>9427</v>
      </c>
      <c r="EA219" s="80">
        <v>0</v>
      </c>
      <c r="EB219" s="80">
        <v>0</v>
      </c>
      <c r="EC219" s="80">
        <v>5811</v>
      </c>
      <c r="ED219" s="80">
        <v>1025</v>
      </c>
      <c r="EE219" s="80">
        <v>3177</v>
      </c>
      <c r="EF219" s="80">
        <v>1717</v>
      </c>
      <c r="EG219" s="80">
        <v>1460</v>
      </c>
      <c r="EH219" s="80">
        <v>1057</v>
      </c>
      <c r="EI219" s="80">
        <v>0</v>
      </c>
      <c r="EJ219" s="80">
        <v>1057</v>
      </c>
      <c r="EK219" s="80">
        <v>1480</v>
      </c>
      <c r="EL219" s="80">
        <v>0</v>
      </c>
      <c r="EM219" s="80">
        <v>561</v>
      </c>
      <c r="EN219" s="80">
        <v>919</v>
      </c>
      <c r="EO219" s="80">
        <v>7881</v>
      </c>
      <c r="EP219" s="80">
        <v>4178</v>
      </c>
      <c r="EQ219" s="80">
        <v>0</v>
      </c>
      <c r="ER219" s="80">
        <v>3645</v>
      </c>
      <c r="ES219" s="80">
        <v>2445</v>
      </c>
      <c r="ET219" s="80">
        <v>1200</v>
      </c>
      <c r="EU219" s="80">
        <v>0</v>
      </c>
      <c r="EV219" s="80">
        <v>0</v>
      </c>
      <c r="EW219" s="80">
        <v>0</v>
      </c>
      <c r="EX219" s="80">
        <v>0</v>
      </c>
      <c r="EY219" s="80">
        <v>0</v>
      </c>
      <c r="EZ219" s="80">
        <v>0</v>
      </c>
      <c r="FA219" s="80">
        <v>0</v>
      </c>
      <c r="FB219" s="80">
        <v>0</v>
      </c>
      <c r="FC219" s="80">
        <v>533</v>
      </c>
      <c r="FD219" s="80">
        <v>3703</v>
      </c>
      <c r="FE219" s="80">
        <v>0</v>
      </c>
      <c r="FF219" s="80">
        <v>1655</v>
      </c>
      <c r="FG219" s="80">
        <v>1355</v>
      </c>
      <c r="FH219" s="80">
        <v>300</v>
      </c>
      <c r="FI219" s="80">
        <v>0</v>
      </c>
      <c r="FJ219" s="80">
        <v>0</v>
      </c>
      <c r="FK219" s="80">
        <v>0</v>
      </c>
      <c r="FL219" s="80">
        <v>0</v>
      </c>
      <c r="FM219" s="80">
        <v>76</v>
      </c>
      <c r="FN219" s="80">
        <v>1088</v>
      </c>
      <c r="FO219" s="80">
        <v>95</v>
      </c>
      <c r="FP219" s="80">
        <v>789</v>
      </c>
      <c r="FQ219" s="80">
        <v>29858</v>
      </c>
      <c r="FR219" s="80">
        <v>4146</v>
      </c>
      <c r="FS219" s="80">
        <v>593</v>
      </c>
      <c r="FT219" s="100">
        <v>11023.948114602812</v>
      </c>
      <c r="FU219" s="100"/>
      <c r="FV219" s="100">
        <v>4303</v>
      </c>
      <c r="FW219" s="67">
        <v>1412</v>
      </c>
      <c r="FX219" s="100">
        <f t="shared" si="20"/>
        <v>-15606</v>
      </c>
      <c r="FY219" s="100">
        <f t="shared" si="21"/>
        <v>-20335</v>
      </c>
      <c r="FZ219" s="100">
        <v>14568.699238585754</v>
      </c>
      <c r="GA219" s="67">
        <v>4729</v>
      </c>
      <c r="GB219" s="58">
        <f t="shared" si="18"/>
        <v>426</v>
      </c>
      <c r="GC219" s="67">
        <v>1470</v>
      </c>
      <c r="GD219" s="100">
        <v>139</v>
      </c>
      <c r="GE219" s="100">
        <v>139</v>
      </c>
      <c r="GF219" s="58">
        <f t="shared" si="19"/>
        <v>0</v>
      </c>
      <c r="GG219" s="100">
        <v>-6453.3</v>
      </c>
      <c r="GH219" s="100">
        <v>-370.55915000000016</v>
      </c>
      <c r="GI219" s="100">
        <v>-8148.3482810576543</v>
      </c>
      <c r="GJ219" s="67">
        <f t="shared" si="22"/>
        <v>58</v>
      </c>
      <c r="GK219" s="67"/>
      <c r="GM219" s="96"/>
    </row>
    <row r="220" spans="1:195" ht="13.5" customHeight="1" x14ac:dyDescent="0.2">
      <c r="A220" s="74">
        <v>691</v>
      </c>
      <c r="B220" s="75" t="s">
        <v>151</v>
      </c>
      <c r="C220" s="75" t="s">
        <v>151</v>
      </c>
      <c r="D220" s="76"/>
      <c r="E220" s="77" t="s">
        <v>216</v>
      </c>
      <c r="F220" s="78">
        <v>2</v>
      </c>
      <c r="G220" s="79">
        <v>2894</v>
      </c>
      <c r="H220" s="80">
        <v>7759</v>
      </c>
      <c r="I220" s="80">
        <v>5603</v>
      </c>
      <c r="J220" s="80">
        <v>735</v>
      </c>
      <c r="K220" s="80">
        <v>180</v>
      </c>
      <c r="L220" s="80">
        <v>1241</v>
      </c>
      <c r="M220" s="80">
        <v>0</v>
      </c>
      <c r="N220" s="80">
        <v>0</v>
      </c>
      <c r="O220" s="80">
        <v>25880</v>
      </c>
      <c r="P220" s="80">
        <v>9430</v>
      </c>
      <c r="Q220" s="80">
        <v>6816</v>
      </c>
      <c r="R220" s="80">
        <v>2614</v>
      </c>
      <c r="S220" s="80">
        <v>2080</v>
      </c>
      <c r="T220" s="80">
        <v>534</v>
      </c>
      <c r="U220" s="80">
        <v>14473</v>
      </c>
      <c r="V220" s="80">
        <v>1390</v>
      </c>
      <c r="W220" s="80">
        <v>113</v>
      </c>
      <c r="X220" s="80">
        <v>474</v>
      </c>
      <c r="Y220" s="80">
        <v>-18121</v>
      </c>
      <c r="Z220" s="80">
        <v>8760</v>
      </c>
      <c r="AA220" s="80">
        <v>7748</v>
      </c>
      <c r="AB220" s="80">
        <v>355</v>
      </c>
      <c r="AC220" s="80">
        <v>657</v>
      </c>
      <c r="AD220" s="80">
        <v>10335</v>
      </c>
      <c r="AE220" s="80">
        <v>395</v>
      </c>
      <c r="AF220" s="80">
        <v>16</v>
      </c>
      <c r="AG220" s="80">
        <v>530</v>
      </c>
      <c r="AH220" s="80">
        <v>33</v>
      </c>
      <c r="AI220" s="80">
        <v>129</v>
      </c>
      <c r="AJ220" s="80">
        <v>22</v>
      </c>
      <c r="AK220" s="80">
        <v>1369</v>
      </c>
      <c r="AL220" s="80">
        <v>1197</v>
      </c>
      <c r="AM220" s="80">
        <v>1197</v>
      </c>
      <c r="AN220" s="80">
        <v>0</v>
      </c>
      <c r="AO220" s="80">
        <v>0</v>
      </c>
      <c r="AP220" s="80">
        <v>0</v>
      </c>
      <c r="AQ220" s="80">
        <v>0</v>
      </c>
      <c r="AR220" s="80">
        <v>172</v>
      </c>
      <c r="AS220" s="80">
        <v>0</v>
      </c>
      <c r="AT220" s="80">
        <v>0</v>
      </c>
      <c r="AU220" s="80">
        <v>0</v>
      </c>
      <c r="AV220" s="80">
        <v>172</v>
      </c>
      <c r="AW220" s="81"/>
      <c r="AX220" s="80">
        <v>1369</v>
      </c>
      <c r="AY220" s="80">
        <v>1369</v>
      </c>
      <c r="AZ220" s="80">
        <v>0</v>
      </c>
      <c r="BA220" s="80">
        <v>0</v>
      </c>
      <c r="BB220" s="80">
        <v>-1292</v>
      </c>
      <c r="BC220" s="80">
        <v>1297</v>
      </c>
      <c r="BD220" s="80">
        <v>0</v>
      </c>
      <c r="BE220" s="80">
        <v>5</v>
      </c>
      <c r="BF220" s="80">
        <v>77</v>
      </c>
      <c r="BG220" s="80">
        <v>758</v>
      </c>
      <c r="BH220" s="80">
        <v>23</v>
      </c>
      <c r="BI220" s="80">
        <v>0</v>
      </c>
      <c r="BJ220" s="80">
        <v>23</v>
      </c>
      <c r="BK220" s="80">
        <v>1015</v>
      </c>
      <c r="BL220" s="80">
        <v>6214</v>
      </c>
      <c r="BM220" s="80">
        <v>4857</v>
      </c>
      <c r="BN220" s="80">
        <v>-342</v>
      </c>
      <c r="BO220" s="80">
        <v>0</v>
      </c>
      <c r="BP220" s="80">
        <v>-280</v>
      </c>
      <c r="BQ220" s="80">
        <v>2</v>
      </c>
      <c r="BR220" s="80">
        <v>12</v>
      </c>
      <c r="BS220" s="80">
        <v>-133</v>
      </c>
      <c r="BT220" s="80">
        <v>-161</v>
      </c>
      <c r="BU220" s="80">
        <v>835</v>
      </c>
      <c r="BV220" s="80">
        <v>13558</v>
      </c>
      <c r="BW220" s="80">
        <v>12723</v>
      </c>
      <c r="BX220" s="81"/>
      <c r="BY220" s="80">
        <v>18496</v>
      </c>
      <c r="BZ220" s="80">
        <v>19</v>
      </c>
      <c r="CA220" s="80">
        <v>0</v>
      </c>
      <c r="CB220" s="80">
        <v>19</v>
      </c>
      <c r="CC220" s="80">
        <v>0</v>
      </c>
      <c r="CD220" s="80">
        <v>15813</v>
      </c>
      <c r="CE220" s="80">
        <v>1512</v>
      </c>
      <c r="CF220" s="80">
        <v>11761</v>
      </c>
      <c r="CG220" s="80">
        <v>1737</v>
      </c>
      <c r="CH220" s="80">
        <v>150</v>
      </c>
      <c r="CI220" s="80">
        <v>189</v>
      </c>
      <c r="CJ220" s="80">
        <v>0</v>
      </c>
      <c r="CK220" s="80">
        <v>464</v>
      </c>
      <c r="CL220" s="80">
        <v>2664</v>
      </c>
      <c r="CM220" s="80">
        <v>1670</v>
      </c>
      <c r="CN220" s="80">
        <v>443</v>
      </c>
      <c r="CO220" s="80">
        <v>1227</v>
      </c>
      <c r="CP220" s="80">
        <v>0</v>
      </c>
      <c r="CQ220" s="80">
        <v>994</v>
      </c>
      <c r="CR220" s="80">
        <v>0</v>
      </c>
      <c r="CS220" s="80">
        <v>0</v>
      </c>
      <c r="CT220" s="80">
        <v>994</v>
      </c>
      <c r="CU220" s="80">
        <v>0</v>
      </c>
      <c r="CV220" s="80">
        <v>8</v>
      </c>
      <c r="CW220" s="80">
        <v>0</v>
      </c>
      <c r="CX220" s="80">
        <v>8</v>
      </c>
      <c r="CY220" s="80">
        <v>0</v>
      </c>
      <c r="CZ220" s="80">
        <v>14339</v>
      </c>
      <c r="DA220" s="80">
        <v>3</v>
      </c>
      <c r="DB220" s="80">
        <v>3</v>
      </c>
      <c r="DC220" s="80">
        <v>0</v>
      </c>
      <c r="DD220" s="80">
        <v>0</v>
      </c>
      <c r="DE220" s="80">
        <v>0</v>
      </c>
      <c r="DF220" s="80">
        <v>0</v>
      </c>
      <c r="DG220" s="80">
        <v>777</v>
      </c>
      <c r="DH220" s="80">
        <v>0</v>
      </c>
      <c r="DI220" s="80">
        <v>0</v>
      </c>
      <c r="DJ220" s="80">
        <v>0</v>
      </c>
      <c r="DK220" s="80">
        <v>0</v>
      </c>
      <c r="DL220" s="80">
        <v>0</v>
      </c>
      <c r="DM220" s="80">
        <v>777</v>
      </c>
      <c r="DN220" s="80">
        <v>467</v>
      </c>
      <c r="DO220" s="80">
        <v>0</v>
      </c>
      <c r="DP220" s="80">
        <v>4</v>
      </c>
      <c r="DQ220" s="80">
        <v>306</v>
      </c>
      <c r="DR220" s="80">
        <v>12689</v>
      </c>
      <c r="DS220" s="80">
        <v>3341</v>
      </c>
      <c r="DT220" s="80">
        <v>9348</v>
      </c>
      <c r="DU220" s="80">
        <v>0</v>
      </c>
      <c r="DV220" s="80">
        <v>0</v>
      </c>
      <c r="DW220" s="80">
        <v>870</v>
      </c>
      <c r="DX220" s="80">
        <v>32843</v>
      </c>
      <c r="DY220" s="80">
        <v>11683</v>
      </c>
      <c r="DZ220" s="80">
        <v>9032</v>
      </c>
      <c r="EA220" s="80">
        <v>0</v>
      </c>
      <c r="EB220" s="80">
        <v>0</v>
      </c>
      <c r="EC220" s="80">
        <v>2479</v>
      </c>
      <c r="ED220" s="80">
        <v>172</v>
      </c>
      <c r="EE220" s="80">
        <v>0</v>
      </c>
      <c r="EF220" s="80">
        <v>0</v>
      </c>
      <c r="EG220" s="80">
        <v>0</v>
      </c>
      <c r="EH220" s="80">
        <v>0</v>
      </c>
      <c r="EI220" s="80">
        <v>0</v>
      </c>
      <c r="EJ220" s="80">
        <v>0</v>
      </c>
      <c r="EK220" s="80">
        <v>34</v>
      </c>
      <c r="EL220" s="80">
        <v>0</v>
      </c>
      <c r="EM220" s="80">
        <v>8</v>
      </c>
      <c r="EN220" s="80">
        <v>26</v>
      </c>
      <c r="EO220" s="80">
        <v>21127</v>
      </c>
      <c r="EP220" s="80">
        <v>16578</v>
      </c>
      <c r="EQ220" s="80">
        <v>0</v>
      </c>
      <c r="ER220" s="80">
        <v>15177</v>
      </c>
      <c r="ES220" s="80">
        <v>946</v>
      </c>
      <c r="ET220" s="80">
        <v>14231</v>
      </c>
      <c r="EU220" s="80">
        <v>0</v>
      </c>
      <c r="EV220" s="80">
        <v>0</v>
      </c>
      <c r="EW220" s="80">
        <v>1401</v>
      </c>
      <c r="EX220" s="80">
        <v>0</v>
      </c>
      <c r="EY220" s="80">
        <v>0</v>
      </c>
      <c r="EZ220" s="80">
        <v>0</v>
      </c>
      <c r="FA220" s="80">
        <v>0</v>
      </c>
      <c r="FB220" s="80">
        <v>0</v>
      </c>
      <c r="FC220" s="80">
        <v>0</v>
      </c>
      <c r="FD220" s="80">
        <v>4549</v>
      </c>
      <c r="FE220" s="80">
        <v>0</v>
      </c>
      <c r="FF220" s="80">
        <v>2911</v>
      </c>
      <c r="FG220" s="80">
        <v>143</v>
      </c>
      <c r="FH220" s="80">
        <v>2768</v>
      </c>
      <c r="FI220" s="80">
        <v>0</v>
      </c>
      <c r="FJ220" s="80">
        <v>0</v>
      </c>
      <c r="FK220" s="80">
        <v>221</v>
      </c>
      <c r="FL220" s="80">
        <v>0</v>
      </c>
      <c r="FM220" s="80">
        <v>0</v>
      </c>
      <c r="FN220" s="80">
        <v>281</v>
      </c>
      <c r="FO220" s="80">
        <v>328</v>
      </c>
      <c r="FP220" s="80">
        <v>808</v>
      </c>
      <c r="FQ220" s="80">
        <v>32844</v>
      </c>
      <c r="FR220" s="80">
        <v>0</v>
      </c>
      <c r="FS220" s="80">
        <v>199</v>
      </c>
      <c r="FT220" s="100">
        <v>17047.716049338593</v>
      </c>
      <c r="FU220" s="100"/>
      <c r="FV220" s="100">
        <v>9959</v>
      </c>
      <c r="FW220" s="67">
        <v>1197</v>
      </c>
      <c r="FX220" s="100">
        <f t="shared" si="20"/>
        <v>-6911</v>
      </c>
      <c r="FY220" s="100">
        <f t="shared" si="21"/>
        <v>-16924</v>
      </c>
      <c r="FZ220" s="100">
        <v>11050.956406788966</v>
      </c>
      <c r="GA220" s="67">
        <v>10013</v>
      </c>
      <c r="GB220" s="58">
        <f t="shared" si="18"/>
        <v>54</v>
      </c>
      <c r="GC220" s="67">
        <v>1197</v>
      </c>
      <c r="GD220" s="100">
        <v>735</v>
      </c>
      <c r="GE220" s="100">
        <v>735</v>
      </c>
      <c r="GF220" s="58">
        <f t="shared" si="19"/>
        <v>0</v>
      </c>
      <c r="GG220" s="100">
        <v>-4107.3840000000009</v>
      </c>
      <c r="GH220" s="100">
        <v>-113.33085000000004</v>
      </c>
      <c r="GI220" s="100">
        <v>-6835.5751086785303</v>
      </c>
      <c r="GJ220" s="67">
        <f t="shared" si="22"/>
        <v>0</v>
      </c>
      <c r="GK220" s="67"/>
      <c r="GM220" s="96"/>
    </row>
    <row r="221" spans="1:195" ht="13.5" customHeight="1" x14ac:dyDescent="0.2">
      <c r="A221" s="74">
        <v>680</v>
      </c>
      <c r="B221" s="75" t="s">
        <v>300</v>
      </c>
      <c r="C221" s="82" t="s">
        <v>300</v>
      </c>
      <c r="D221" s="76"/>
      <c r="E221" s="77" t="s">
        <v>219</v>
      </c>
      <c r="F221" s="78">
        <v>5</v>
      </c>
      <c r="G221" s="79">
        <v>24290</v>
      </c>
      <c r="H221" s="80">
        <v>48816</v>
      </c>
      <c r="I221" s="80">
        <v>29061</v>
      </c>
      <c r="J221" s="80">
        <v>7638</v>
      </c>
      <c r="K221" s="80">
        <v>4938</v>
      </c>
      <c r="L221" s="80">
        <v>7179</v>
      </c>
      <c r="M221" s="80">
        <v>0</v>
      </c>
      <c r="N221" s="80">
        <v>0</v>
      </c>
      <c r="O221" s="80">
        <v>166876</v>
      </c>
      <c r="P221" s="80">
        <v>67357</v>
      </c>
      <c r="Q221" s="80">
        <v>51505</v>
      </c>
      <c r="R221" s="80">
        <v>15852</v>
      </c>
      <c r="S221" s="80">
        <v>12894</v>
      </c>
      <c r="T221" s="80">
        <v>2958</v>
      </c>
      <c r="U221" s="80">
        <v>73211</v>
      </c>
      <c r="V221" s="80">
        <v>10417</v>
      </c>
      <c r="W221" s="80">
        <v>11399</v>
      </c>
      <c r="X221" s="80">
        <v>4492</v>
      </c>
      <c r="Y221" s="80">
        <v>-118060</v>
      </c>
      <c r="Z221" s="80">
        <v>98295</v>
      </c>
      <c r="AA221" s="80">
        <v>84900</v>
      </c>
      <c r="AB221" s="80">
        <v>5899</v>
      </c>
      <c r="AC221" s="80">
        <v>7496</v>
      </c>
      <c r="AD221" s="80">
        <v>28388</v>
      </c>
      <c r="AE221" s="80">
        <v>-214</v>
      </c>
      <c r="AF221" s="80">
        <v>98</v>
      </c>
      <c r="AG221" s="80">
        <v>604</v>
      </c>
      <c r="AH221" s="80">
        <v>505</v>
      </c>
      <c r="AI221" s="80">
        <v>906</v>
      </c>
      <c r="AJ221" s="80">
        <v>10</v>
      </c>
      <c r="AK221" s="80">
        <v>8409</v>
      </c>
      <c r="AL221" s="80">
        <v>8921</v>
      </c>
      <c r="AM221" s="80">
        <v>8915</v>
      </c>
      <c r="AN221" s="80">
        <v>6</v>
      </c>
      <c r="AO221" s="80">
        <v>0</v>
      </c>
      <c r="AP221" s="80">
        <v>0</v>
      </c>
      <c r="AQ221" s="80">
        <v>0</v>
      </c>
      <c r="AR221" s="80">
        <v>-512</v>
      </c>
      <c r="AS221" s="80">
        <v>14</v>
      </c>
      <c r="AT221" s="80">
        <v>0</v>
      </c>
      <c r="AU221" s="80">
        <v>0</v>
      </c>
      <c r="AV221" s="80">
        <v>-498</v>
      </c>
      <c r="AW221" s="81"/>
      <c r="AX221" s="80">
        <v>7296</v>
      </c>
      <c r="AY221" s="80">
        <v>8409</v>
      </c>
      <c r="AZ221" s="80">
        <v>0</v>
      </c>
      <c r="BA221" s="80">
        <v>-1113</v>
      </c>
      <c r="BB221" s="80">
        <v>-11033</v>
      </c>
      <c r="BC221" s="80">
        <v>13069</v>
      </c>
      <c r="BD221" s="80">
        <v>262</v>
      </c>
      <c r="BE221" s="80">
        <v>1774</v>
      </c>
      <c r="BF221" s="80">
        <v>-3737</v>
      </c>
      <c r="BG221" s="80">
        <v>59</v>
      </c>
      <c r="BH221" s="80">
        <v>0</v>
      </c>
      <c r="BI221" s="80">
        <v>0</v>
      </c>
      <c r="BJ221" s="80">
        <v>0</v>
      </c>
      <c r="BK221" s="80">
        <v>-231</v>
      </c>
      <c r="BL221" s="80">
        <v>0</v>
      </c>
      <c r="BM221" s="80">
        <v>1731</v>
      </c>
      <c r="BN221" s="80">
        <v>1500</v>
      </c>
      <c r="BO221" s="80">
        <v>0</v>
      </c>
      <c r="BP221" s="80">
        <v>290</v>
      </c>
      <c r="BQ221" s="80">
        <v>-30</v>
      </c>
      <c r="BR221" s="80">
        <v>-8</v>
      </c>
      <c r="BS221" s="80">
        <v>352</v>
      </c>
      <c r="BT221" s="80">
        <v>-24</v>
      </c>
      <c r="BU221" s="80">
        <v>-3678</v>
      </c>
      <c r="BV221" s="80">
        <v>3853</v>
      </c>
      <c r="BW221" s="80">
        <v>7531</v>
      </c>
      <c r="BX221" s="81"/>
      <c r="BY221" s="80">
        <v>173836</v>
      </c>
      <c r="BZ221" s="80">
        <v>400</v>
      </c>
      <c r="CA221" s="80">
        <v>121</v>
      </c>
      <c r="CB221" s="80">
        <v>279</v>
      </c>
      <c r="CC221" s="80">
        <v>0</v>
      </c>
      <c r="CD221" s="80">
        <v>142096</v>
      </c>
      <c r="CE221" s="80">
        <v>33792</v>
      </c>
      <c r="CF221" s="80">
        <v>43335</v>
      </c>
      <c r="CG221" s="80">
        <v>62654</v>
      </c>
      <c r="CH221" s="80">
        <v>1466</v>
      </c>
      <c r="CI221" s="80">
        <v>66</v>
      </c>
      <c r="CJ221" s="80">
        <v>66</v>
      </c>
      <c r="CK221" s="80">
        <v>783</v>
      </c>
      <c r="CL221" s="80">
        <v>31340</v>
      </c>
      <c r="CM221" s="80">
        <v>28640</v>
      </c>
      <c r="CN221" s="80">
        <v>12144</v>
      </c>
      <c r="CO221" s="80">
        <v>16496</v>
      </c>
      <c r="CP221" s="80">
        <v>0</v>
      </c>
      <c r="CQ221" s="80">
        <v>2700</v>
      </c>
      <c r="CR221" s="80">
        <v>0</v>
      </c>
      <c r="CS221" s="80">
        <v>0</v>
      </c>
      <c r="CT221" s="80">
        <v>2700</v>
      </c>
      <c r="CU221" s="80">
        <v>0</v>
      </c>
      <c r="CV221" s="80">
        <v>3554</v>
      </c>
      <c r="CW221" s="80">
        <v>3453</v>
      </c>
      <c r="CX221" s="80">
        <v>101</v>
      </c>
      <c r="CY221" s="80">
        <v>0</v>
      </c>
      <c r="CZ221" s="80">
        <v>11564</v>
      </c>
      <c r="DA221" s="80">
        <v>156</v>
      </c>
      <c r="DB221" s="80">
        <v>156</v>
      </c>
      <c r="DC221" s="80">
        <v>0</v>
      </c>
      <c r="DD221" s="80">
        <v>0</v>
      </c>
      <c r="DE221" s="80">
        <v>0</v>
      </c>
      <c r="DF221" s="80">
        <v>0</v>
      </c>
      <c r="DG221" s="80">
        <v>7555</v>
      </c>
      <c r="DH221" s="80">
        <v>807</v>
      </c>
      <c r="DI221" s="80">
        <v>0</v>
      </c>
      <c r="DJ221" s="80">
        <v>259</v>
      </c>
      <c r="DK221" s="80">
        <v>548</v>
      </c>
      <c r="DL221" s="80">
        <v>0</v>
      </c>
      <c r="DM221" s="80">
        <v>6748</v>
      </c>
      <c r="DN221" s="80">
        <v>4461</v>
      </c>
      <c r="DO221" s="80">
        <v>48</v>
      </c>
      <c r="DP221" s="80">
        <v>1744</v>
      </c>
      <c r="DQ221" s="80">
        <v>495</v>
      </c>
      <c r="DR221" s="80">
        <v>0</v>
      </c>
      <c r="DS221" s="80">
        <v>0</v>
      </c>
      <c r="DT221" s="80">
        <v>0</v>
      </c>
      <c r="DU221" s="80">
        <v>0</v>
      </c>
      <c r="DV221" s="80">
        <v>0</v>
      </c>
      <c r="DW221" s="80">
        <v>3853</v>
      </c>
      <c r="DX221" s="80">
        <v>188954</v>
      </c>
      <c r="DY221" s="80">
        <v>102203</v>
      </c>
      <c r="DZ221" s="80">
        <v>101691</v>
      </c>
      <c r="EA221" s="80">
        <v>0</v>
      </c>
      <c r="EB221" s="80">
        <v>0</v>
      </c>
      <c r="EC221" s="80">
        <v>1010</v>
      </c>
      <c r="ED221" s="80">
        <v>-498</v>
      </c>
      <c r="EE221" s="80">
        <v>10</v>
      </c>
      <c r="EF221" s="80">
        <v>10</v>
      </c>
      <c r="EG221" s="80">
        <v>0</v>
      </c>
      <c r="EH221" s="80">
        <v>857</v>
      </c>
      <c r="EI221" s="80">
        <v>0</v>
      </c>
      <c r="EJ221" s="80">
        <v>857</v>
      </c>
      <c r="EK221" s="80">
        <v>3881</v>
      </c>
      <c r="EL221" s="80">
        <v>3664</v>
      </c>
      <c r="EM221" s="80">
        <v>217</v>
      </c>
      <c r="EN221" s="80">
        <v>0</v>
      </c>
      <c r="EO221" s="80">
        <v>82003</v>
      </c>
      <c r="EP221" s="80">
        <v>54574</v>
      </c>
      <c r="EQ221" s="80">
        <v>0</v>
      </c>
      <c r="ER221" s="80">
        <v>44089</v>
      </c>
      <c r="ES221" s="80">
        <v>0</v>
      </c>
      <c r="ET221" s="80">
        <v>44089</v>
      </c>
      <c r="EU221" s="80">
        <v>0</v>
      </c>
      <c r="EV221" s="80">
        <v>0</v>
      </c>
      <c r="EW221" s="80">
        <v>350</v>
      </c>
      <c r="EX221" s="80">
        <v>93</v>
      </c>
      <c r="EY221" s="80">
        <v>217</v>
      </c>
      <c r="EZ221" s="80">
        <v>0</v>
      </c>
      <c r="FA221" s="80">
        <v>9326</v>
      </c>
      <c r="FB221" s="80">
        <v>0</v>
      </c>
      <c r="FC221" s="80">
        <v>499</v>
      </c>
      <c r="FD221" s="80">
        <v>27429</v>
      </c>
      <c r="FE221" s="80">
        <v>0</v>
      </c>
      <c r="FF221" s="80">
        <v>10701</v>
      </c>
      <c r="FG221" s="80">
        <v>9000</v>
      </c>
      <c r="FH221" s="80">
        <v>1701</v>
      </c>
      <c r="FI221" s="80">
        <v>0</v>
      </c>
      <c r="FJ221" s="80">
        <v>0</v>
      </c>
      <c r="FK221" s="80">
        <v>32</v>
      </c>
      <c r="FL221" s="80">
        <v>0</v>
      </c>
      <c r="FM221" s="80">
        <v>12</v>
      </c>
      <c r="FN221" s="80">
        <v>5195</v>
      </c>
      <c r="FO221" s="80">
        <v>1127</v>
      </c>
      <c r="FP221" s="80">
        <v>10362</v>
      </c>
      <c r="FQ221" s="80">
        <v>188954</v>
      </c>
      <c r="FR221" s="80">
        <v>17982</v>
      </c>
      <c r="FS221" s="80">
        <v>23169</v>
      </c>
      <c r="FT221" s="100">
        <v>84764.949742528494</v>
      </c>
      <c r="FU221" s="100"/>
      <c r="FV221" s="100">
        <v>41737</v>
      </c>
      <c r="FW221" s="67">
        <v>8687</v>
      </c>
      <c r="FX221" s="100">
        <f t="shared" si="20"/>
        <v>-38028</v>
      </c>
      <c r="FY221" s="100">
        <f t="shared" si="21"/>
        <v>-109139</v>
      </c>
      <c r="FZ221" s="100">
        <v>75279.457261747026</v>
      </c>
      <c r="GA221" s="67">
        <v>71111</v>
      </c>
      <c r="GB221" s="58">
        <f t="shared" si="18"/>
        <v>29374</v>
      </c>
      <c r="GC221" s="67">
        <v>8921</v>
      </c>
      <c r="GD221" s="100">
        <v>7949</v>
      </c>
      <c r="GE221" s="100">
        <v>3461</v>
      </c>
      <c r="GF221" s="58">
        <f t="shared" si="19"/>
        <v>4488</v>
      </c>
      <c r="GG221" s="100">
        <v>-52935.717000000011</v>
      </c>
      <c r="GH221" s="100">
        <v>-1630.2281500000006</v>
      </c>
      <c r="GI221" s="100">
        <v>-21019.586485756754</v>
      </c>
      <c r="GJ221" s="67">
        <f t="shared" si="22"/>
        <v>234</v>
      </c>
      <c r="GK221" s="67"/>
      <c r="GM221" s="96"/>
    </row>
    <row r="222" spans="1:195" ht="13.5" customHeight="1" x14ac:dyDescent="0.2">
      <c r="A222" s="74">
        <v>694</v>
      </c>
      <c r="B222" s="75" t="s">
        <v>152</v>
      </c>
      <c r="C222" s="75" t="s">
        <v>152</v>
      </c>
      <c r="D222" s="76"/>
      <c r="E222" s="77" t="s">
        <v>226</v>
      </c>
      <c r="F222" s="78">
        <v>5</v>
      </c>
      <c r="G222" s="79">
        <v>29269</v>
      </c>
      <c r="H222" s="80">
        <v>30238</v>
      </c>
      <c r="I222" s="80">
        <v>10361</v>
      </c>
      <c r="J222" s="80">
        <v>7248</v>
      </c>
      <c r="K222" s="80">
        <v>4131</v>
      </c>
      <c r="L222" s="80">
        <v>8498</v>
      </c>
      <c r="M222" s="80">
        <v>0</v>
      </c>
      <c r="N222" s="80">
        <v>0</v>
      </c>
      <c r="O222" s="80">
        <v>177004</v>
      </c>
      <c r="P222" s="80">
        <v>68290</v>
      </c>
      <c r="Q222" s="80">
        <v>52248</v>
      </c>
      <c r="R222" s="80">
        <v>16042</v>
      </c>
      <c r="S222" s="80">
        <v>13127</v>
      </c>
      <c r="T222" s="80">
        <v>2915</v>
      </c>
      <c r="U222" s="80">
        <v>83201</v>
      </c>
      <c r="V222" s="80">
        <v>8205</v>
      </c>
      <c r="W222" s="80">
        <v>12949</v>
      </c>
      <c r="X222" s="80">
        <v>4359</v>
      </c>
      <c r="Y222" s="80">
        <v>-146766</v>
      </c>
      <c r="Z222" s="80">
        <v>122881</v>
      </c>
      <c r="AA222" s="80">
        <v>106161</v>
      </c>
      <c r="AB222" s="80">
        <v>9324</v>
      </c>
      <c r="AC222" s="80">
        <v>7396</v>
      </c>
      <c r="AD222" s="80">
        <v>35025</v>
      </c>
      <c r="AE222" s="80">
        <v>233</v>
      </c>
      <c r="AF222" s="80">
        <v>16</v>
      </c>
      <c r="AG222" s="80">
        <v>1594</v>
      </c>
      <c r="AH222" s="80">
        <v>1546</v>
      </c>
      <c r="AI222" s="80">
        <v>1369</v>
      </c>
      <c r="AJ222" s="80">
        <v>8</v>
      </c>
      <c r="AK222" s="80">
        <v>11373</v>
      </c>
      <c r="AL222" s="80">
        <v>8528</v>
      </c>
      <c r="AM222" s="80">
        <v>8463</v>
      </c>
      <c r="AN222" s="80">
        <v>65</v>
      </c>
      <c r="AO222" s="80">
        <v>0</v>
      </c>
      <c r="AP222" s="80">
        <v>0</v>
      </c>
      <c r="AQ222" s="80">
        <v>0</v>
      </c>
      <c r="AR222" s="80">
        <v>2845</v>
      </c>
      <c r="AS222" s="80">
        <v>47</v>
      </c>
      <c r="AT222" s="80">
        <v>0</v>
      </c>
      <c r="AU222" s="80">
        <v>-426</v>
      </c>
      <c r="AV222" s="80">
        <v>2466</v>
      </c>
      <c r="AW222" s="81"/>
      <c r="AX222" s="80">
        <v>13405</v>
      </c>
      <c r="AY222" s="80">
        <v>11373</v>
      </c>
      <c r="AZ222" s="80">
        <v>0</v>
      </c>
      <c r="BA222" s="80">
        <v>2032</v>
      </c>
      <c r="BB222" s="80">
        <v>-8780</v>
      </c>
      <c r="BC222" s="80">
        <v>12084</v>
      </c>
      <c r="BD222" s="80">
        <v>310</v>
      </c>
      <c r="BE222" s="80">
        <v>2994</v>
      </c>
      <c r="BF222" s="80">
        <v>4625</v>
      </c>
      <c r="BG222" s="80">
        <v>-3225</v>
      </c>
      <c r="BH222" s="80">
        <v>35</v>
      </c>
      <c r="BI222" s="80">
        <v>0</v>
      </c>
      <c r="BJ222" s="80">
        <v>35</v>
      </c>
      <c r="BK222" s="80">
        <v>-427</v>
      </c>
      <c r="BL222" s="80">
        <v>34450</v>
      </c>
      <c r="BM222" s="80">
        <v>33957</v>
      </c>
      <c r="BN222" s="80">
        <v>-920</v>
      </c>
      <c r="BO222" s="80">
        <v>-5237</v>
      </c>
      <c r="BP222" s="80">
        <v>2404</v>
      </c>
      <c r="BQ222" s="80">
        <v>162</v>
      </c>
      <c r="BR222" s="80">
        <v>-8</v>
      </c>
      <c r="BS222" s="80">
        <v>1907</v>
      </c>
      <c r="BT222" s="80">
        <v>343</v>
      </c>
      <c r="BU222" s="80">
        <v>1402</v>
      </c>
      <c r="BV222" s="80">
        <v>1661</v>
      </c>
      <c r="BW222" s="80">
        <v>259</v>
      </c>
      <c r="BX222" s="81"/>
      <c r="BY222" s="80">
        <v>223836</v>
      </c>
      <c r="BZ222" s="80">
        <v>268</v>
      </c>
      <c r="CA222" s="80">
        <v>218</v>
      </c>
      <c r="CB222" s="80">
        <v>50</v>
      </c>
      <c r="CC222" s="80">
        <v>0</v>
      </c>
      <c r="CD222" s="80">
        <v>153837</v>
      </c>
      <c r="CE222" s="80">
        <v>19905</v>
      </c>
      <c r="CF222" s="80">
        <v>83416</v>
      </c>
      <c r="CG222" s="80">
        <v>46476</v>
      </c>
      <c r="CH222" s="80">
        <v>1497</v>
      </c>
      <c r="CI222" s="80">
        <v>206</v>
      </c>
      <c r="CJ222" s="80">
        <v>206</v>
      </c>
      <c r="CK222" s="80">
        <v>2337</v>
      </c>
      <c r="CL222" s="80">
        <v>69731</v>
      </c>
      <c r="CM222" s="80">
        <v>68871</v>
      </c>
      <c r="CN222" s="80">
        <v>17891</v>
      </c>
      <c r="CO222" s="80">
        <v>50980</v>
      </c>
      <c r="CP222" s="80">
        <v>0</v>
      </c>
      <c r="CQ222" s="80">
        <v>0</v>
      </c>
      <c r="CR222" s="80">
        <v>0</v>
      </c>
      <c r="CS222" s="80">
        <v>0</v>
      </c>
      <c r="CT222" s="80">
        <v>0</v>
      </c>
      <c r="CU222" s="80">
        <v>860</v>
      </c>
      <c r="CV222" s="80">
        <v>459</v>
      </c>
      <c r="CW222" s="80">
        <v>1</v>
      </c>
      <c r="CX222" s="80">
        <v>458</v>
      </c>
      <c r="CY222" s="80">
        <v>0</v>
      </c>
      <c r="CZ222" s="80">
        <v>8724</v>
      </c>
      <c r="DA222" s="80">
        <v>409</v>
      </c>
      <c r="DB222" s="80">
        <v>409</v>
      </c>
      <c r="DC222" s="80">
        <v>0</v>
      </c>
      <c r="DD222" s="80">
        <v>0</v>
      </c>
      <c r="DE222" s="80">
        <v>0</v>
      </c>
      <c r="DF222" s="80">
        <v>0</v>
      </c>
      <c r="DG222" s="80">
        <v>6654</v>
      </c>
      <c r="DH222" s="80">
        <v>1979</v>
      </c>
      <c r="DI222" s="80">
        <v>0</v>
      </c>
      <c r="DJ222" s="80">
        <v>418</v>
      </c>
      <c r="DK222" s="80">
        <v>1561</v>
      </c>
      <c r="DL222" s="80">
        <v>0</v>
      </c>
      <c r="DM222" s="80">
        <v>4675</v>
      </c>
      <c r="DN222" s="80">
        <v>2687</v>
      </c>
      <c r="DO222" s="80">
        <v>0</v>
      </c>
      <c r="DP222" s="80">
        <v>1261</v>
      </c>
      <c r="DQ222" s="80">
        <v>727</v>
      </c>
      <c r="DR222" s="80">
        <v>0</v>
      </c>
      <c r="DS222" s="80">
        <v>0</v>
      </c>
      <c r="DT222" s="80">
        <v>0</v>
      </c>
      <c r="DU222" s="80">
        <v>0</v>
      </c>
      <c r="DV222" s="80">
        <v>0</v>
      </c>
      <c r="DW222" s="80">
        <v>1661</v>
      </c>
      <c r="DX222" s="80">
        <v>233019</v>
      </c>
      <c r="DY222" s="80">
        <v>86335</v>
      </c>
      <c r="DZ222" s="80">
        <v>67551</v>
      </c>
      <c r="EA222" s="80">
        <v>0</v>
      </c>
      <c r="EB222" s="80">
        <v>1915</v>
      </c>
      <c r="EC222" s="80">
        <v>14402</v>
      </c>
      <c r="ED222" s="80">
        <v>2467</v>
      </c>
      <c r="EE222" s="80">
        <v>1238</v>
      </c>
      <c r="EF222" s="80">
        <v>1238</v>
      </c>
      <c r="EG222" s="80">
        <v>0</v>
      </c>
      <c r="EH222" s="80">
        <v>5131</v>
      </c>
      <c r="EI222" s="80">
        <v>77</v>
      </c>
      <c r="EJ222" s="80">
        <v>5054</v>
      </c>
      <c r="EK222" s="80">
        <v>910</v>
      </c>
      <c r="EL222" s="80">
        <v>1</v>
      </c>
      <c r="EM222" s="80">
        <v>709</v>
      </c>
      <c r="EN222" s="80">
        <v>200</v>
      </c>
      <c r="EO222" s="80">
        <v>139405</v>
      </c>
      <c r="EP222" s="80">
        <v>89219</v>
      </c>
      <c r="EQ222" s="80">
        <v>0</v>
      </c>
      <c r="ER222" s="80">
        <v>85086</v>
      </c>
      <c r="ES222" s="80">
        <v>17688</v>
      </c>
      <c r="ET222" s="80">
        <v>67398</v>
      </c>
      <c r="EU222" s="80">
        <v>0</v>
      </c>
      <c r="EV222" s="80">
        <v>0</v>
      </c>
      <c r="EW222" s="80">
        <v>0</v>
      </c>
      <c r="EX222" s="80">
        <v>0</v>
      </c>
      <c r="EY222" s="80">
        <v>0</v>
      </c>
      <c r="EZ222" s="80">
        <v>0</v>
      </c>
      <c r="FA222" s="80">
        <v>4133</v>
      </c>
      <c r="FB222" s="80">
        <v>0</v>
      </c>
      <c r="FC222" s="80">
        <v>0</v>
      </c>
      <c r="FD222" s="80">
        <v>50186</v>
      </c>
      <c r="FE222" s="80">
        <v>0</v>
      </c>
      <c r="FF222" s="80">
        <v>31844</v>
      </c>
      <c r="FG222" s="80">
        <v>4625</v>
      </c>
      <c r="FH222" s="80">
        <v>27219</v>
      </c>
      <c r="FI222" s="80">
        <v>0</v>
      </c>
      <c r="FJ222" s="80">
        <v>0</v>
      </c>
      <c r="FK222" s="80">
        <v>1375</v>
      </c>
      <c r="FL222" s="80">
        <v>0</v>
      </c>
      <c r="FM222" s="80">
        <v>31</v>
      </c>
      <c r="FN222" s="80">
        <v>4968</v>
      </c>
      <c r="FO222" s="80">
        <v>1137</v>
      </c>
      <c r="FP222" s="80">
        <v>10831</v>
      </c>
      <c r="FQ222" s="80">
        <v>233019</v>
      </c>
      <c r="FR222" s="80">
        <v>45384</v>
      </c>
      <c r="FS222" s="80">
        <v>5286</v>
      </c>
      <c r="FT222" s="100">
        <v>100183.51625807735</v>
      </c>
      <c r="FU222" s="100"/>
      <c r="FV222" s="100">
        <v>48551</v>
      </c>
      <c r="FW222" s="67">
        <v>8483</v>
      </c>
      <c r="FX222" s="100">
        <f t="shared" si="20"/>
        <v>-82479</v>
      </c>
      <c r="FY222" s="100">
        <f t="shared" si="21"/>
        <v>-138238</v>
      </c>
      <c r="FZ222" s="100">
        <v>95956.466748661944</v>
      </c>
      <c r="GA222" s="67">
        <v>55759</v>
      </c>
      <c r="GB222" s="58">
        <f t="shared" si="18"/>
        <v>7208</v>
      </c>
      <c r="GC222" s="67">
        <v>8525</v>
      </c>
      <c r="GD222" s="100">
        <v>7326</v>
      </c>
      <c r="GE222" s="100">
        <v>3540</v>
      </c>
      <c r="GF222" s="58">
        <f t="shared" si="19"/>
        <v>3786</v>
      </c>
      <c r="GG222" s="100">
        <v>-62350.834000000003</v>
      </c>
      <c r="GH222" s="100">
        <v>-2329.9279000000006</v>
      </c>
      <c r="GI222" s="100">
        <v>-31422.322278105534</v>
      </c>
      <c r="GJ222" s="67">
        <f t="shared" si="22"/>
        <v>42</v>
      </c>
      <c r="GK222" s="67"/>
      <c r="GM222" s="96"/>
    </row>
    <row r="223" spans="1:195" ht="13.5" customHeight="1" x14ac:dyDescent="0.2">
      <c r="A223" s="74">
        <v>697</v>
      </c>
      <c r="B223" s="75" t="s">
        <v>153</v>
      </c>
      <c r="C223" s="75" t="s">
        <v>153</v>
      </c>
      <c r="D223" s="76"/>
      <c r="E223" s="77" t="s">
        <v>234</v>
      </c>
      <c r="F223" s="78">
        <v>1</v>
      </c>
      <c r="G223" s="79">
        <v>1351</v>
      </c>
      <c r="H223" s="80">
        <v>4356</v>
      </c>
      <c r="I223" s="80">
        <v>2915</v>
      </c>
      <c r="J223" s="80">
        <v>476</v>
      </c>
      <c r="K223" s="80">
        <v>86</v>
      </c>
      <c r="L223" s="80">
        <v>879</v>
      </c>
      <c r="M223" s="80">
        <v>0</v>
      </c>
      <c r="N223" s="80">
        <v>0</v>
      </c>
      <c r="O223" s="80">
        <v>14699</v>
      </c>
      <c r="P223" s="80">
        <v>4696</v>
      </c>
      <c r="Q223" s="80">
        <v>3298</v>
      </c>
      <c r="R223" s="80">
        <v>1398</v>
      </c>
      <c r="S223" s="80">
        <v>1184</v>
      </c>
      <c r="T223" s="80">
        <v>214</v>
      </c>
      <c r="U223" s="80">
        <v>8819</v>
      </c>
      <c r="V223" s="80">
        <v>573</v>
      </c>
      <c r="W223" s="80">
        <v>331</v>
      </c>
      <c r="X223" s="80">
        <v>280</v>
      </c>
      <c r="Y223" s="80">
        <v>-10343</v>
      </c>
      <c r="Z223" s="80">
        <v>5134</v>
      </c>
      <c r="AA223" s="80">
        <v>3895</v>
      </c>
      <c r="AB223" s="80">
        <v>468</v>
      </c>
      <c r="AC223" s="80">
        <v>771</v>
      </c>
      <c r="AD223" s="80">
        <v>5791</v>
      </c>
      <c r="AE223" s="80">
        <v>-34</v>
      </c>
      <c r="AF223" s="80">
        <v>10</v>
      </c>
      <c r="AG223" s="80">
        <v>9</v>
      </c>
      <c r="AH223" s="80">
        <v>2</v>
      </c>
      <c r="AI223" s="80">
        <v>43</v>
      </c>
      <c r="AJ223" s="80">
        <v>10</v>
      </c>
      <c r="AK223" s="80">
        <v>548</v>
      </c>
      <c r="AL223" s="80">
        <v>559</v>
      </c>
      <c r="AM223" s="80">
        <v>559</v>
      </c>
      <c r="AN223" s="80">
        <v>0</v>
      </c>
      <c r="AO223" s="80">
        <v>0</v>
      </c>
      <c r="AP223" s="80">
        <v>0</v>
      </c>
      <c r="AQ223" s="80">
        <v>0</v>
      </c>
      <c r="AR223" s="80">
        <v>-11</v>
      </c>
      <c r="AS223" s="80">
        <v>129</v>
      </c>
      <c r="AT223" s="80">
        <v>0</v>
      </c>
      <c r="AU223" s="80">
        <v>0</v>
      </c>
      <c r="AV223" s="80">
        <v>118</v>
      </c>
      <c r="AW223" s="81"/>
      <c r="AX223" s="80">
        <v>379</v>
      </c>
      <c r="AY223" s="80">
        <v>548</v>
      </c>
      <c r="AZ223" s="80">
        <v>0</v>
      </c>
      <c r="BA223" s="80">
        <v>-169</v>
      </c>
      <c r="BB223" s="80">
        <v>-3</v>
      </c>
      <c r="BC223" s="80">
        <v>568</v>
      </c>
      <c r="BD223" s="80">
        <v>60</v>
      </c>
      <c r="BE223" s="80">
        <v>505</v>
      </c>
      <c r="BF223" s="80">
        <v>376</v>
      </c>
      <c r="BG223" s="80">
        <v>-697</v>
      </c>
      <c r="BH223" s="80">
        <v>-1004</v>
      </c>
      <c r="BI223" s="80">
        <v>1039</v>
      </c>
      <c r="BJ223" s="80">
        <v>35</v>
      </c>
      <c r="BK223" s="80">
        <v>281</v>
      </c>
      <c r="BL223" s="80">
        <v>890</v>
      </c>
      <c r="BM223" s="80">
        <v>409</v>
      </c>
      <c r="BN223" s="80">
        <v>-200</v>
      </c>
      <c r="BO223" s="80">
        <v>0</v>
      </c>
      <c r="BP223" s="80">
        <v>26</v>
      </c>
      <c r="BQ223" s="80">
        <v>0</v>
      </c>
      <c r="BR223" s="80">
        <v>6</v>
      </c>
      <c r="BS223" s="80">
        <v>232</v>
      </c>
      <c r="BT223" s="80">
        <v>-212</v>
      </c>
      <c r="BU223" s="80">
        <v>-321</v>
      </c>
      <c r="BV223" s="80">
        <v>897</v>
      </c>
      <c r="BW223" s="80">
        <v>1218</v>
      </c>
      <c r="BX223" s="81"/>
      <c r="BY223" s="80">
        <v>11524</v>
      </c>
      <c r="BZ223" s="80">
        <v>0</v>
      </c>
      <c r="CA223" s="80">
        <v>0</v>
      </c>
      <c r="CB223" s="80">
        <v>0</v>
      </c>
      <c r="CC223" s="80">
        <v>0</v>
      </c>
      <c r="CD223" s="80">
        <v>8047</v>
      </c>
      <c r="CE223" s="80">
        <v>1125</v>
      </c>
      <c r="CF223" s="80">
        <v>5572</v>
      </c>
      <c r="CG223" s="80">
        <v>1228</v>
      </c>
      <c r="CH223" s="80">
        <v>98</v>
      </c>
      <c r="CI223" s="80">
        <v>0</v>
      </c>
      <c r="CJ223" s="80">
        <v>0</v>
      </c>
      <c r="CK223" s="80">
        <v>24</v>
      </c>
      <c r="CL223" s="80">
        <v>3477</v>
      </c>
      <c r="CM223" s="80">
        <v>2094</v>
      </c>
      <c r="CN223" s="80">
        <v>347</v>
      </c>
      <c r="CO223" s="80">
        <v>1747</v>
      </c>
      <c r="CP223" s="80">
        <v>0</v>
      </c>
      <c r="CQ223" s="80">
        <v>1323</v>
      </c>
      <c r="CR223" s="80">
        <v>0</v>
      </c>
      <c r="CS223" s="80">
        <v>0</v>
      </c>
      <c r="CT223" s="80">
        <v>1323</v>
      </c>
      <c r="CU223" s="80">
        <v>60</v>
      </c>
      <c r="CV223" s="80">
        <v>0</v>
      </c>
      <c r="CW223" s="80">
        <v>0</v>
      </c>
      <c r="CX223" s="80">
        <v>0</v>
      </c>
      <c r="CY223" s="80">
        <v>0</v>
      </c>
      <c r="CZ223" s="80">
        <v>1438</v>
      </c>
      <c r="DA223" s="80">
        <v>6</v>
      </c>
      <c r="DB223" s="80">
        <v>0</v>
      </c>
      <c r="DC223" s="80">
        <v>0</v>
      </c>
      <c r="DD223" s="80">
        <v>6</v>
      </c>
      <c r="DE223" s="80">
        <v>0</v>
      </c>
      <c r="DF223" s="80">
        <v>0</v>
      </c>
      <c r="DG223" s="80">
        <v>535</v>
      </c>
      <c r="DH223" s="80">
        <v>3</v>
      </c>
      <c r="DI223" s="80">
        <v>0</v>
      </c>
      <c r="DJ223" s="80">
        <v>3</v>
      </c>
      <c r="DK223" s="80">
        <v>0</v>
      </c>
      <c r="DL223" s="80">
        <v>0</v>
      </c>
      <c r="DM223" s="80">
        <v>532</v>
      </c>
      <c r="DN223" s="80">
        <v>360</v>
      </c>
      <c r="DO223" s="80">
        <v>1</v>
      </c>
      <c r="DP223" s="80">
        <v>94</v>
      </c>
      <c r="DQ223" s="80">
        <v>77</v>
      </c>
      <c r="DR223" s="80">
        <v>647</v>
      </c>
      <c r="DS223" s="80">
        <v>1</v>
      </c>
      <c r="DT223" s="80">
        <v>646</v>
      </c>
      <c r="DU223" s="80">
        <v>0</v>
      </c>
      <c r="DV223" s="80">
        <v>0</v>
      </c>
      <c r="DW223" s="80">
        <v>250</v>
      </c>
      <c r="DX223" s="80">
        <v>12962</v>
      </c>
      <c r="DY223" s="80">
        <v>5339</v>
      </c>
      <c r="DZ223" s="80">
        <v>3400</v>
      </c>
      <c r="EA223" s="80">
        <v>0</v>
      </c>
      <c r="EB223" s="80">
        <v>0</v>
      </c>
      <c r="EC223" s="80">
        <v>1821</v>
      </c>
      <c r="ED223" s="80">
        <v>118</v>
      </c>
      <c r="EE223" s="80">
        <v>1211</v>
      </c>
      <c r="EF223" s="80">
        <v>669</v>
      </c>
      <c r="EG223" s="80">
        <v>542</v>
      </c>
      <c r="EH223" s="80">
        <v>0</v>
      </c>
      <c r="EI223" s="80">
        <v>0</v>
      </c>
      <c r="EJ223" s="80">
        <v>0</v>
      </c>
      <c r="EK223" s="80">
        <v>8</v>
      </c>
      <c r="EL223" s="80">
        <v>0</v>
      </c>
      <c r="EM223" s="80">
        <v>8</v>
      </c>
      <c r="EN223" s="80">
        <v>0</v>
      </c>
      <c r="EO223" s="80">
        <v>6404</v>
      </c>
      <c r="EP223" s="80">
        <v>3588</v>
      </c>
      <c r="EQ223" s="80">
        <v>0</v>
      </c>
      <c r="ER223" s="80">
        <v>2972</v>
      </c>
      <c r="ES223" s="80">
        <v>0</v>
      </c>
      <c r="ET223" s="80">
        <v>2972</v>
      </c>
      <c r="EU223" s="80">
        <v>0</v>
      </c>
      <c r="EV223" s="80">
        <v>0</v>
      </c>
      <c r="EW223" s="80">
        <v>0</v>
      </c>
      <c r="EX223" s="80">
        <v>616</v>
      </c>
      <c r="EY223" s="80">
        <v>0</v>
      </c>
      <c r="EZ223" s="80">
        <v>0</v>
      </c>
      <c r="FA223" s="80">
        <v>0</v>
      </c>
      <c r="FB223" s="80">
        <v>0</v>
      </c>
      <c r="FC223" s="80">
        <v>0</v>
      </c>
      <c r="FD223" s="80">
        <v>2816</v>
      </c>
      <c r="FE223" s="80">
        <v>0</v>
      </c>
      <c r="FF223" s="80">
        <v>1672</v>
      </c>
      <c r="FG223" s="80">
        <v>0</v>
      </c>
      <c r="FH223" s="80">
        <v>472</v>
      </c>
      <c r="FI223" s="80">
        <v>1200</v>
      </c>
      <c r="FJ223" s="80">
        <v>0</v>
      </c>
      <c r="FK223" s="80">
        <v>0</v>
      </c>
      <c r="FL223" s="80">
        <v>0</v>
      </c>
      <c r="FM223" s="80">
        <v>0</v>
      </c>
      <c r="FN223" s="80">
        <v>288</v>
      </c>
      <c r="FO223" s="80">
        <v>81</v>
      </c>
      <c r="FP223" s="80">
        <v>775</v>
      </c>
      <c r="FQ223" s="80">
        <v>12962</v>
      </c>
      <c r="FR223" s="80">
        <v>1348</v>
      </c>
      <c r="FS223" s="80">
        <v>528</v>
      </c>
      <c r="FT223" s="100">
        <v>8291.209147080117</v>
      </c>
      <c r="FU223" s="100"/>
      <c r="FV223" s="100">
        <v>4993</v>
      </c>
      <c r="FW223" s="67">
        <v>559</v>
      </c>
      <c r="FX223" s="100">
        <f t="shared" si="20"/>
        <v>-4788</v>
      </c>
      <c r="FY223" s="100">
        <f t="shared" si="21"/>
        <v>-9784</v>
      </c>
      <c r="FZ223" s="100">
        <v>7039.1733478679034</v>
      </c>
      <c r="GA223" s="67">
        <v>4996</v>
      </c>
      <c r="GB223" s="58">
        <f t="shared" si="18"/>
        <v>3</v>
      </c>
      <c r="GC223" s="67">
        <v>559</v>
      </c>
      <c r="GD223" s="100">
        <v>476</v>
      </c>
      <c r="GE223" s="100">
        <v>476</v>
      </c>
      <c r="GF223" s="58">
        <f t="shared" si="19"/>
        <v>0</v>
      </c>
      <c r="GG223" s="100">
        <v>-2069.7959999999998</v>
      </c>
      <c r="GH223" s="100">
        <v>-142.07860000000011</v>
      </c>
      <c r="GI223" s="100">
        <v>-5225.0675574100906</v>
      </c>
      <c r="GJ223" s="67">
        <f t="shared" si="22"/>
        <v>0</v>
      </c>
      <c r="GK223" s="67"/>
      <c r="GM223" s="96"/>
    </row>
    <row r="224" spans="1:195" ht="13.5" customHeight="1" x14ac:dyDescent="0.2">
      <c r="A224" s="74">
        <v>698</v>
      </c>
      <c r="B224" s="75" t="s">
        <v>154</v>
      </c>
      <c r="C224" s="75" t="s">
        <v>154</v>
      </c>
      <c r="D224" s="76"/>
      <c r="E224" s="77" t="s">
        <v>222</v>
      </c>
      <c r="F224" s="78">
        <v>6</v>
      </c>
      <c r="G224" s="79">
        <v>61838</v>
      </c>
      <c r="H224" s="80">
        <v>62560</v>
      </c>
      <c r="I224" s="80">
        <v>18619</v>
      </c>
      <c r="J224" s="80">
        <v>17210</v>
      </c>
      <c r="K224" s="80">
        <v>9931</v>
      </c>
      <c r="L224" s="80">
        <v>16800</v>
      </c>
      <c r="M224" s="80">
        <v>0</v>
      </c>
      <c r="N224" s="80">
        <v>6006</v>
      </c>
      <c r="O224" s="80">
        <v>406350</v>
      </c>
      <c r="P224" s="80">
        <v>154966</v>
      </c>
      <c r="Q224" s="80">
        <v>117225</v>
      </c>
      <c r="R224" s="80">
        <v>37741</v>
      </c>
      <c r="S224" s="80">
        <v>30637</v>
      </c>
      <c r="T224" s="80">
        <v>7104</v>
      </c>
      <c r="U224" s="80">
        <v>181360</v>
      </c>
      <c r="V224" s="80">
        <v>21706</v>
      </c>
      <c r="W224" s="80">
        <v>36105</v>
      </c>
      <c r="X224" s="80">
        <v>12213</v>
      </c>
      <c r="Y224" s="80">
        <v>-337784</v>
      </c>
      <c r="Z224" s="80">
        <v>241383</v>
      </c>
      <c r="AA224" s="80">
        <v>205699</v>
      </c>
      <c r="AB224" s="80">
        <v>10765</v>
      </c>
      <c r="AC224" s="80">
        <v>24919</v>
      </c>
      <c r="AD224" s="80">
        <v>91108</v>
      </c>
      <c r="AE224" s="80">
        <v>8102</v>
      </c>
      <c r="AF224" s="80">
        <v>5125</v>
      </c>
      <c r="AG224" s="80">
        <v>4907</v>
      </c>
      <c r="AH224" s="80">
        <v>3990</v>
      </c>
      <c r="AI224" s="80">
        <v>1861</v>
      </c>
      <c r="AJ224" s="80">
        <v>69</v>
      </c>
      <c r="AK224" s="80">
        <v>2809</v>
      </c>
      <c r="AL224" s="80">
        <v>20152</v>
      </c>
      <c r="AM224" s="80">
        <v>20152</v>
      </c>
      <c r="AN224" s="80">
        <v>0</v>
      </c>
      <c r="AO224" s="80">
        <v>50456</v>
      </c>
      <c r="AP224" s="80">
        <v>50456</v>
      </c>
      <c r="AQ224" s="80">
        <v>0</v>
      </c>
      <c r="AR224" s="80">
        <v>33113</v>
      </c>
      <c r="AS224" s="80">
        <v>-3399</v>
      </c>
      <c r="AT224" s="80">
        <v>4500</v>
      </c>
      <c r="AU224" s="80">
        <v>-6373</v>
      </c>
      <c r="AV224" s="80">
        <v>27841</v>
      </c>
      <c r="AW224" s="81"/>
      <c r="AX224" s="80">
        <v>520</v>
      </c>
      <c r="AY224" s="80">
        <v>2809</v>
      </c>
      <c r="AZ224" s="80">
        <v>50456</v>
      </c>
      <c r="BA224" s="80">
        <v>-52745</v>
      </c>
      <c r="BB224" s="80">
        <v>56017</v>
      </c>
      <c r="BC224" s="80">
        <v>52328</v>
      </c>
      <c r="BD224" s="80">
        <v>2086</v>
      </c>
      <c r="BE224" s="80">
        <v>106259</v>
      </c>
      <c r="BF224" s="80">
        <v>56537</v>
      </c>
      <c r="BG224" s="80">
        <v>-57145</v>
      </c>
      <c r="BH224" s="80">
        <v>-69956</v>
      </c>
      <c r="BI224" s="80">
        <v>70051</v>
      </c>
      <c r="BJ224" s="80">
        <v>95</v>
      </c>
      <c r="BK224" s="80">
        <v>15989</v>
      </c>
      <c r="BL224" s="80">
        <v>29390</v>
      </c>
      <c r="BM224" s="80">
        <v>23401</v>
      </c>
      <c r="BN224" s="80">
        <v>10000</v>
      </c>
      <c r="BO224" s="80">
        <v>0</v>
      </c>
      <c r="BP224" s="80">
        <v>-3178</v>
      </c>
      <c r="BQ224" s="80">
        <v>52</v>
      </c>
      <c r="BR224" s="80">
        <v>307</v>
      </c>
      <c r="BS224" s="80">
        <v>2505</v>
      </c>
      <c r="BT224" s="80">
        <v>-6042</v>
      </c>
      <c r="BU224" s="80">
        <v>-609</v>
      </c>
      <c r="BV224" s="80">
        <v>14545</v>
      </c>
      <c r="BW224" s="80">
        <v>15154</v>
      </c>
      <c r="BX224" s="81"/>
      <c r="BY224" s="80">
        <v>426606</v>
      </c>
      <c r="BZ224" s="80">
        <v>805</v>
      </c>
      <c r="CA224" s="80">
        <v>11</v>
      </c>
      <c r="CB224" s="80">
        <v>794</v>
      </c>
      <c r="CC224" s="80">
        <v>0</v>
      </c>
      <c r="CD224" s="80">
        <v>203105</v>
      </c>
      <c r="CE224" s="80">
        <v>53724</v>
      </c>
      <c r="CF224" s="80">
        <v>64197</v>
      </c>
      <c r="CG224" s="80">
        <v>53429</v>
      </c>
      <c r="CH224" s="80">
        <v>382</v>
      </c>
      <c r="CI224" s="80">
        <v>1058</v>
      </c>
      <c r="CJ224" s="80">
        <v>1058</v>
      </c>
      <c r="CK224" s="80">
        <v>30315</v>
      </c>
      <c r="CL224" s="80">
        <v>222696</v>
      </c>
      <c r="CM224" s="80">
        <v>91640</v>
      </c>
      <c r="CN224" s="80">
        <v>16796</v>
      </c>
      <c r="CO224" s="80">
        <v>74844</v>
      </c>
      <c r="CP224" s="80">
        <v>0</v>
      </c>
      <c r="CQ224" s="80">
        <v>131056</v>
      </c>
      <c r="CR224" s="80">
        <v>0</v>
      </c>
      <c r="CS224" s="80">
        <v>630</v>
      </c>
      <c r="CT224" s="80">
        <v>130426</v>
      </c>
      <c r="CU224" s="80">
        <v>0</v>
      </c>
      <c r="CV224" s="80">
        <v>223</v>
      </c>
      <c r="CW224" s="80">
        <v>0</v>
      </c>
      <c r="CX224" s="80">
        <v>223</v>
      </c>
      <c r="CY224" s="80">
        <v>0</v>
      </c>
      <c r="CZ224" s="80">
        <v>33610</v>
      </c>
      <c r="DA224" s="80">
        <v>83</v>
      </c>
      <c r="DB224" s="80">
        <v>83</v>
      </c>
      <c r="DC224" s="80">
        <v>0</v>
      </c>
      <c r="DD224" s="80">
        <v>0</v>
      </c>
      <c r="DE224" s="80">
        <v>0</v>
      </c>
      <c r="DF224" s="80">
        <v>0</v>
      </c>
      <c r="DG224" s="80">
        <v>18982</v>
      </c>
      <c r="DH224" s="80">
        <v>1643</v>
      </c>
      <c r="DI224" s="80">
        <v>0</v>
      </c>
      <c r="DJ224" s="80">
        <v>0</v>
      </c>
      <c r="DK224" s="80">
        <v>1643</v>
      </c>
      <c r="DL224" s="80">
        <v>0</v>
      </c>
      <c r="DM224" s="80">
        <v>17339</v>
      </c>
      <c r="DN224" s="80">
        <v>4292</v>
      </c>
      <c r="DO224" s="80">
        <v>2000</v>
      </c>
      <c r="DP224" s="80">
        <v>7358</v>
      </c>
      <c r="DQ224" s="80">
        <v>3689</v>
      </c>
      <c r="DR224" s="80">
        <v>9054</v>
      </c>
      <c r="DS224" s="80">
        <v>9054</v>
      </c>
      <c r="DT224" s="80">
        <v>0</v>
      </c>
      <c r="DU224" s="80">
        <v>0</v>
      </c>
      <c r="DV224" s="80">
        <v>0</v>
      </c>
      <c r="DW224" s="80">
        <v>5491</v>
      </c>
      <c r="DX224" s="80">
        <v>460439</v>
      </c>
      <c r="DY224" s="80">
        <v>270781</v>
      </c>
      <c r="DZ224" s="80">
        <v>196243</v>
      </c>
      <c r="EA224" s="80">
        <v>0</v>
      </c>
      <c r="EB224" s="80">
        <v>9009</v>
      </c>
      <c r="EC224" s="80">
        <v>37688</v>
      </c>
      <c r="ED224" s="80">
        <v>27841</v>
      </c>
      <c r="EE224" s="80">
        <v>4935</v>
      </c>
      <c r="EF224" s="80">
        <v>4767</v>
      </c>
      <c r="EG224" s="80">
        <v>168</v>
      </c>
      <c r="EH224" s="80">
        <v>567</v>
      </c>
      <c r="EI224" s="80">
        <v>567</v>
      </c>
      <c r="EJ224" s="80">
        <v>0</v>
      </c>
      <c r="EK224" s="80">
        <v>803</v>
      </c>
      <c r="EL224" s="80">
        <v>145</v>
      </c>
      <c r="EM224" s="80">
        <v>223</v>
      </c>
      <c r="EN224" s="80">
        <v>435</v>
      </c>
      <c r="EO224" s="80">
        <v>183353</v>
      </c>
      <c r="EP224" s="80">
        <v>106881</v>
      </c>
      <c r="EQ224" s="80">
        <v>0</v>
      </c>
      <c r="ER224" s="80">
        <v>69407</v>
      </c>
      <c r="ES224" s="80">
        <v>5289</v>
      </c>
      <c r="ET224" s="80">
        <v>64118</v>
      </c>
      <c r="EU224" s="80">
        <v>0</v>
      </c>
      <c r="EV224" s="80">
        <v>0</v>
      </c>
      <c r="EW224" s="80">
        <v>4322</v>
      </c>
      <c r="EX224" s="80">
        <v>19783</v>
      </c>
      <c r="EY224" s="80">
        <v>0</v>
      </c>
      <c r="EZ224" s="80">
        <v>0</v>
      </c>
      <c r="FA224" s="80">
        <v>13369</v>
      </c>
      <c r="FB224" s="80">
        <v>0</v>
      </c>
      <c r="FC224" s="80">
        <v>0</v>
      </c>
      <c r="FD224" s="80">
        <v>76472</v>
      </c>
      <c r="FE224" s="80">
        <v>0</v>
      </c>
      <c r="FF224" s="80">
        <v>22625</v>
      </c>
      <c r="FG224" s="80">
        <v>10000</v>
      </c>
      <c r="FH224" s="80">
        <v>6000</v>
      </c>
      <c r="FI224" s="80">
        <v>6625</v>
      </c>
      <c r="FJ224" s="80">
        <v>0</v>
      </c>
      <c r="FK224" s="80">
        <v>681</v>
      </c>
      <c r="FL224" s="80">
        <v>1554</v>
      </c>
      <c r="FM224" s="80">
        <v>17</v>
      </c>
      <c r="FN224" s="80">
        <v>16390</v>
      </c>
      <c r="FO224" s="80">
        <v>9616</v>
      </c>
      <c r="FP224" s="80">
        <v>25589</v>
      </c>
      <c r="FQ224" s="80">
        <v>460439</v>
      </c>
      <c r="FR224" s="80">
        <v>59296</v>
      </c>
      <c r="FS224" s="80">
        <v>17392</v>
      </c>
      <c r="FT224" s="100">
        <v>220215.4671554763</v>
      </c>
      <c r="FU224" s="100"/>
      <c r="FV224" s="100">
        <v>82147</v>
      </c>
      <c r="FW224" s="67">
        <v>20126</v>
      </c>
      <c r="FX224" s="100">
        <f t="shared" si="20"/>
        <v>-206796</v>
      </c>
      <c r="FY224" s="100">
        <f t="shared" si="21"/>
        <v>-317632</v>
      </c>
      <c r="FZ224" s="100">
        <v>206162.33725842083</v>
      </c>
      <c r="GA224" s="67">
        <v>110836</v>
      </c>
      <c r="GB224" s="58">
        <f t="shared" si="18"/>
        <v>28689</v>
      </c>
      <c r="GC224" s="67">
        <v>20152</v>
      </c>
      <c r="GD224" s="100">
        <v>17210</v>
      </c>
      <c r="GE224" s="100">
        <v>7807</v>
      </c>
      <c r="GF224" s="58">
        <f t="shared" si="19"/>
        <v>9403</v>
      </c>
      <c r="GG224" s="100">
        <v>-117092.47200000001</v>
      </c>
      <c r="GH224" s="100">
        <v>-3306.3562000000011</v>
      </c>
      <c r="GI224" s="100">
        <v>-85578.154596258537</v>
      </c>
      <c r="GJ224" s="67">
        <f t="shared" si="22"/>
        <v>26</v>
      </c>
      <c r="GK224" s="67"/>
      <c r="GM224" s="96"/>
    </row>
    <row r="225" spans="1:195" ht="13.5" customHeight="1" x14ac:dyDescent="0.2">
      <c r="A225" s="74">
        <v>700</v>
      </c>
      <c r="B225" s="75" t="s">
        <v>155</v>
      </c>
      <c r="C225" s="75" t="s">
        <v>155</v>
      </c>
      <c r="D225" s="76"/>
      <c r="E225" s="77" t="s">
        <v>243</v>
      </c>
      <c r="F225" s="78">
        <v>3</v>
      </c>
      <c r="G225" s="79">
        <v>5312</v>
      </c>
      <c r="H225" s="80">
        <v>4995</v>
      </c>
      <c r="I225" s="80">
        <v>2718</v>
      </c>
      <c r="J225" s="80">
        <v>450</v>
      </c>
      <c r="K225" s="80">
        <v>137</v>
      </c>
      <c r="L225" s="80">
        <v>1690</v>
      </c>
      <c r="M225" s="80">
        <v>0</v>
      </c>
      <c r="N225" s="80">
        <v>0</v>
      </c>
      <c r="O225" s="80">
        <v>36297</v>
      </c>
      <c r="P225" s="80">
        <v>8016</v>
      </c>
      <c r="Q225" s="80">
        <v>6137</v>
      </c>
      <c r="R225" s="80">
        <v>1879</v>
      </c>
      <c r="S225" s="80">
        <v>1578</v>
      </c>
      <c r="T225" s="80">
        <v>301</v>
      </c>
      <c r="U225" s="80">
        <v>25030</v>
      </c>
      <c r="V225" s="80">
        <v>2038</v>
      </c>
      <c r="W225" s="80">
        <v>596</v>
      </c>
      <c r="X225" s="80">
        <v>617</v>
      </c>
      <c r="Y225" s="80">
        <v>-31302</v>
      </c>
      <c r="Z225" s="80">
        <v>21115</v>
      </c>
      <c r="AA225" s="80">
        <v>17558</v>
      </c>
      <c r="AB225" s="80">
        <v>1799</v>
      </c>
      <c r="AC225" s="80">
        <v>1758</v>
      </c>
      <c r="AD225" s="80">
        <v>11410</v>
      </c>
      <c r="AE225" s="80">
        <v>-75</v>
      </c>
      <c r="AF225" s="80">
        <v>3</v>
      </c>
      <c r="AG225" s="80">
        <v>9</v>
      </c>
      <c r="AH225" s="80">
        <v>0</v>
      </c>
      <c r="AI225" s="80">
        <v>84</v>
      </c>
      <c r="AJ225" s="80">
        <v>3</v>
      </c>
      <c r="AK225" s="80">
        <v>1148</v>
      </c>
      <c r="AL225" s="80">
        <v>2842</v>
      </c>
      <c r="AM225" s="80">
        <v>2842</v>
      </c>
      <c r="AN225" s="80">
        <v>0</v>
      </c>
      <c r="AO225" s="80">
        <v>0</v>
      </c>
      <c r="AP225" s="80">
        <v>0</v>
      </c>
      <c r="AQ225" s="80">
        <v>0</v>
      </c>
      <c r="AR225" s="80">
        <v>-1694</v>
      </c>
      <c r="AS225" s="80">
        <v>-591</v>
      </c>
      <c r="AT225" s="80">
        <v>700</v>
      </c>
      <c r="AU225" s="80">
        <v>0</v>
      </c>
      <c r="AV225" s="80">
        <v>-1585</v>
      </c>
      <c r="AW225" s="81"/>
      <c r="AX225" s="80">
        <v>1147</v>
      </c>
      <c r="AY225" s="80">
        <v>1148</v>
      </c>
      <c r="AZ225" s="80">
        <v>0</v>
      </c>
      <c r="BA225" s="80">
        <v>-1</v>
      </c>
      <c r="BB225" s="80">
        <v>-2012</v>
      </c>
      <c r="BC225" s="80">
        <v>2073</v>
      </c>
      <c r="BD225" s="80">
        <v>60</v>
      </c>
      <c r="BE225" s="80">
        <v>1</v>
      </c>
      <c r="BF225" s="80">
        <v>-865</v>
      </c>
      <c r="BG225" s="80">
        <v>-2</v>
      </c>
      <c r="BH225" s="80">
        <v>0</v>
      </c>
      <c r="BI225" s="80">
        <v>0</v>
      </c>
      <c r="BJ225" s="80">
        <v>0</v>
      </c>
      <c r="BK225" s="80">
        <v>-528</v>
      </c>
      <c r="BL225" s="80">
        <v>0</v>
      </c>
      <c r="BM225" s="80">
        <v>528</v>
      </c>
      <c r="BN225" s="80">
        <v>0</v>
      </c>
      <c r="BO225" s="80">
        <v>0</v>
      </c>
      <c r="BP225" s="80">
        <v>526</v>
      </c>
      <c r="BQ225" s="80">
        <v>0</v>
      </c>
      <c r="BR225" s="80">
        <v>0</v>
      </c>
      <c r="BS225" s="80">
        <v>818</v>
      </c>
      <c r="BT225" s="80">
        <v>-292</v>
      </c>
      <c r="BU225" s="80">
        <v>-867</v>
      </c>
      <c r="BV225" s="80">
        <v>1293</v>
      </c>
      <c r="BW225" s="80">
        <v>2160</v>
      </c>
      <c r="BX225" s="81"/>
      <c r="BY225" s="80">
        <v>28056</v>
      </c>
      <c r="BZ225" s="80">
        <v>60</v>
      </c>
      <c r="CA225" s="80">
        <v>0</v>
      </c>
      <c r="CB225" s="80">
        <v>60</v>
      </c>
      <c r="CC225" s="80">
        <v>0</v>
      </c>
      <c r="CD225" s="80">
        <v>24240</v>
      </c>
      <c r="CE225" s="80">
        <v>4060</v>
      </c>
      <c r="CF225" s="80">
        <v>15862</v>
      </c>
      <c r="CG225" s="80">
        <v>4182</v>
      </c>
      <c r="CH225" s="80">
        <v>76</v>
      </c>
      <c r="CI225" s="80">
        <v>0</v>
      </c>
      <c r="CJ225" s="80">
        <v>0</v>
      </c>
      <c r="CK225" s="80">
        <v>60</v>
      </c>
      <c r="CL225" s="80">
        <v>3756</v>
      </c>
      <c r="CM225" s="80">
        <v>3711</v>
      </c>
      <c r="CN225" s="80">
        <v>1245</v>
      </c>
      <c r="CO225" s="80">
        <v>2466</v>
      </c>
      <c r="CP225" s="80">
        <v>0</v>
      </c>
      <c r="CQ225" s="80">
        <v>45</v>
      </c>
      <c r="CR225" s="80">
        <v>0</v>
      </c>
      <c r="CS225" s="80">
        <v>0</v>
      </c>
      <c r="CT225" s="80">
        <v>45</v>
      </c>
      <c r="CU225" s="80">
        <v>0</v>
      </c>
      <c r="CV225" s="80">
        <v>0</v>
      </c>
      <c r="CW225" s="80">
        <v>0</v>
      </c>
      <c r="CX225" s="80">
        <v>0</v>
      </c>
      <c r="CY225" s="80">
        <v>0</v>
      </c>
      <c r="CZ225" s="80">
        <v>2481</v>
      </c>
      <c r="DA225" s="80">
        <v>0</v>
      </c>
      <c r="DB225" s="80">
        <v>0</v>
      </c>
      <c r="DC225" s="80">
        <v>0</v>
      </c>
      <c r="DD225" s="80">
        <v>0</v>
      </c>
      <c r="DE225" s="80">
        <v>0</v>
      </c>
      <c r="DF225" s="80">
        <v>0</v>
      </c>
      <c r="DG225" s="80">
        <v>1188</v>
      </c>
      <c r="DH225" s="80">
        <v>69</v>
      </c>
      <c r="DI225" s="80">
        <v>0</v>
      </c>
      <c r="DJ225" s="80">
        <v>69</v>
      </c>
      <c r="DK225" s="80">
        <v>0</v>
      </c>
      <c r="DL225" s="80">
        <v>0</v>
      </c>
      <c r="DM225" s="80">
        <v>1119</v>
      </c>
      <c r="DN225" s="80">
        <v>764</v>
      </c>
      <c r="DO225" s="80">
        <v>0</v>
      </c>
      <c r="DP225" s="80">
        <v>138</v>
      </c>
      <c r="DQ225" s="80">
        <v>217</v>
      </c>
      <c r="DR225" s="80">
        <v>14</v>
      </c>
      <c r="DS225" s="80">
        <v>14</v>
      </c>
      <c r="DT225" s="80">
        <v>0</v>
      </c>
      <c r="DU225" s="80">
        <v>0</v>
      </c>
      <c r="DV225" s="80">
        <v>0</v>
      </c>
      <c r="DW225" s="80">
        <v>1279</v>
      </c>
      <c r="DX225" s="80">
        <v>30537</v>
      </c>
      <c r="DY225" s="80">
        <v>18261</v>
      </c>
      <c r="DZ225" s="80">
        <v>13144</v>
      </c>
      <c r="EA225" s="80">
        <v>0</v>
      </c>
      <c r="EB225" s="80">
        <v>0</v>
      </c>
      <c r="EC225" s="80">
        <v>6703</v>
      </c>
      <c r="ED225" s="80">
        <v>-1586</v>
      </c>
      <c r="EE225" s="80">
        <v>2953</v>
      </c>
      <c r="EF225" s="80">
        <v>2953</v>
      </c>
      <c r="EG225" s="80">
        <v>0</v>
      </c>
      <c r="EH225" s="80">
        <v>0</v>
      </c>
      <c r="EI225" s="80">
        <v>0</v>
      </c>
      <c r="EJ225" s="80">
        <v>0</v>
      </c>
      <c r="EK225" s="80">
        <v>12</v>
      </c>
      <c r="EL225" s="80">
        <v>0</v>
      </c>
      <c r="EM225" s="80">
        <v>7</v>
      </c>
      <c r="EN225" s="80">
        <v>5</v>
      </c>
      <c r="EO225" s="80">
        <v>9311</v>
      </c>
      <c r="EP225" s="80">
        <v>6765</v>
      </c>
      <c r="EQ225" s="80">
        <v>0</v>
      </c>
      <c r="ER225" s="80">
        <v>5632</v>
      </c>
      <c r="ES225" s="80">
        <v>3500</v>
      </c>
      <c r="ET225" s="80">
        <v>2132</v>
      </c>
      <c r="EU225" s="80">
        <v>0</v>
      </c>
      <c r="EV225" s="80">
        <v>0</v>
      </c>
      <c r="EW225" s="80">
        <v>0</v>
      </c>
      <c r="EX225" s="80">
        <v>0</v>
      </c>
      <c r="EY225" s="80">
        <v>0</v>
      </c>
      <c r="EZ225" s="80">
        <v>0</v>
      </c>
      <c r="FA225" s="80">
        <v>434</v>
      </c>
      <c r="FB225" s="80">
        <v>0</v>
      </c>
      <c r="FC225" s="80">
        <v>699</v>
      </c>
      <c r="FD225" s="80">
        <v>2546</v>
      </c>
      <c r="FE225" s="80">
        <v>0</v>
      </c>
      <c r="FF225" s="80">
        <v>528</v>
      </c>
      <c r="FG225" s="80">
        <v>370</v>
      </c>
      <c r="FH225" s="80">
        <v>158</v>
      </c>
      <c r="FI225" s="80">
        <v>0</v>
      </c>
      <c r="FJ225" s="80">
        <v>0</v>
      </c>
      <c r="FK225" s="80">
        <v>0</v>
      </c>
      <c r="FL225" s="80">
        <v>0</v>
      </c>
      <c r="FM225" s="80">
        <v>0</v>
      </c>
      <c r="FN225" s="80">
        <v>927</v>
      </c>
      <c r="FO225" s="80">
        <v>131</v>
      </c>
      <c r="FP225" s="80">
        <v>960</v>
      </c>
      <c r="FQ225" s="80">
        <v>30537</v>
      </c>
      <c r="FR225" s="80">
        <v>3909</v>
      </c>
      <c r="FS225" s="80">
        <v>341</v>
      </c>
      <c r="FT225" s="100">
        <v>20576.290446260937</v>
      </c>
      <c r="FU225" s="100"/>
      <c r="FV225" s="100">
        <v>9021</v>
      </c>
      <c r="FW225" s="67">
        <v>2842</v>
      </c>
      <c r="FX225" s="100">
        <f t="shared" si="20"/>
        <v>-19402</v>
      </c>
      <c r="FY225" s="100">
        <f t="shared" si="21"/>
        <v>-28460</v>
      </c>
      <c r="FZ225" s="100">
        <v>19802.463925428016</v>
      </c>
      <c r="GA225" s="67">
        <v>9058</v>
      </c>
      <c r="GB225" s="58">
        <f t="shared" si="18"/>
        <v>37</v>
      </c>
      <c r="GC225" s="67">
        <v>2842</v>
      </c>
      <c r="GD225" s="100">
        <v>449</v>
      </c>
      <c r="GE225" s="100">
        <v>449</v>
      </c>
      <c r="GF225" s="58">
        <f t="shared" si="19"/>
        <v>0</v>
      </c>
      <c r="GG225" s="100">
        <v>-10507.691000000001</v>
      </c>
      <c r="GH225" s="100">
        <v>-577.14545000000021</v>
      </c>
      <c r="GI225" s="100">
        <v>-9020.6700492846867</v>
      </c>
      <c r="GJ225" s="67">
        <f t="shared" si="22"/>
        <v>0</v>
      </c>
      <c r="GK225" s="67"/>
      <c r="GM225" s="96"/>
    </row>
    <row r="226" spans="1:195" ht="13.5" customHeight="1" x14ac:dyDescent="0.2">
      <c r="A226" s="74">
        <v>702</v>
      </c>
      <c r="B226" s="75" t="s">
        <v>156</v>
      </c>
      <c r="C226" s="75" t="s">
        <v>156</v>
      </c>
      <c r="D226" s="76"/>
      <c r="E226" s="77" t="s">
        <v>214</v>
      </c>
      <c r="F226" s="78">
        <v>2</v>
      </c>
      <c r="G226" s="79">
        <v>4623</v>
      </c>
      <c r="H226" s="80">
        <v>3806</v>
      </c>
      <c r="I226" s="80">
        <v>2078</v>
      </c>
      <c r="J226" s="80">
        <v>247</v>
      </c>
      <c r="K226" s="80">
        <v>470</v>
      </c>
      <c r="L226" s="80">
        <v>1011</v>
      </c>
      <c r="M226" s="80">
        <v>0</v>
      </c>
      <c r="N226" s="80">
        <v>0</v>
      </c>
      <c r="O226" s="80">
        <v>32441</v>
      </c>
      <c r="P226" s="80">
        <v>7799</v>
      </c>
      <c r="Q226" s="80">
        <v>5538</v>
      </c>
      <c r="R226" s="80">
        <v>2261</v>
      </c>
      <c r="S226" s="80">
        <v>1969</v>
      </c>
      <c r="T226" s="80">
        <v>292</v>
      </c>
      <c r="U226" s="80">
        <v>22707</v>
      </c>
      <c r="V226" s="80">
        <v>1306</v>
      </c>
      <c r="W226" s="80">
        <v>428</v>
      </c>
      <c r="X226" s="80">
        <v>201</v>
      </c>
      <c r="Y226" s="80">
        <v>-28635</v>
      </c>
      <c r="Z226" s="80">
        <v>16700</v>
      </c>
      <c r="AA226" s="80">
        <v>13686</v>
      </c>
      <c r="AB226" s="80">
        <v>1413</v>
      </c>
      <c r="AC226" s="80">
        <v>1601</v>
      </c>
      <c r="AD226" s="80">
        <v>14576</v>
      </c>
      <c r="AE226" s="80">
        <v>6</v>
      </c>
      <c r="AF226" s="80">
        <v>2</v>
      </c>
      <c r="AG226" s="80">
        <v>107</v>
      </c>
      <c r="AH226" s="80">
        <v>10</v>
      </c>
      <c r="AI226" s="80">
        <v>102</v>
      </c>
      <c r="AJ226" s="80">
        <v>1</v>
      </c>
      <c r="AK226" s="80">
        <v>2647</v>
      </c>
      <c r="AL226" s="80">
        <v>1257</v>
      </c>
      <c r="AM226" s="80">
        <v>1257</v>
      </c>
      <c r="AN226" s="80">
        <v>0</v>
      </c>
      <c r="AO226" s="80">
        <v>0</v>
      </c>
      <c r="AP226" s="80">
        <v>0</v>
      </c>
      <c r="AQ226" s="80">
        <v>0</v>
      </c>
      <c r="AR226" s="80">
        <v>1390</v>
      </c>
      <c r="AS226" s="80">
        <v>33</v>
      </c>
      <c r="AT226" s="80">
        <v>0</v>
      </c>
      <c r="AU226" s="80">
        <v>0</v>
      </c>
      <c r="AV226" s="80">
        <v>1423</v>
      </c>
      <c r="AW226" s="81"/>
      <c r="AX226" s="80">
        <v>2602</v>
      </c>
      <c r="AY226" s="80">
        <v>2647</v>
      </c>
      <c r="AZ226" s="80">
        <v>0</v>
      </c>
      <c r="BA226" s="80">
        <v>-45</v>
      </c>
      <c r="BB226" s="80">
        <v>-1246</v>
      </c>
      <c r="BC226" s="80">
        <v>1323</v>
      </c>
      <c r="BD226" s="80">
        <v>6</v>
      </c>
      <c r="BE226" s="80">
        <v>71</v>
      </c>
      <c r="BF226" s="80">
        <v>1356</v>
      </c>
      <c r="BG226" s="80">
        <v>-1418</v>
      </c>
      <c r="BH226" s="80">
        <v>27</v>
      </c>
      <c r="BI226" s="80">
        <v>0</v>
      </c>
      <c r="BJ226" s="80">
        <v>27</v>
      </c>
      <c r="BK226" s="80">
        <v>-1888</v>
      </c>
      <c r="BL226" s="80">
        <v>0</v>
      </c>
      <c r="BM226" s="80">
        <v>1506</v>
      </c>
      <c r="BN226" s="80">
        <v>-382</v>
      </c>
      <c r="BO226" s="80">
        <v>0</v>
      </c>
      <c r="BP226" s="80">
        <v>443</v>
      </c>
      <c r="BQ226" s="80">
        <v>2</v>
      </c>
      <c r="BR226" s="80">
        <v>1</v>
      </c>
      <c r="BS226" s="80">
        <v>51</v>
      </c>
      <c r="BT226" s="80">
        <v>389</v>
      </c>
      <c r="BU226" s="80">
        <v>-62</v>
      </c>
      <c r="BV226" s="80">
        <v>1050</v>
      </c>
      <c r="BW226" s="80">
        <v>1112</v>
      </c>
      <c r="BX226" s="81"/>
      <c r="BY226" s="80">
        <v>20870</v>
      </c>
      <c r="BZ226" s="80">
        <v>4</v>
      </c>
      <c r="CA226" s="80">
        <v>0</v>
      </c>
      <c r="CB226" s="80">
        <v>4</v>
      </c>
      <c r="CC226" s="80">
        <v>0</v>
      </c>
      <c r="CD226" s="80">
        <v>15868</v>
      </c>
      <c r="CE226" s="80">
        <v>4259</v>
      </c>
      <c r="CF226" s="80">
        <v>8158</v>
      </c>
      <c r="CG226" s="80">
        <v>3277</v>
      </c>
      <c r="CH226" s="80">
        <v>76</v>
      </c>
      <c r="CI226" s="80">
        <v>0</v>
      </c>
      <c r="CJ226" s="80">
        <v>0</v>
      </c>
      <c r="CK226" s="80">
        <v>98</v>
      </c>
      <c r="CL226" s="80">
        <v>4998</v>
      </c>
      <c r="CM226" s="80">
        <v>4476</v>
      </c>
      <c r="CN226" s="80">
        <v>1953</v>
      </c>
      <c r="CO226" s="80">
        <v>2523</v>
      </c>
      <c r="CP226" s="80">
        <v>0</v>
      </c>
      <c r="CQ226" s="80">
        <v>450</v>
      </c>
      <c r="CR226" s="80">
        <v>0</v>
      </c>
      <c r="CS226" s="80">
        <v>0</v>
      </c>
      <c r="CT226" s="80">
        <v>450</v>
      </c>
      <c r="CU226" s="80">
        <v>72</v>
      </c>
      <c r="CV226" s="80">
        <v>111</v>
      </c>
      <c r="CW226" s="80">
        <v>0</v>
      </c>
      <c r="CX226" s="80">
        <v>111</v>
      </c>
      <c r="CY226" s="80">
        <v>0</v>
      </c>
      <c r="CZ226" s="80">
        <v>2039</v>
      </c>
      <c r="DA226" s="80">
        <v>55</v>
      </c>
      <c r="DB226" s="80">
        <v>0</v>
      </c>
      <c r="DC226" s="80">
        <v>0</v>
      </c>
      <c r="DD226" s="80">
        <v>15</v>
      </c>
      <c r="DE226" s="80">
        <v>40</v>
      </c>
      <c r="DF226" s="80">
        <v>0</v>
      </c>
      <c r="DG226" s="80">
        <v>934</v>
      </c>
      <c r="DH226" s="80">
        <v>0</v>
      </c>
      <c r="DI226" s="80">
        <v>0</v>
      </c>
      <c r="DJ226" s="80">
        <v>0</v>
      </c>
      <c r="DK226" s="80">
        <v>0</v>
      </c>
      <c r="DL226" s="80">
        <v>0</v>
      </c>
      <c r="DM226" s="80">
        <v>934</v>
      </c>
      <c r="DN226" s="80">
        <v>252</v>
      </c>
      <c r="DO226" s="80">
        <v>0</v>
      </c>
      <c r="DP226" s="80">
        <v>542</v>
      </c>
      <c r="DQ226" s="80">
        <v>140</v>
      </c>
      <c r="DR226" s="80">
        <v>0</v>
      </c>
      <c r="DS226" s="80">
        <v>0</v>
      </c>
      <c r="DT226" s="80">
        <v>0</v>
      </c>
      <c r="DU226" s="80">
        <v>0</v>
      </c>
      <c r="DV226" s="80">
        <v>0</v>
      </c>
      <c r="DW226" s="80">
        <v>1050</v>
      </c>
      <c r="DX226" s="80">
        <v>23020</v>
      </c>
      <c r="DY226" s="80">
        <v>10839</v>
      </c>
      <c r="DZ226" s="80">
        <v>10070</v>
      </c>
      <c r="EA226" s="80">
        <v>1502</v>
      </c>
      <c r="EB226" s="80">
        <v>0</v>
      </c>
      <c r="EC226" s="80">
        <v>-2156</v>
      </c>
      <c r="ED226" s="80">
        <v>1423</v>
      </c>
      <c r="EE226" s="80">
        <v>611</v>
      </c>
      <c r="EF226" s="80">
        <v>611</v>
      </c>
      <c r="EG226" s="80">
        <v>0</v>
      </c>
      <c r="EH226" s="80">
        <v>144</v>
      </c>
      <c r="EI226" s="80">
        <v>0</v>
      </c>
      <c r="EJ226" s="80">
        <v>144</v>
      </c>
      <c r="EK226" s="80">
        <v>190</v>
      </c>
      <c r="EL226" s="80">
        <v>0</v>
      </c>
      <c r="EM226" s="80">
        <v>190</v>
      </c>
      <c r="EN226" s="80">
        <v>0</v>
      </c>
      <c r="EO226" s="80">
        <v>11236</v>
      </c>
      <c r="EP226" s="80">
        <v>5890</v>
      </c>
      <c r="EQ226" s="80">
        <v>0</v>
      </c>
      <c r="ER226" s="80">
        <v>5882</v>
      </c>
      <c r="ES226" s="80">
        <v>5</v>
      </c>
      <c r="ET226" s="80">
        <v>5877</v>
      </c>
      <c r="EU226" s="80">
        <v>0</v>
      </c>
      <c r="EV226" s="80">
        <v>0</v>
      </c>
      <c r="EW226" s="80">
        <v>0</v>
      </c>
      <c r="EX226" s="80">
        <v>0</v>
      </c>
      <c r="EY226" s="80">
        <v>0</v>
      </c>
      <c r="EZ226" s="80">
        <v>0</v>
      </c>
      <c r="FA226" s="80">
        <v>8</v>
      </c>
      <c r="FB226" s="80">
        <v>0</v>
      </c>
      <c r="FC226" s="80">
        <v>0</v>
      </c>
      <c r="FD226" s="80">
        <v>5346</v>
      </c>
      <c r="FE226" s="80">
        <v>0</v>
      </c>
      <c r="FF226" s="80">
        <v>2389</v>
      </c>
      <c r="FG226" s="80">
        <v>155</v>
      </c>
      <c r="FH226" s="80">
        <v>2234</v>
      </c>
      <c r="FI226" s="80">
        <v>0</v>
      </c>
      <c r="FJ226" s="80">
        <v>0</v>
      </c>
      <c r="FK226" s="80">
        <v>0</v>
      </c>
      <c r="FL226" s="80">
        <v>736</v>
      </c>
      <c r="FM226" s="80">
        <v>41</v>
      </c>
      <c r="FN226" s="80">
        <v>1113</v>
      </c>
      <c r="FO226" s="80">
        <v>194</v>
      </c>
      <c r="FP226" s="80">
        <v>873</v>
      </c>
      <c r="FQ226" s="80">
        <v>23020</v>
      </c>
      <c r="FR226" s="80">
        <v>673</v>
      </c>
      <c r="FS226" s="80">
        <v>2444</v>
      </c>
      <c r="FT226" s="100">
        <v>14191.12440331562</v>
      </c>
      <c r="FU226" s="100"/>
      <c r="FV226" s="100">
        <v>6401</v>
      </c>
      <c r="FW226" s="67">
        <v>1253</v>
      </c>
      <c r="FX226" s="100">
        <f t="shared" si="20"/>
        <v>-20877</v>
      </c>
      <c r="FY226" s="100">
        <f t="shared" si="21"/>
        <v>-27378</v>
      </c>
      <c r="FZ226" s="100">
        <v>20500.586105898215</v>
      </c>
      <c r="GA226" s="67">
        <v>6501</v>
      </c>
      <c r="GB226" s="58">
        <f t="shared" si="18"/>
        <v>100</v>
      </c>
      <c r="GC226" s="67">
        <v>1257</v>
      </c>
      <c r="GD226" s="100">
        <v>248</v>
      </c>
      <c r="GE226" s="100">
        <v>248</v>
      </c>
      <c r="GF226" s="58">
        <f t="shared" si="19"/>
        <v>0</v>
      </c>
      <c r="GG226" s="100">
        <v>-7433.5910000000003</v>
      </c>
      <c r="GH226" s="100">
        <v>-477.66300000000024</v>
      </c>
      <c r="GI226" s="100">
        <v>-12851.430943530409</v>
      </c>
      <c r="GJ226" s="67">
        <f t="shared" si="22"/>
        <v>4</v>
      </c>
      <c r="GK226" s="67"/>
      <c r="GM226" s="96"/>
    </row>
    <row r="227" spans="1:195" ht="13.5" customHeight="1" x14ac:dyDescent="0.2">
      <c r="A227" s="74">
        <v>704</v>
      </c>
      <c r="B227" s="75" t="s">
        <v>157</v>
      </c>
      <c r="C227" s="75" t="s">
        <v>157</v>
      </c>
      <c r="D227" s="76"/>
      <c r="E227" s="77" t="s">
        <v>219</v>
      </c>
      <c r="F227" s="78">
        <v>3</v>
      </c>
      <c r="G227" s="79">
        <v>6110</v>
      </c>
      <c r="H227" s="80">
        <v>4200</v>
      </c>
      <c r="I227" s="80">
        <v>1734</v>
      </c>
      <c r="J227" s="80">
        <v>878</v>
      </c>
      <c r="K227" s="80">
        <v>232</v>
      </c>
      <c r="L227" s="80">
        <v>1356</v>
      </c>
      <c r="M227" s="80">
        <v>0</v>
      </c>
      <c r="N227" s="80">
        <v>0</v>
      </c>
      <c r="O227" s="80">
        <v>30506</v>
      </c>
      <c r="P227" s="80">
        <v>9234</v>
      </c>
      <c r="Q227" s="80">
        <v>7081</v>
      </c>
      <c r="R227" s="80">
        <v>2153</v>
      </c>
      <c r="S227" s="80">
        <v>1763</v>
      </c>
      <c r="T227" s="80">
        <v>390</v>
      </c>
      <c r="U227" s="80">
        <v>18859</v>
      </c>
      <c r="V227" s="80">
        <v>1435</v>
      </c>
      <c r="W227" s="80">
        <v>630</v>
      </c>
      <c r="X227" s="80">
        <v>348</v>
      </c>
      <c r="Y227" s="80">
        <v>-26306</v>
      </c>
      <c r="Z227" s="80">
        <v>22045</v>
      </c>
      <c r="AA227" s="80">
        <v>20120</v>
      </c>
      <c r="AB227" s="80">
        <v>873</v>
      </c>
      <c r="AC227" s="80">
        <v>1052</v>
      </c>
      <c r="AD227" s="80">
        <v>5139</v>
      </c>
      <c r="AE227" s="80">
        <v>-25</v>
      </c>
      <c r="AF227" s="80">
        <v>3</v>
      </c>
      <c r="AG227" s="80">
        <v>28</v>
      </c>
      <c r="AH227" s="80">
        <v>5</v>
      </c>
      <c r="AI227" s="80">
        <v>55</v>
      </c>
      <c r="AJ227" s="80">
        <v>1</v>
      </c>
      <c r="AK227" s="80">
        <v>853</v>
      </c>
      <c r="AL227" s="80">
        <v>1557</v>
      </c>
      <c r="AM227" s="80">
        <v>1557</v>
      </c>
      <c r="AN227" s="80">
        <v>0</v>
      </c>
      <c r="AO227" s="80">
        <v>0</v>
      </c>
      <c r="AP227" s="80">
        <v>0</v>
      </c>
      <c r="AQ227" s="80">
        <v>0</v>
      </c>
      <c r="AR227" s="80">
        <v>-704</v>
      </c>
      <c r="AS227" s="80">
        <v>19</v>
      </c>
      <c r="AT227" s="80">
        <v>0</v>
      </c>
      <c r="AU227" s="80">
        <v>0</v>
      </c>
      <c r="AV227" s="80">
        <v>-685</v>
      </c>
      <c r="AW227" s="81"/>
      <c r="AX227" s="80">
        <v>544</v>
      </c>
      <c r="AY227" s="80">
        <v>853</v>
      </c>
      <c r="AZ227" s="80">
        <v>0</v>
      </c>
      <c r="BA227" s="80">
        <v>-309</v>
      </c>
      <c r="BB227" s="80">
        <v>-637</v>
      </c>
      <c r="BC227" s="80">
        <v>1171</v>
      </c>
      <c r="BD227" s="80">
        <v>100</v>
      </c>
      <c r="BE227" s="80">
        <v>434</v>
      </c>
      <c r="BF227" s="80">
        <v>-93</v>
      </c>
      <c r="BG227" s="80">
        <v>226</v>
      </c>
      <c r="BH227" s="80">
        <v>0</v>
      </c>
      <c r="BI227" s="80">
        <v>0</v>
      </c>
      <c r="BJ227" s="80">
        <v>0</v>
      </c>
      <c r="BK227" s="80">
        <v>-94</v>
      </c>
      <c r="BL227" s="80">
        <v>500</v>
      </c>
      <c r="BM227" s="80">
        <v>594</v>
      </c>
      <c r="BN227" s="80">
        <v>0</v>
      </c>
      <c r="BO227" s="80">
        <v>0</v>
      </c>
      <c r="BP227" s="80">
        <v>320</v>
      </c>
      <c r="BQ227" s="80">
        <v>0</v>
      </c>
      <c r="BR227" s="80">
        <v>0</v>
      </c>
      <c r="BS227" s="80">
        <v>514</v>
      </c>
      <c r="BT227" s="80">
        <v>-194</v>
      </c>
      <c r="BU227" s="80">
        <v>133</v>
      </c>
      <c r="BV227" s="80">
        <v>1994</v>
      </c>
      <c r="BW227" s="80">
        <v>1861</v>
      </c>
      <c r="BX227" s="81"/>
      <c r="BY227" s="80">
        <v>37713</v>
      </c>
      <c r="BZ227" s="80">
        <v>436</v>
      </c>
      <c r="CA227" s="80">
        <v>3</v>
      </c>
      <c r="CB227" s="80">
        <v>433</v>
      </c>
      <c r="CC227" s="80">
        <v>0</v>
      </c>
      <c r="CD227" s="80">
        <v>34002</v>
      </c>
      <c r="CE227" s="80">
        <v>6116</v>
      </c>
      <c r="CF227" s="80">
        <v>14731</v>
      </c>
      <c r="CG227" s="80">
        <v>12918</v>
      </c>
      <c r="CH227" s="80">
        <v>140</v>
      </c>
      <c r="CI227" s="80">
        <v>0</v>
      </c>
      <c r="CJ227" s="80">
        <v>0</v>
      </c>
      <c r="CK227" s="80">
        <v>97</v>
      </c>
      <c r="CL227" s="80">
        <v>3275</v>
      </c>
      <c r="CM227" s="80">
        <v>3188</v>
      </c>
      <c r="CN227" s="80">
        <v>2480</v>
      </c>
      <c r="CO227" s="80">
        <v>708</v>
      </c>
      <c r="CP227" s="80">
        <v>0</v>
      </c>
      <c r="CQ227" s="80">
        <v>87</v>
      </c>
      <c r="CR227" s="80">
        <v>0</v>
      </c>
      <c r="CS227" s="80">
        <v>0</v>
      </c>
      <c r="CT227" s="80">
        <v>87</v>
      </c>
      <c r="CU227" s="80">
        <v>0</v>
      </c>
      <c r="CV227" s="80">
        <v>61</v>
      </c>
      <c r="CW227" s="80">
        <v>0</v>
      </c>
      <c r="CX227" s="80">
        <v>61</v>
      </c>
      <c r="CY227" s="80">
        <v>0</v>
      </c>
      <c r="CZ227" s="80">
        <v>3916</v>
      </c>
      <c r="DA227" s="80">
        <v>0</v>
      </c>
      <c r="DB227" s="80">
        <v>0</v>
      </c>
      <c r="DC227" s="80">
        <v>0</v>
      </c>
      <c r="DD227" s="80">
        <v>0</v>
      </c>
      <c r="DE227" s="80">
        <v>0</v>
      </c>
      <c r="DF227" s="80">
        <v>0</v>
      </c>
      <c r="DG227" s="80">
        <v>1922</v>
      </c>
      <c r="DH227" s="80">
        <v>731</v>
      </c>
      <c r="DI227" s="80">
        <v>0</v>
      </c>
      <c r="DJ227" s="80">
        <v>0</v>
      </c>
      <c r="DK227" s="80">
        <v>731</v>
      </c>
      <c r="DL227" s="80">
        <v>0</v>
      </c>
      <c r="DM227" s="80">
        <v>1191</v>
      </c>
      <c r="DN227" s="80">
        <v>727</v>
      </c>
      <c r="DO227" s="80">
        <v>0</v>
      </c>
      <c r="DP227" s="80">
        <v>135</v>
      </c>
      <c r="DQ227" s="80">
        <v>329</v>
      </c>
      <c r="DR227" s="80">
        <v>0</v>
      </c>
      <c r="DS227" s="80">
        <v>0</v>
      </c>
      <c r="DT227" s="80">
        <v>0</v>
      </c>
      <c r="DU227" s="80">
        <v>0</v>
      </c>
      <c r="DV227" s="80">
        <v>0</v>
      </c>
      <c r="DW227" s="80">
        <v>1994</v>
      </c>
      <c r="DX227" s="80">
        <v>41690</v>
      </c>
      <c r="DY227" s="80">
        <v>27212</v>
      </c>
      <c r="DZ227" s="80">
        <v>17824</v>
      </c>
      <c r="EA227" s="80">
        <v>229</v>
      </c>
      <c r="EB227" s="80">
        <v>0</v>
      </c>
      <c r="EC227" s="80">
        <v>9844</v>
      </c>
      <c r="ED227" s="80">
        <v>-685</v>
      </c>
      <c r="EE227" s="80">
        <v>474</v>
      </c>
      <c r="EF227" s="80">
        <v>474</v>
      </c>
      <c r="EG227" s="80">
        <v>0</v>
      </c>
      <c r="EH227" s="80">
        <v>0</v>
      </c>
      <c r="EI227" s="80">
        <v>0</v>
      </c>
      <c r="EJ227" s="80">
        <v>0</v>
      </c>
      <c r="EK227" s="80">
        <v>61</v>
      </c>
      <c r="EL227" s="80">
        <v>0</v>
      </c>
      <c r="EM227" s="80">
        <v>61</v>
      </c>
      <c r="EN227" s="80">
        <v>0</v>
      </c>
      <c r="EO227" s="80">
        <v>13943</v>
      </c>
      <c r="EP227" s="80">
        <v>6346</v>
      </c>
      <c r="EQ227" s="80">
        <v>0</v>
      </c>
      <c r="ER227" s="80">
        <v>4382</v>
      </c>
      <c r="ES227" s="80">
        <v>1687</v>
      </c>
      <c r="ET227" s="80">
        <v>2695</v>
      </c>
      <c r="EU227" s="80">
        <v>0</v>
      </c>
      <c r="EV227" s="80">
        <v>0</v>
      </c>
      <c r="EW227" s="80">
        <v>0</v>
      </c>
      <c r="EX227" s="80">
        <v>0</v>
      </c>
      <c r="EY227" s="80">
        <v>0</v>
      </c>
      <c r="EZ227" s="80">
        <v>0</v>
      </c>
      <c r="FA227" s="80">
        <v>1964</v>
      </c>
      <c r="FB227" s="80">
        <v>0</v>
      </c>
      <c r="FC227" s="80">
        <v>0</v>
      </c>
      <c r="FD227" s="80">
        <v>7597</v>
      </c>
      <c r="FE227" s="80">
        <v>0</v>
      </c>
      <c r="FF227" s="80">
        <v>5619</v>
      </c>
      <c r="FG227" s="80">
        <v>219</v>
      </c>
      <c r="FH227" s="80">
        <v>5400</v>
      </c>
      <c r="FI227" s="80">
        <v>0</v>
      </c>
      <c r="FJ227" s="80">
        <v>0</v>
      </c>
      <c r="FK227" s="80">
        <v>0</v>
      </c>
      <c r="FL227" s="80">
        <v>0</v>
      </c>
      <c r="FM227" s="80">
        <v>0</v>
      </c>
      <c r="FN227" s="80">
        <v>544</v>
      </c>
      <c r="FO227" s="80">
        <v>304</v>
      </c>
      <c r="FP227" s="80">
        <v>1130</v>
      </c>
      <c r="FQ227" s="80">
        <v>41690</v>
      </c>
      <c r="FR227" s="80">
        <v>33</v>
      </c>
      <c r="FS227" s="80">
        <v>830</v>
      </c>
      <c r="FT227" s="100">
        <v>19480.441238000829</v>
      </c>
      <c r="FU227" s="100"/>
      <c r="FV227" s="100">
        <v>8292</v>
      </c>
      <c r="FW227" s="67">
        <v>1557</v>
      </c>
      <c r="FX227" s="100">
        <f t="shared" si="20"/>
        <v>-16410</v>
      </c>
      <c r="FY227" s="100">
        <f t="shared" si="21"/>
        <v>-24749</v>
      </c>
      <c r="FZ227" s="100">
        <v>15602.628346111689</v>
      </c>
      <c r="GA227" s="67">
        <v>8339</v>
      </c>
      <c r="GB227" s="58">
        <f t="shared" si="18"/>
        <v>47</v>
      </c>
      <c r="GC227" s="67">
        <v>1557</v>
      </c>
      <c r="GD227" s="100">
        <v>877</v>
      </c>
      <c r="GE227" s="100">
        <v>877</v>
      </c>
      <c r="GF227" s="58">
        <f t="shared" si="19"/>
        <v>0</v>
      </c>
      <c r="GG227" s="100">
        <v>-12388.642999999998</v>
      </c>
      <c r="GH227" s="100">
        <v>-320.29225000000014</v>
      </c>
      <c r="GI227" s="100">
        <v>-2683.2376932038374</v>
      </c>
      <c r="GJ227" s="67">
        <f t="shared" si="22"/>
        <v>0</v>
      </c>
      <c r="GK227" s="67"/>
      <c r="GM227" s="96"/>
    </row>
    <row r="228" spans="1:195" ht="13.5" customHeight="1" x14ac:dyDescent="0.2">
      <c r="A228" s="74">
        <v>707</v>
      </c>
      <c r="B228" s="75" t="s">
        <v>158</v>
      </c>
      <c r="C228" s="75" t="s">
        <v>158</v>
      </c>
      <c r="D228" s="76"/>
      <c r="E228" s="77" t="s">
        <v>242</v>
      </c>
      <c r="F228" s="78">
        <v>2</v>
      </c>
      <c r="G228" s="79">
        <v>2349</v>
      </c>
      <c r="H228" s="80">
        <v>2844</v>
      </c>
      <c r="I228" s="80">
        <v>1405</v>
      </c>
      <c r="J228" s="80">
        <v>687</v>
      </c>
      <c r="K228" s="80">
        <v>291</v>
      </c>
      <c r="L228" s="80">
        <v>461</v>
      </c>
      <c r="M228" s="80">
        <v>0</v>
      </c>
      <c r="N228" s="80">
        <v>0</v>
      </c>
      <c r="O228" s="80">
        <v>18511</v>
      </c>
      <c r="P228" s="80">
        <v>4348</v>
      </c>
      <c r="Q228" s="80">
        <v>3028</v>
      </c>
      <c r="R228" s="80">
        <v>1320</v>
      </c>
      <c r="S228" s="80">
        <v>1215</v>
      </c>
      <c r="T228" s="80">
        <v>105</v>
      </c>
      <c r="U228" s="80">
        <v>12773</v>
      </c>
      <c r="V228" s="80">
        <v>786</v>
      </c>
      <c r="W228" s="80">
        <v>466</v>
      </c>
      <c r="X228" s="80">
        <v>138</v>
      </c>
      <c r="Y228" s="80">
        <v>-15667</v>
      </c>
      <c r="Z228" s="80">
        <v>6513</v>
      </c>
      <c r="AA228" s="80">
        <v>5418</v>
      </c>
      <c r="AB228" s="80">
        <v>475</v>
      </c>
      <c r="AC228" s="80">
        <v>620</v>
      </c>
      <c r="AD228" s="80">
        <v>9264</v>
      </c>
      <c r="AE228" s="80">
        <v>168</v>
      </c>
      <c r="AF228" s="80">
        <v>4</v>
      </c>
      <c r="AG228" s="80">
        <v>207</v>
      </c>
      <c r="AH228" s="80">
        <v>169</v>
      </c>
      <c r="AI228" s="80">
        <v>38</v>
      </c>
      <c r="AJ228" s="80">
        <v>5</v>
      </c>
      <c r="AK228" s="80">
        <v>278</v>
      </c>
      <c r="AL228" s="80">
        <v>517</v>
      </c>
      <c r="AM228" s="80">
        <v>517</v>
      </c>
      <c r="AN228" s="80">
        <v>0</v>
      </c>
      <c r="AO228" s="80">
        <v>3490</v>
      </c>
      <c r="AP228" s="80">
        <v>3490</v>
      </c>
      <c r="AQ228" s="80">
        <v>0</v>
      </c>
      <c r="AR228" s="80">
        <v>3251</v>
      </c>
      <c r="AS228" s="80">
        <v>0</v>
      </c>
      <c r="AT228" s="80">
        <v>0</v>
      </c>
      <c r="AU228" s="80">
        <v>0</v>
      </c>
      <c r="AV228" s="80">
        <v>3251</v>
      </c>
      <c r="AW228" s="81"/>
      <c r="AX228" s="80">
        <v>278</v>
      </c>
      <c r="AY228" s="80">
        <v>278</v>
      </c>
      <c r="AZ228" s="80">
        <v>3490</v>
      </c>
      <c r="BA228" s="80">
        <v>-3490</v>
      </c>
      <c r="BB228" s="80">
        <v>3190</v>
      </c>
      <c r="BC228" s="80">
        <v>310</v>
      </c>
      <c r="BD228" s="80">
        <v>0</v>
      </c>
      <c r="BE228" s="80">
        <v>3500</v>
      </c>
      <c r="BF228" s="80">
        <v>3468</v>
      </c>
      <c r="BG228" s="80">
        <v>-2819</v>
      </c>
      <c r="BH228" s="80">
        <v>-3500</v>
      </c>
      <c r="BI228" s="80">
        <v>3500</v>
      </c>
      <c r="BJ228" s="80">
        <v>0</v>
      </c>
      <c r="BK228" s="80">
        <v>3540</v>
      </c>
      <c r="BL228" s="80">
        <v>4000</v>
      </c>
      <c r="BM228" s="80">
        <v>460</v>
      </c>
      <c r="BN228" s="80">
        <v>0</v>
      </c>
      <c r="BO228" s="80">
        <v>0</v>
      </c>
      <c r="BP228" s="80">
        <v>-2859</v>
      </c>
      <c r="BQ228" s="80">
        <v>0</v>
      </c>
      <c r="BR228" s="80">
        <v>0</v>
      </c>
      <c r="BS228" s="80">
        <v>67</v>
      </c>
      <c r="BT228" s="80">
        <v>-2926</v>
      </c>
      <c r="BU228" s="80">
        <v>649</v>
      </c>
      <c r="BV228" s="80">
        <v>1546</v>
      </c>
      <c r="BW228" s="80">
        <v>897</v>
      </c>
      <c r="BX228" s="81"/>
      <c r="BY228" s="80">
        <v>12092</v>
      </c>
      <c r="BZ228" s="80">
        <v>291</v>
      </c>
      <c r="CA228" s="80">
        <v>0</v>
      </c>
      <c r="CB228" s="80">
        <v>291</v>
      </c>
      <c r="CC228" s="80">
        <v>0</v>
      </c>
      <c r="CD228" s="80">
        <v>6261</v>
      </c>
      <c r="CE228" s="80">
        <v>567</v>
      </c>
      <c r="CF228" s="80">
        <v>4235</v>
      </c>
      <c r="CG228" s="80">
        <v>1293</v>
      </c>
      <c r="CH228" s="80">
        <v>44</v>
      </c>
      <c r="CI228" s="80">
        <v>0</v>
      </c>
      <c r="CJ228" s="80">
        <v>0</v>
      </c>
      <c r="CK228" s="80">
        <v>122</v>
      </c>
      <c r="CL228" s="80">
        <v>5540</v>
      </c>
      <c r="CM228" s="80">
        <v>1947</v>
      </c>
      <c r="CN228" s="80">
        <v>864</v>
      </c>
      <c r="CO228" s="80">
        <v>1083</v>
      </c>
      <c r="CP228" s="80">
        <v>0</v>
      </c>
      <c r="CQ228" s="80">
        <v>3500</v>
      </c>
      <c r="CR228" s="80">
        <v>0</v>
      </c>
      <c r="CS228" s="80">
        <v>0</v>
      </c>
      <c r="CT228" s="80">
        <v>3500</v>
      </c>
      <c r="CU228" s="80">
        <v>93</v>
      </c>
      <c r="CV228" s="80">
        <v>6</v>
      </c>
      <c r="CW228" s="80">
        <v>6</v>
      </c>
      <c r="CX228" s="80">
        <v>0</v>
      </c>
      <c r="CY228" s="80">
        <v>0</v>
      </c>
      <c r="CZ228" s="80">
        <v>2604</v>
      </c>
      <c r="DA228" s="80">
        <v>0</v>
      </c>
      <c r="DB228" s="80">
        <v>0</v>
      </c>
      <c r="DC228" s="80">
        <v>0</v>
      </c>
      <c r="DD228" s="80">
        <v>0</v>
      </c>
      <c r="DE228" s="80">
        <v>0</v>
      </c>
      <c r="DF228" s="80">
        <v>0</v>
      </c>
      <c r="DG228" s="80">
        <v>1058</v>
      </c>
      <c r="DH228" s="80">
        <v>265</v>
      </c>
      <c r="DI228" s="80">
        <v>0</v>
      </c>
      <c r="DJ228" s="80">
        <v>260</v>
      </c>
      <c r="DK228" s="80">
        <v>5</v>
      </c>
      <c r="DL228" s="80">
        <v>0</v>
      </c>
      <c r="DM228" s="80">
        <v>793</v>
      </c>
      <c r="DN228" s="80">
        <v>381</v>
      </c>
      <c r="DO228" s="80">
        <v>0</v>
      </c>
      <c r="DP228" s="80">
        <v>133</v>
      </c>
      <c r="DQ228" s="80">
        <v>279</v>
      </c>
      <c r="DR228" s="80">
        <v>0</v>
      </c>
      <c r="DS228" s="80">
        <v>0</v>
      </c>
      <c r="DT228" s="80">
        <v>0</v>
      </c>
      <c r="DU228" s="80">
        <v>0</v>
      </c>
      <c r="DV228" s="80">
        <v>0</v>
      </c>
      <c r="DW228" s="80">
        <v>1546</v>
      </c>
      <c r="DX228" s="80">
        <v>14702</v>
      </c>
      <c r="DY228" s="80">
        <v>7210</v>
      </c>
      <c r="DZ228" s="80">
        <v>6591</v>
      </c>
      <c r="EA228" s="80">
        <v>0</v>
      </c>
      <c r="EB228" s="80">
        <v>0</v>
      </c>
      <c r="EC228" s="80">
        <v>-2632</v>
      </c>
      <c r="ED228" s="80">
        <v>3251</v>
      </c>
      <c r="EE228" s="80">
        <v>0</v>
      </c>
      <c r="EF228" s="80">
        <v>0</v>
      </c>
      <c r="EG228" s="80">
        <v>0</v>
      </c>
      <c r="EH228" s="80">
        <v>0</v>
      </c>
      <c r="EI228" s="80">
        <v>0</v>
      </c>
      <c r="EJ228" s="80">
        <v>0</v>
      </c>
      <c r="EK228" s="80">
        <v>33</v>
      </c>
      <c r="EL228" s="80">
        <v>6</v>
      </c>
      <c r="EM228" s="80">
        <v>0</v>
      </c>
      <c r="EN228" s="80">
        <v>27</v>
      </c>
      <c r="EO228" s="80">
        <v>7459</v>
      </c>
      <c r="EP228" s="80">
        <v>4650</v>
      </c>
      <c r="EQ228" s="80">
        <v>0</v>
      </c>
      <c r="ER228" s="80">
        <v>4599</v>
      </c>
      <c r="ES228" s="80">
        <v>65</v>
      </c>
      <c r="ET228" s="80">
        <v>4534</v>
      </c>
      <c r="EU228" s="80">
        <v>0</v>
      </c>
      <c r="EV228" s="80">
        <v>0</v>
      </c>
      <c r="EW228" s="80">
        <v>0</v>
      </c>
      <c r="EX228" s="80">
        <v>0</v>
      </c>
      <c r="EY228" s="80">
        <v>0</v>
      </c>
      <c r="EZ228" s="80">
        <v>0</v>
      </c>
      <c r="FA228" s="80">
        <v>51</v>
      </c>
      <c r="FB228" s="80">
        <v>0</v>
      </c>
      <c r="FC228" s="80">
        <v>0</v>
      </c>
      <c r="FD228" s="80">
        <v>2809</v>
      </c>
      <c r="FE228" s="80">
        <v>0</v>
      </c>
      <c r="FF228" s="80">
        <v>449</v>
      </c>
      <c r="FG228" s="80">
        <v>86</v>
      </c>
      <c r="FH228" s="80">
        <v>363</v>
      </c>
      <c r="FI228" s="80">
        <v>0</v>
      </c>
      <c r="FJ228" s="80">
        <v>0</v>
      </c>
      <c r="FK228" s="80">
        <v>0</v>
      </c>
      <c r="FL228" s="80">
        <v>0</v>
      </c>
      <c r="FM228" s="80">
        <v>0</v>
      </c>
      <c r="FN228" s="80">
        <v>1572</v>
      </c>
      <c r="FO228" s="80">
        <v>78</v>
      </c>
      <c r="FP228" s="80">
        <v>710</v>
      </c>
      <c r="FQ228" s="80">
        <v>14702</v>
      </c>
      <c r="FR228" s="80">
        <v>429</v>
      </c>
      <c r="FS228" s="80">
        <v>3788</v>
      </c>
      <c r="FT228" s="100">
        <v>7157.4297074803226</v>
      </c>
      <c r="FU228" s="100"/>
      <c r="FV228" s="100">
        <v>2549</v>
      </c>
      <c r="FW228" s="67">
        <v>516</v>
      </c>
      <c r="FX228" s="100">
        <f t="shared" si="20"/>
        <v>-11613</v>
      </c>
      <c r="FY228" s="100">
        <f t="shared" si="21"/>
        <v>-15150</v>
      </c>
      <c r="FZ228" s="100">
        <v>10662.471717458902</v>
      </c>
      <c r="GA228" s="67">
        <v>3537</v>
      </c>
      <c r="GB228" s="58">
        <f t="shared" si="18"/>
        <v>988</v>
      </c>
      <c r="GC228" s="67">
        <v>517</v>
      </c>
      <c r="GD228" s="100">
        <v>687</v>
      </c>
      <c r="GE228" s="100">
        <v>115</v>
      </c>
      <c r="GF228" s="58">
        <f t="shared" si="19"/>
        <v>572</v>
      </c>
      <c r="GG228" s="100">
        <v>-2913.7179999999998</v>
      </c>
      <c r="GH228" s="100">
        <v>-151.42115000000004</v>
      </c>
      <c r="GI228" s="100">
        <v>-7970.7632607869728</v>
      </c>
      <c r="GJ228" s="67">
        <f t="shared" si="22"/>
        <v>1</v>
      </c>
      <c r="GK228" s="67"/>
      <c r="GM228" s="96"/>
    </row>
    <row r="229" spans="1:195" ht="13.5" customHeight="1" x14ac:dyDescent="0.2">
      <c r="A229" s="74">
        <v>202</v>
      </c>
      <c r="B229" s="75" t="s">
        <v>253</v>
      </c>
      <c r="C229" s="82" t="s">
        <v>253</v>
      </c>
      <c r="D229" s="76"/>
      <c r="E229" s="77" t="s">
        <v>219</v>
      </c>
      <c r="F229" s="78">
        <v>5</v>
      </c>
      <c r="G229" s="79">
        <v>32590</v>
      </c>
      <c r="H229" s="80">
        <v>32260</v>
      </c>
      <c r="I229" s="80">
        <v>14400</v>
      </c>
      <c r="J229" s="80">
        <v>9151</v>
      </c>
      <c r="K229" s="80">
        <v>2750</v>
      </c>
      <c r="L229" s="80">
        <v>5959</v>
      </c>
      <c r="M229" s="80">
        <v>0</v>
      </c>
      <c r="N229" s="80">
        <v>292</v>
      </c>
      <c r="O229" s="80">
        <v>184769</v>
      </c>
      <c r="P229" s="80">
        <v>77811</v>
      </c>
      <c r="Q229" s="80">
        <v>60271</v>
      </c>
      <c r="R229" s="80">
        <v>17540</v>
      </c>
      <c r="S229" s="80">
        <v>14279</v>
      </c>
      <c r="T229" s="80">
        <v>3261</v>
      </c>
      <c r="U229" s="80">
        <v>80757</v>
      </c>
      <c r="V229" s="80">
        <v>11793</v>
      </c>
      <c r="W229" s="80">
        <v>11606</v>
      </c>
      <c r="X229" s="80">
        <v>2802</v>
      </c>
      <c r="Y229" s="80">
        <v>-152217</v>
      </c>
      <c r="Z229" s="80">
        <v>129819</v>
      </c>
      <c r="AA229" s="80">
        <v>118694</v>
      </c>
      <c r="AB229" s="80">
        <v>4671</v>
      </c>
      <c r="AC229" s="80">
        <v>6454</v>
      </c>
      <c r="AD229" s="80">
        <v>28403</v>
      </c>
      <c r="AE229" s="80">
        <v>1127</v>
      </c>
      <c r="AF229" s="80">
        <v>818</v>
      </c>
      <c r="AG229" s="80">
        <v>406</v>
      </c>
      <c r="AH229" s="80">
        <v>308</v>
      </c>
      <c r="AI229" s="80">
        <v>75</v>
      </c>
      <c r="AJ229" s="80">
        <v>22</v>
      </c>
      <c r="AK229" s="80">
        <v>7132</v>
      </c>
      <c r="AL229" s="80">
        <v>7877</v>
      </c>
      <c r="AM229" s="80">
        <v>7877</v>
      </c>
      <c r="AN229" s="80">
        <v>0</v>
      </c>
      <c r="AO229" s="80">
        <v>0</v>
      </c>
      <c r="AP229" s="80">
        <v>0</v>
      </c>
      <c r="AQ229" s="80">
        <v>0</v>
      </c>
      <c r="AR229" s="80">
        <v>-745</v>
      </c>
      <c r="AS229" s="80">
        <v>17</v>
      </c>
      <c r="AT229" s="80">
        <v>0</v>
      </c>
      <c r="AU229" s="80">
        <v>0</v>
      </c>
      <c r="AV229" s="80">
        <v>-728</v>
      </c>
      <c r="AW229" s="81"/>
      <c r="AX229" s="80">
        <v>4567</v>
      </c>
      <c r="AY229" s="80">
        <v>7132</v>
      </c>
      <c r="AZ229" s="80">
        <v>0</v>
      </c>
      <c r="BA229" s="80">
        <v>-2565</v>
      </c>
      <c r="BB229" s="80">
        <v>-11434</v>
      </c>
      <c r="BC229" s="80">
        <v>14646</v>
      </c>
      <c r="BD229" s="80">
        <v>67</v>
      </c>
      <c r="BE229" s="80">
        <v>3145</v>
      </c>
      <c r="BF229" s="80">
        <v>-6867</v>
      </c>
      <c r="BG229" s="80">
        <v>6114</v>
      </c>
      <c r="BH229" s="80">
        <v>0</v>
      </c>
      <c r="BI229" s="80">
        <v>0</v>
      </c>
      <c r="BJ229" s="80">
        <v>0</v>
      </c>
      <c r="BK229" s="80">
        <v>7543</v>
      </c>
      <c r="BL229" s="80">
        <v>0</v>
      </c>
      <c r="BM229" s="80">
        <v>457</v>
      </c>
      <c r="BN229" s="80">
        <v>8000</v>
      </c>
      <c r="BO229" s="80">
        <v>0</v>
      </c>
      <c r="BP229" s="80">
        <v>-1429</v>
      </c>
      <c r="BQ229" s="80">
        <v>-48</v>
      </c>
      <c r="BR229" s="80">
        <v>-59</v>
      </c>
      <c r="BS229" s="80">
        <v>-1545</v>
      </c>
      <c r="BT229" s="80">
        <v>223</v>
      </c>
      <c r="BU229" s="80">
        <v>-754</v>
      </c>
      <c r="BV229" s="80">
        <v>11711</v>
      </c>
      <c r="BW229" s="80">
        <v>12465</v>
      </c>
      <c r="BX229" s="81"/>
      <c r="BY229" s="80">
        <v>178756</v>
      </c>
      <c r="BZ229" s="80">
        <v>577</v>
      </c>
      <c r="CA229" s="80">
        <v>351</v>
      </c>
      <c r="CB229" s="80">
        <v>226</v>
      </c>
      <c r="CC229" s="80">
        <v>0</v>
      </c>
      <c r="CD229" s="80">
        <v>149109</v>
      </c>
      <c r="CE229" s="80">
        <v>26132</v>
      </c>
      <c r="CF229" s="80">
        <v>56976</v>
      </c>
      <c r="CG229" s="80">
        <v>64576</v>
      </c>
      <c r="CH229" s="80">
        <v>966</v>
      </c>
      <c r="CI229" s="80">
        <v>60</v>
      </c>
      <c r="CJ229" s="80">
        <v>60</v>
      </c>
      <c r="CK229" s="80">
        <v>399</v>
      </c>
      <c r="CL229" s="80">
        <v>29070</v>
      </c>
      <c r="CM229" s="80">
        <v>26779</v>
      </c>
      <c r="CN229" s="80">
        <v>10107</v>
      </c>
      <c r="CO229" s="80">
        <v>16672</v>
      </c>
      <c r="CP229" s="80">
        <v>0</v>
      </c>
      <c r="CQ229" s="80">
        <v>2291</v>
      </c>
      <c r="CR229" s="80">
        <v>0</v>
      </c>
      <c r="CS229" s="80">
        <v>0</v>
      </c>
      <c r="CT229" s="80">
        <v>2291</v>
      </c>
      <c r="CU229" s="80">
        <v>0</v>
      </c>
      <c r="CV229" s="80">
        <v>256</v>
      </c>
      <c r="CW229" s="80">
        <v>18</v>
      </c>
      <c r="CX229" s="80">
        <v>238</v>
      </c>
      <c r="CY229" s="80">
        <v>0</v>
      </c>
      <c r="CZ229" s="80">
        <v>20390</v>
      </c>
      <c r="DA229" s="80">
        <v>481</v>
      </c>
      <c r="DB229" s="80">
        <v>481</v>
      </c>
      <c r="DC229" s="80">
        <v>0</v>
      </c>
      <c r="DD229" s="80">
        <v>0</v>
      </c>
      <c r="DE229" s="80">
        <v>0</v>
      </c>
      <c r="DF229" s="80">
        <v>0</v>
      </c>
      <c r="DG229" s="80">
        <v>8197</v>
      </c>
      <c r="DH229" s="80">
        <v>232</v>
      </c>
      <c r="DI229" s="80">
        <v>0</v>
      </c>
      <c r="DJ229" s="80">
        <v>0</v>
      </c>
      <c r="DK229" s="80">
        <v>0</v>
      </c>
      <c r="DL229" s="80">
        <v>232</v>
      </c>
      <c r="DM229" s="80">
        <v>7965</v>
      </c>
      <c r="DN229" s="80">
        <v>4769</v>
      </c>
      <c r="DO229" s="80">
        <v>0</v>
      </c>
      <c r="DP229" s="80">
        <v>1002</v>
      </c>
      <c r="DQ229" s="80">
        <v>2194</v>
      </c>
      <c r="DR229" s="80">
        <v>17</v>
      </c>
      <c r="DS229" s="80">
        <v>17</v>
      </c>
      <c r="DT229" s="80">
        <v>0</v>
      </c>
      <c r="DU229" s="80">
        <v>0</v>
      </c>
      <c r="DV229" s="80">
        <v>0</v>
      </c>
      <c r="DW229" s="80">
        <v>11695</v>
      </c>
      <c r="DX229" s="80">
        <v>199402</v>
      </c>
      <c r="DY229" s="80">
        <v>98645</v>
      </c>
      <c r="DZ229" s="80">
        <v>76028</v>
      </c>
      <c r="EA229" s="80">
        <v>7</v>
      </c>
      <c r="EB229" s="80">
        <v>0</v>
      </c>
      <c r="EC229" s="80">
        <v>23338</v>
      </c>
      <c r="ED229" s="80">
        <v>-728</v>
      </c>
      <c r="EE229" s="80">
        <v>298</v>
      </c>
      <c r="EF229" s="80">
        <v>298</v>
      </c>
      <c r="EG229" s="80">
        <v>0</v>
      </c>
      <c r="EH229" s="80">
        <v>0</v>
      </c>
      <c r="EI229" s="80">
        <v>0</v>
      </c>
      <c r="EJ229" s="80">
        <v>0</v>
      </c>
      <c r="EK229" s="80">
        <v>370</v>
      </c>
      <c r="EL229" s="80">
        <v>20</v>
      </c>
      <c r="EM229" s="80">
        <v>350</v>
      </c>
      <c r="EN229" s="80">
        <v>0</v>
      </c>
      <c r="EO229" s="80">
        <v>100089</v>
      </c>
      <c r="EP229" s="80">
        <v>15374</v>
      </c>
      <c r="EQ229" s="80">
        <v>0</v>
      </c>
      <c r="ER229" s="80">
        <v>467</v>
      </c>
      <c r="ES229" s="80">
        <v>100</v>
      </c>
      <c r="ET229" s="80">
        <v>367</v>
      </c>
      <c r="EU229" s="80">
        <v>0</v>
      </c>
      <c r="EV229" s="80">
        <v>0</v>
      </c>
      <c r="EW229" s="80">
        <v>190</v>
      </c>
      <c r="EX229" s="80">
        <v>0</v>
      </c>
      <c r="EY229" s="80">
        <v>0</v>
      </c>
      <c r="EZ229" s="80">
        <v>0</v>
      </c>
      <c r="FA229" s="80">
        <v>14717</v>
      </c>
      <c r="FB229" s="80">
        <v>0</v>
      </c>
      <c r="FC229" s="80">
        <v>0</v>
      </c>
      <c r="FD229" s="80">
        <v>84715</v>
      </c>
      <c r="FE229" s="80">
        <v>0</v>
      </c>
      <c r="FF229" s="80">
        <v>63267</v>
      </c>
      <c r="FG229" s="80">
        <v>200</v>
      </c>
      <c r="FH229" s="80">
        <v>63067</v>
      </c>
      <c r="FI229" s="80">
        <v>0</v>
      </c>
      <c r="FJ229" s="80">
        <v>0</v>
      </c>
      <c r="FK229" s="80">
        <v>190</v>
      </c>
      <c r="FL229" s="80">
        <v>0</v>
      </c>
      <c r="FM229" s="80">
        <v>1099</v>
      </c>
      <c r="FN229" s="80">
        <v>5642</v>
      </c>
      <c r="FO229" s="80">
        <v>1367</v>
      </c>
      <c r="FP229" s="80">
        <v>13150</v>
      </c>
      <c r="FQ229" s="80">
        <v>199402</v>
      </c>
      <c r="FR229" s="80">
        <v>20481</v>
      </c>
      <c r="FS229" s="80">
        <v>17840</v>
      </c>
      <c r="FT229" s="100">
        <v>106094.86458671156</v>
      </c>
      <c r="FU229" s="100"/>
      <c r="FV229" s="100">
        <v>43085</v>
      </c>
      <c r="FW229" s="67">
        <v>7603</v>
      </c>
      <c r="FX229" s="100">
        <f t="shared" si="20"/>
        <v>-88100</v>
      </c>
      <c r="FY229" s="100">
        <f t="shared" si="21"/>
        <v>-144340</v>
      </c>
      <c r="FZ229" s="100">
        <v>94145.936448793873</v>
      </c>
      <c r="GA229" s="67">
        <v>56240</v>
      </c>
      <c r="GB229" s="58">
        <f t="shared" si="18"/>
        <v>13155</v>
      </c>
      <c r="GC229" s="67">
        <v>7877</v>
      </c>
      <c r="GD229" s="100">
        <v>9152</v>
      </c>
      <c r="GE229" s="100">
        <v>5145</v>
      </c>
      <c r="GF229" s="58">
        <f t="shared" si="19"/>
        <v>4007</v>
      </c>
      <c r="GG229" s="100">
        <v>-75605.870999999999</v>
      </c>
      <c r="GH229" s="100">
        <v>-1343.0513500000002</v>
      </c>
      <c r="GI229" s="100">
        <v>-15984.576343141145</v>
      </c>
      <c r="GJ229" s="67">
        <f t="shared" si="22"/>
        <v>274</v>
      </c>
      <c r="GK229" s="67"/>
      <c r="GM229" s="96"/>
    </row>
    <row r="230" spans="1:195" ht="13.5" customHeight="1" x14ac:dyDescent="0.2">
      <c r="A230" s="74">
        <v>491</v>
      </c>
      <c r="B230" s="75" t="s">
        <v>280</v>
      </c>
      <c r="C230" s="82" t="s">
        <v>280</v>
      </c>
      <c r="D230" s="76"/>
      <c r="E230" s="77" t="s">
        <v>220</v>
      </c>
      <c r="F230" s="78">
        <v>6</v>
      </c>
      <c r="G230" s="79">
        <v>54665</v>
      </c>
      <c r="H230" s="80">
        <v>93272</v>
      </c>
      <c r="I230" s="80">
        <v>56723</v>
      </c>
      <c r="J230" s="80">
        <v>20071</v>
      </c>
      <c r="K230" s="80">
        <v>9614</v>
      </c>
      <c r="L230" s="80">
        <v>6864</v>
      </c>
      <c r="M230" s="80">
        <v>0</v>
      </c>
      <c r="N230" s="80">
        <v>677</v>
      </c>
      <c r="O230" s="80">
        <v>388855</v>
      </c>
      <c r="P230" s="80">
        <v>153255</v>
      </c>
      <c r="Q230" s="80">
        <v>116642</v>
      </c>
      <c r="R230" s="80">
        <v>36613</v>
      </c>
      <c r="S230" s="80">
        <v>29972</v>
      </c>
      <c r="T230" s="80">
        <v>6641</v>
      </c>
      <c r="U230" s="80">
        <v>179144</v>
      </c>
      <c r="V230" s="80">
        <v>19257</v>
      </c>
      <c r="W230" s="80">
        <v>29019</v>
      </c>
      <c r="X230" s="80">
        <v>8180</v>
      </c>
      <c r="Y230" s="80">
        <v>-294906</v>
      </c>
      <c r="Z230" s="80">
        <v>199303</v>
      </c>
      <c r="AA230" s="80">
        <v>168949</v>
      </c>
      <c r="AB230" s="80">
        <v>12366</v>
      </c>
      <c r="AC230" s="80">
        <v>17988</v>
      </c>
      <c r="AD230" s="80">
        <v>103615</v>
      </c>
      <c r="AE230" s="80">
        <v>3609</v>
      </c>
      <c r="AF230" s="80">
        <v>1861</v>
      </c>
      <c r="AG230" s="80">
        <v>5090</v>
      </c>
      <c r="AH230" s="80">
        <v>3978</v>
      </c>
      <c r="AI230" s="80">
        <v>801</v>
      </c>
      <c r="AJ230" s="80">
        <v>2541</v>
      </c>
      <c r="AK230" s="80">
        <v>11621</v>
      </c>
      <c r="AL230" s="80">
        <v>18160</v>
      </c>
      <c r="AM230" s="80">
        <v>18160</v>
      </c>
      <c r="AN230" s="80">
        <v>0</v>
      </c>
      <c r="AO230" s="80">
        <v>0</v>
      </c>
      <c r="AP230" s="80">
        <v>0</v>
      </c>
      <c r="AQ230" s="80">
        <v>0</v>
      </c>
      <c r="AR230" s="80">
        <v>-6539</v>
      </c>
      <c r="AS230" s="80">
        <v>-43</v>
      </c>
      <c r="AT230" s="80">
        <v>0</v>
      </c>
      <c r="AU230" s="80">
        <v>0</v>
      </c>
      <c r="AV230" s="80">
        <v>-6582</v>
      </c>
      <c r="AW230" s="81"/>
      <c r="AX230" s="80">
        <v>10926</v>
      </c>
      <c r="AY230" s="80">
        <v>11621</v>
      </c>
      <c r="AZ230" s="80">
        <v>0</v>
      </c>
      <c r="BA230" s="80">
        <v>-695</v>
      </c>
      <c r="BB230" s="80">
        <v>-24010</v>
      </c>
      <c r="BC230" s="80">
        <v>25149</v>
      </c>
      <c r="BD230" s="80">
        <v>509</v>
      </c>
      <c r="BE230" s="80">
        <v>630</v>
      </c>
      <c r="BF230" s="80">
        <v>-13084</v>
      </c>
      <c r="BG230" s="80">
        <v>18296</v>
      </c>
      <c r="BH230" s="80">
        <v>645</v>
      </c>
      <c r="BI230" s="80">
        <v>23</v>
      </c>
      <c r="BJ230" s="80">
        <v>668</v>
      </c>
      <c r="BK230" s="80">
        <v>9932</v>
      </c>
      <c r="BL230" s="80">
        <v>0</v>
      </c>
      <c r="BM230" s="80">
        <v>12026</v>
      </c>
      <c r="BN230" s="80">
        <v>21958</v>
      </c>
      <c r="BO230" s="80">
        <v>0</v>
      </c>
      <c r="BP230" s="80">
        <v>7719</v>
      </c>
      <c r="BQ230" s="80">
        <v>67</v>
      </c>
      <c r="BR230" s="80">
        <v>369</v>
      </c>
      <c r="BS230" s="80">
        <v>6641</v>
      </c>
      <c r="BT230" s="80">
        <v>642</v>
      </c>
      <c r="BU230" s="80">
        <v>5212</v>
      </c>
      <c r="BV230" s="80">
        <v>7985</v>
      </c>
      <c r="BW230" s="80">
        <v>2773</v>
      </c>
      <c r="BX230" s="81"/>
      <c r="BY230" s="80">
        <v>432400</v>
      </c>
      <c r="BZ230" s="80">
        <v>1739</v>
      </c>
      <c r="CA230" s="80">
        <v>0</v>
      </c>
      <c r="CB230" s="80">
        <v>1017</v>
      </c>
      <c r="CC230" s="80">
        <v>722</v>
      </c>
      <c r="CD230" s="80">
        <v>325656</v>
      </c>
      <c r="CE230" s="80">
        <v>93374</v>
      </c>
      <c r="CF230" s="80">
        <v>145535</v>
      </c>
      <c r="CG230" s="80">
        <v>60749</v>
      </c>
      <c r="CH230" s="80">
        <v>6118</v>
      </c>
      <c r="CI230" s="80">
        <v>597</v>
      </c>
      <c r="CJ230" s="80">
        <v>597</v>
      </c>
      <c r="CK230" s="80">
        <v>19283</v>
      </c>
      <c r="CL230" s="80">
        <v>105005</v>
      </c>
      <c r="CM230" s="80">
        <v>78372</v>
      </c>
      <c r="CN230" s="80">
        <v>19911</v>
      </c>
      <c r="CO230" s="80">
        <v>58461</v>
      </c>
      <c r="CP230" s="80">
        <v>0</v>
      </c>
      <c r="CQ230" s="80">
        <v>24895</v>
      </c>
      <c r="CR230" s="80">
        <v>0</v>
      </c>
      <c r="CS230" s="80">
        <v>0</v>
      </c>
      <c r="CT230" s="80">
        <v>24895</v>
      </c>
      <c r="CU230" s="80">
        <v>1738</v>
      </c>
      <c r="CV230" s="80">
        <v>1042</v>
      </c>
      <c r="CW230" s="80">
        <v>0</v>
      </c>
      <c r="CX230" s="80">
        <v>973</v>
      </c>
      <c r="CY230" s="80">
        <v>69</v>
      </c>
      <c r="CZ230" s="80">
        <v>29049</v>
      </c>
      <c r="DA230" s="80">
        <v>285</v>
      </c>
      <c r="DB230" s="80">
        <v>58</v>
      </c>
      <c r="DC230" s="80">
        <v>0</v>
      </c>
      <c r="DD230" s="80">
        <v>0</v>
      </c>
      <c r="DE230" s="80">
        <v>227</v>
      </c>
      <c r="DF230" s="80">
        <v>0</v>
      </c>
      <c r="DG230" s="80">
        <v>20779</v>
      </c>
      <c r="DH230" s="80">
        <v>1681</v>
      </c>
      <c r="DI230" s="80">
        <v>412</v>
      </c>
      <c r="DJ230" s="80">
        <v>1265</v>
      </c>
      <c r="DK230" s="80">
        <v>4</v>
      </c>
      <c r="DL230" s="80">
        <v>0</v>
      </c>
      <c r="DM230" s="80">
        <v>19098</v>
      </c>
      <c r="DN230" s="80">
        <v>7828</v>
      </c>
      <c r="DO230" s="80">
        <v>2288</v>
      </c>
      <c r="DP230" s="80">
        <v>3001</v>
      </c>
      <c r="DQ230" s="80">
        <v>5981</v>
      </c>
      <c r="DR230" s="80">
        <v>20</v>
      </c>
      <c r="DS230" s="80">
        <v>20</v>
      </c>
      <c r="DT230" s="80">
        <v>0</v>
      </c>
      <c r="DU230" s="80">
        <v>0</v>
      </c>
      <c r="DV230" s="80">
        <v>0</v>
      </c>
      <c r="DW230" s="80">
        <v>7965</v>
      </c>
      <c r="DX230" s="80">
        <v>462491</v>
      </c>
      <c r="DY230" s="80">
        <v>214072</v>
      </c>
      <c r="DZ230" s="80">
        <v>153857</v>
      </c>
      <c r="EA230" s="80">
        <v>54350</v>
      </c>
      <c r="EB230" s="80">
        <v>0</v>
      </c>
      <c r="EC230" s="80">
        <v>12448</v>
      </c>
      <c r="ED230" s="80">
        <v>-6583</v>
      </c>
      <c r="EE230" s="80">
        <v>6052</v>
      </c>
      <c r="EF230" s="80">
        <v>2164</v>
      </c>
      <c r="EG230" s="80">
        <v>3888</v>
      </c>
      <c r="EH230" s="80">
        <v>2972</v>
      </c>
      <c r="EI230" s="80">
        <v>47</v>
      </c>
      <c r="EJ230" s="80">
        <v>2925</v>
      </c>
      <c r="EK230" s="80">
        <v>2847</v>
      </c>
      <c r="EL230" s="80">
        <v>1</v>
      </c>
      <c r="EM230" s="80">
        <v>2398</v>
      </c>
      <c r="EN230" s="80">
        <v>448</v>
      </c>
      <c r="EO230" s="80">
        <v>236548</v>
      </c>
      <c r="EP230" s="80">
        <v>79603</v>
      </c>
      <c r="EQ230" s="80">
        <v>0</v>
      </c>
      <c r="ER230" s="80">
        <v>71672</v>
      </c>
      <c r="ES230" s="80">
        <v>1885</v>
      </c>
      <c r="ET230" s="80">
        <v>69787</v>
      </c>
      <c r="EU230" s="80">
        <v>0</v>
      </c>
      <c r="EV230" s="80">
        <v>0</v>
      </c>
      <c r="EW230" s="80">
        <v>3097</v>
      </c>
      <c r="EX230" s="80">
        <v>0</v>
      </c>
      <c r="EY230" s="80">
        <v>420</v>
      </c>
      <c r="EZ230" s="80">
        <v>0</v>
      </c>
      <c r="FA230" s="80">
        <v>3231</v>
      </c>
      <c r="FB230" s="80">
        <v>0</v>
      </c>
      <c r="FC230" s="80">
        <v>1183</v>
      </c>
      <c r="FD230" s="80">
        <v>156945</v>
      </c>
      <c r="FE230" s="80">
        <v>0</v>
      </c>
      <c r="FF230" s="80">
        <v>96373</v>
      </c>
      <c r="FG230" s="80">
        <v>49625</v>
      </c>
      <c r="FH230" s="80">
        <v>46748</v>
      </c>
      <c r="FI230" s="80">
        <v>0</v>
      </c>
      <c r="FJ230" s="80">
        <v>0</v>
      </c>
      <c r="FK230" s="80">
        <v>172</v>
      </c>
      <c r="FL230" s="80">
        <v>10241</v>
      </c>
      <c r="FM230" s="80">
        <v>1593</v>
      </c>
      <c r="FN230" s="80">
        <v>22799</v>
      </c>
      <c r="FO230" s="80">
        <v>6895</v>
      </c>
      <c r="FP230" s="80">
        <v>18872</v>
      </c>
      <c r="FQ230" s="80">
        <v>462491</v>
      </c>
      <c r="FR230" s="80">
        <v>117579</v>
      </c>
      <c r="FS230" s="80">
        <v>4557</v>
      </c>
      <c r="FT230" s="100">
        <v>196485.23348775264</v>
      </c>
      <c r="FU230" s="100"/>
      <c r="FV230" s="100">
        <v>87361</v>
      </c>
      <c r="FW230" s="67">
        <v>17365</v>
      </c>
      <c r="FX230" s="100">
        <f t="shared" si="20"/>
        <v>-137123</v>
      </c>
      <c r="FY230" s="100">
        <f t="shared" si="21"/>
        <v>-276746</v>
      </c>
      <c r="FZ230" s="100">
        <v>188449.93068116604</v>
      </c>
      <c r="GA230" s="67">
        <v>139623</v>
      </c>
      <c r="GB230" s="58">
        <f t="shared" si="18"/>
        <v>52262</v>
      </c>
      <c r="GC230" s="67">
        <v>18290</v>
      </c>
      <c r="GD230" s="100">
        <v>20009</v>
      </c>
      <c r="GE230" s="100">
        <v>5033</v>
      </c>
      <c r="GF230" s="58">
        <f t="shared" si="19"/>
        <v>14976</v>
      </c>
      <c r="GG230" s="100">
        <v>-101651.882</v>
      </c>
      <c r="GH230" s="100">
        <v>-3725.817050000001</v>
      </c>
      <c r="GI230" s="100">
        <v>-83412.706119743656</v>
      </c>
      <c r="GJ230" s="67">
        <f t="shared" si="22"/>
        <v>925</v>
      </c>
      <c r="GK230" s="67"/>
      <c r="GM230" s="96"/>
    </row>
    <row r="231" spans="1:195" ht="13.5" customHeight="1" x14ac:dyDescent="0.2">
      <c r="A231" s="74">
        <v>729</v>
      </c>
      <c r="B231" s="75" t="s">
        <v>159</v>
      </c>
      <c r="C231" s="75" t="s">
        <v>159</v>
      </c>
      <c r="D231" s="76"/>
      <c r="E231" s="77" t="s">
        <v>231</v>
      </c>
      <c r="F231" s="78">
        <v>3</v>
      </c>
      <c r="G231" s="79">
        <v>9915</v>
      </c>
      <c r="H231" s="80">
        <v>12563</v>
      </c>
      <c r="I231" s="80">
        <v>4529</v>
      </c>
      <c r="J231" s="80">
        <v>819</v>
      </c>
      <c r="K231" s="80">
        <v>1176</v>
      </c>
      <c r="L231" s="80">
        <v>6039</v>
      </c>
      <c r="M231" s="80">
        <v>0</v>
      </c>
      <c r="N231" s="80">
        <v>0</v>
      </c>
      <c r="O231" s="80">
        <v>69492</v>
      </c>
      <c r="P231" s="80">
        <v>18744</v>
      </c>
      <c r="Q231" s="80">
        <v>14020</v>
      </c>
      <c r="R231" s="80">
        <v>4724</v>
      </c>
      <c r="S231" s="80">
        <v>3921</v>
      </c>
      <c r="T231" s="80">
        <v>803</v>
      </c>
      <c r="U231" s="80">
        <v>44885</v>
      </c>
      <c r="V231" s="80">
        <v>3384</v>
      </c>
      <c r="W231" s="80">
        <v>786</v>
      </c>
      <c r="X231" s="80">
        <v>1693</v>
      </c>
      <c r="Y231" s="80">
        <v>-56929</v>
      </c>
      <c r="Z231" s="80">
        <v>31103</v>
      </c>
      <c r="AA231" s="80">
        <v>26870</v>
      </c>
      <c r="AB231" s="80">
        <v>2141</v>
      </c>
      <c r="AC231" s="80">
        <v>2092</v>
      </c>
      <c r="AD231" s="80">
        <v>29924</v>
      </c>
      <c r="AE231" s="80">
        <v>-221</v>
      </c>
      <c r="AF231" s="80">
        <v>26</v>
      </c>
      <c r="AG231" s="80">
        <v>205</v>
      </c>
      <c r="AH231" s="80">
        <v>4</v>
      </c>
      <c r="AI231" s="80">
        <v>449</v>
      </c>
      <c r="AJ231" s="80">
        <v>3</v>
      </c>
      <c r="AK231" s="80">
        <v>3877</v>
      </c>
      <c r="AL231" s="80">
        <v>4306</v>
      </c>
      <c r="AM231" s="80">
        <v>4306</v>
      </c>
      <c r="AN231" s="80">
        <v>0</v>
      </c>
      <c r="AO231" s="80">
        <v>0</v>
      </c>
      <c r="AP231" s="80">
        <v>0</v>
      </c>
      <c r="AQ231" s="80">
        <v>0</v>
      </c>
      <c r="AR231" s="80">
        <v>-429</v>
      </c>
      <c r="AS231" s="80">
        <v>0</v>
      </c>
      <c r="AT231" s="80">
        <v>0</v>
      </c>
      <c r="AU231" s="80">
        <v>30</v>
      </c>
      <c r="AV231" s="80">
        <v>-399</v>
      </c>
      <c r="AW231" s="81"/>
      <c r="AX231" s="80">
        <v>3569</v>
      </c>
      <c r="AY231" s="80">
        <v>3877</v>
      </c>
      <c r="AZ231" s="80">
        <v>0</v>
      </c>
      <c r="BA231" s="80">
        <v>-308</v>
      </c>
      <c r="BB231" s="80">
        <v>-2083</v>
      </c>
      <c r="BC231" s="80">
        <v>3512</v>
      </c>
      <c r="BD231" s="80">
        <v>752</v>
      </c>
      <c r="BE231" s="80">
        <v>677</v>
      </c>
      <c r="BF231" s="80">
        <v>1486</v>
      </c>
      <c r="BG231" s="80">
        <v>-2252</v>
      </c>
      <c r="BH231" s="80">
        <v>-142</v>
      </c>
      <c r="BI231" s="80">
        <v>157</v>
      </c>
      <c r="BJ231" s="80">
        <v>15</v>
      </c>
      <c r="BK231" s="80">
        <v>394</v>
      </c>
      <c r="BL231" s="80">
        <v>4375</v>
      </c>
      <c r="BM231" s="80">
        <v>4131</v>
      </c>
      <c r="BN231" s="80">
        <v>150</v>
      </c>
      <c r="BO231" s="80">
        <v>-1122</v>
      </c>
      <c r="BP231" s="80">
        <v>-1382</v>
      </c>
      <c r="BQ231" s="80">
        <v>-59</v>
      </c>
      <c r="BR231" s="80">
        <v>0</v>
      </c>
      <c r="BS231" s="80">
        <v>-2812</v>
      </c>
      <c r="BT231" s="80">
        <v>1489</v>
      </c>
      <c r="BU231" s="80">
        <v>-767</v>
      </c>
      <c r="BV231" s="80">
        <v>421</v>
      </c>
      <c r="BW231" s="80">
        <v>1188</v>
      </c>
      <c r="BX231" s="81"/>
      <c r="BY231" s="80">
        <v>64401</v>
      </c>
      <c r="BZ231" s="80">
        <v>19</v>
      </c>
      <c r="CA231" s="80">
        <v>19</v>
      </c>
      <c r="CB231" s="80">
        <v>0</v>
      </c>
      <c r="CC231" s="80">
        <v>0</v>
      </c>
      <c r="CD231" s="80">
        <v>53245</v>
      </c>
      <c r="CE231" s="80">
        <v>8129</v>
      </c>
      <c r="CF231" s="80">
        <v>33614</v>
      </c>
      <c r="CG231" s="80">
        <v>6677</v>
      </c>
      <c r="CH231" s="80">
        <v>431</v>
      </c>
      <c r="CI231" s="80">
        <v>0</v>
      </c>
      <c r="CJ231" s="80">
        <v>0</v>
      </c>
      <c r="CK231" s="80">
        <v>4394</v>
      </c>
      <c r="CL231" s="80">
        <v>11137</v>
      </c>
      <c r="CM231" s="80">
        <v>7629</v>
      </c>
      <c r="CN231" s="80">
        <v>2933</v>
      </c>
      <c r="CO231" s="80">
        <v>4696</v>
      </c>
      <c r="CP231" s="80">
        <v>0</v>
      </c>
      <c r="CQ231" s="80">
        <v>3508</v>
      </c>
      <c r="CR231" s="80">
        <v>0</v>
      </c>
      <c r="CS231" s="80">
        <v>0</v>
      </c>
      <c r="CT231" s="80">
        <v>3508</v>
      </c>
      <c r="CU231" s="80">
        <v>0</v>
      </c>
      <c r="CV231" s="80">
        <v>11</v>
      </c>
      <c r="CW231" s="80">
        <v>0</v>
      </c>
      <c r="CX231" s="80">
        <v>11</v>
      </c>
      <c r="CY231" s="80">
        <v>0</v>
      </c>
      <c r="CZ231" s="80">
        <v>4774</v>
      </c>
      <c r="DA231" s="80">
        <v>0</v>
      </c>
      <c r="DB231" s="80">
        <v>0</v>
      </c>
      <c r="DC231" s="80">
        <v>0</v>
      </c>
      <c r="DD231" s="80">
        <v>0</v>
      </c>
      <c r="DE231" s="80">
        <v>0</v>
      </c>
      <c r="DF231" s="80">
        <v>0</v>
      </c>
      <c r="DG231" s="80">
        <v>4353</v>
      </c>
      <c r="DH231" s="80">
        <v>3075</v>
      </c>
      <c r="DI231" s="80">
        <v>0</v>
      </c>
      <c r="DJ231" s="80">
        <v>3075</v>
      </c>
      <c r="DK231" s="80">
        <v>0</v>
      </c>
      <c r="DL231" s="80">
        <v>0</v>
      </c>
      <c r="DM231" s="80">
        <v>1278</v>
      </c>
      <c r="DN231" s="80">
        <v>0</v>
      </c>
      <c r="DO231" s="80">
        <v>650</v>
      </c>
      <c r="DP231" s="80">
        <v>356</v>
      </c>
      <c r="DQ231" s="80">
        <v>272</v>
      </c>
      <c r="DR231" s="80">
        <v>0</v>
      </c>
      <c r="DS231" s="80">
        <v>0</v>
      </c>
      <c r="DT231" s="80">
        <v>0</v>
      </c>
      <c r="DU231" s="80">
        <v>0</v>
      </c>
      <c r="DV231" s="80">
        <v>0</v>
      </c>
      <c r="DW231" s="80">
        <v>421</v>
      </c>
      <c r="DX231" s="80">
        <v>69186</v>
      </c>
      <c r="DY231" s="80">
        <v>34563</v>
      </c>
      <c r="DZ231" s="80">
        <v>29481</v>
      </c>
      <c r="EA231" s="80">
        <v>0</v>
      </c>
      <c r="EB231" s="80">
        <v>717</v>
      </c>
      <c r="EC231" s="80">
        <v>4765</v>
      </c>
      <c r="ED231" s="80">
        <v>-400</v>
      </c>
      <c r="EE231" s="80">
        <v>0</v>
      </c>
      <c r="EF231" s="80">
        <v>0</v>
      </c>
      <c r="EG231" s="80">
        <v>0</v>
      </c>
      <c r="EH231" s="80">
        <v>0</v>
      </c>
      <c r="EI231" s="80">
        <v>0</v>
      </c>
      <c r="EJ231" s="80">
        <v>0</v>
      </c>
      <c r="EK231" s="80">
        <v>73</v>
      </c>
      <c r="EL231" s="80">
        <v>0</v>
      </c>
      <c r="EM231" s="80">
        <v>13</v>
      </c>
      <c r="EN231" s="80">
        <v>60</v>
      </c>
      <c r="EO231" s="80">
        <v>34550</v>
      </c>
      <c r="EP231" s="80">
        <v>21175</v>
      </c>
      <c r="EQ231" s="80">
        <v>0</v>
      </c>
      <c r="ER231" s="80">
        <v>15873</v>
      </c>
      <c r="ES231" s="80">
        <v>2020</v>
      </c>
      <c r="ET231" s="80">
        <v>13853</v>
      </c>
      <c r="EU231" s="80">
        <v>0</v>
      </c>
      <c r="EV231" s="80">
        <v>0</v>
      </c>
      <c r="EW231" s="80">
        <v>5302</v>
      </c>
      <c r="EX231" s="80">
        <v>0</v>
      </c>
      <c r="EY231" s="80">
        <v>0</v>
      </c>
      <c r="EZ231" s="80">
        <v>0</v>
      </c>
      <c r="FA231" s="80">
        <v>0</v>
      </c>
      <c r="FB231" s="80">
        <v>0</v>
      </c>
      <c r="FC231" s="80">
        <v>0</v>
      </c>
      <c r="FD231" s="80">
        <v>13375</v>
      </c>
      <c r="FE231" s="80">
        <v>2650</v>
      </c>
      <c r="FF231" s="80">
        <v>3673</v>
      </c>
      <c r="FG231" s="80">
        <v>155</v>
      </c>
      <c r="FH231" s="80">
        <v>3518</v>
      </c>
      <c r="FI231" s="80">
        <v>0</v>
      </c>
      <c r="FJ231" s="80">
        <v>0</v>
      </c>
      <c r="FK231" s="80">
        <v>853</v>
      </c>
      <c r="FL231" s="80">
        <v>0</v>
      </c>
      <c r="FM231" s="80">
        <v>390</v>
      </c>
      <c r="FN231" s="80">
        <v>2891</v>
      </c>
      <c r="FO231" s="80">
        <v>382</v>
      </c>
      <c r="FP231" s="80">
        <v>2536</v>
      </c>
      <c r="FQ231" s="80">
        <v>69186</v>
      </c>
      <c r="FR231" s="80">
        <v>11521</v>
      </c>
      <c r="FS231" s="80">
        <v>3628</v>
      </c>
      <c r="FT231" s="100">
        <v>34816.674705303201</v>
      </c>
      <c r="FU231" s="100"/>
      <c r="FV231" s="100">
        <v>16572</v>
      </c>
      <c r="FW231" s="67">
        <v>4304</v>
      </c>
      <c r="FX231" s="100">
        <f t="shared" si="20"/>
        <v>-35735</v>
      </c>
      <c r="FY231" s="100">
        <f t="shared" si="21"/>
        <v>-52623</v>
      </c>
      <c r="FZ231" s="100">
        <v>38293.860119552584</v>
      </c>
      <c r="GA231" s="67">
        <v>16888</v>
      </c>
      <c r="GB231" s="58">
        <f t="shared" si="18"/>
        <v>316</v>
      </c>
      <c r="GC231" s="67">
        <v>4304</v>
      </c>
      <c r="GD231" s="100">
        <v>825</v>
      </c>
      <c r="GE231" s="100">
        <v>825</v>
      </c>
      <c r="GF231" s="58">
        <f t="shared" si="19"/>
        <v>0</v>
      </c>
      <c r="GG231" s="100">
        <v>-14763.023000000001</v>
      </c>
      <c r="GH231" s="100">
        <v>-628.89525000000026</v>
      </c>
      <c r="GI231" s="100">
        <v>-23480.283912717707</v>
      </c>
      <c r="GJ231" s="67">
        <f t="shared" si="22"/>
        <v>0</v>
      </c>
      <c r="GK231" s="67"/>
      <c r="GM231" s="96"/>
    </row>
    <row r="232" spans="1:195" ht="13.5" customHeight="1" x14ac:dyDescent="0.2">
      <c r="A232" s="74">
        <v>738</v>
      </c>
      <c r="B232" s="75" t="s">
        <v>302</v>
      </c>
      <c r="C232" s="82" t="s">
        <v>302</v>
      </c>
      <c r="D232" s="76"/>
      <c r="E232" s="77" t="s">
        <v>219</v>
      </c>
      <c r="F232" s="78">
        <v>2</v>
      </c>
      <c r="G232" s="79">
        <v>3019</v>
      </c>
      <c r="H232" s="80">
        <v>1807</v>
      </c>
      <c r="I232" s="80">
        <v>486</v>
      </c>
      <c r="J232" s="80">
        <v>766</v>
      </c>
      <c r="K232" s="80">
        <v>284</v>
      </c>
      <c r="L232" s="80">
        <v>271</v>
      </c>
      <c r="M232" s="80">
        <v>0</v>
      </c>
      <c r="N232" s="80">
        <v>0</v>
      </c>
      <c r="O232" s="80">
        <v>17406</v>
      </c>
      <c r="P232" s="80">
        <v>6309</v>
      </c>
      <c r="Q232" s="80">
        <v>4980</v>
      </c>
      <c r="R232" s="80">
        <v>1329</v>
      </c>
      <c r="S232" s="80">
        <v>1149</v>
      </c>
      <c r="T232" s="80">
        <v>180</v>
      </c>
      <c r="U232" s="80">
        <v>9667</v>
      </c>
      <c r="V232" s="80">
        <v>752</v>
      </c>
      <c r="W232" s="80">
        <v>559</v>
      </c>
      <c r="X232" s="80">
        <v>119</v>
      </c>
      <c r="Y232" s="80">
        <v>-15599</v>
      </c>
      <c r="Z232" s="80">
        <v>10534</v>
      </c>
      <c r="AA232" s="80">
        <v>9200</v>
      </c>
      <c r="AB232" s="80">
        <v>381</v>
      </c>
      <c r="AC232" s="80">
        <v>953</v>
      </c>
      <c r="AD232" s="80">
        <v>4869</v>
      </c>
      <c r="AE232" s="80">
        <v>28</v>
      </c>
      <c r="AF232" s="80">
        <v>44</v>
      </c>
      <c r="AG232" s="80">
        <v>2</v>
      </c>
      <c r="AH232" s="80">
        <v>0</v>
      </c>
      <c r="AI232" s="80">
        <v>18</v>
      </c>
      <c r="AJ232" s="80">
        <v>0</v>
      </c>
      <c r="AK232" s="80">
        <v>-168</v>
      </c>
      <c r="AL232" s="80">
        <v>360</v>
      </c>
      <c r="AM232" s="80">
        <v>360</v>
      </c>
      <c r="AN232" s="80">
        <v>0</v>
      </c>
      <c r="AO232" s="80">
        <v>0</v>
      </c>
      <c r="AP232" s="80">
        <v>0</v>
      </c>
      <c r="AQ232" s="80">
        <v>0</v>
      </c>
      <c r="AR232" s="80">
        <v>-528</v>
      </c>
      <c r="AS232" s="80">
        <v>0</v>
      </c>
      <c r="AT232" s="80">
        <v>0</v>
      </c>
      <c r="AU232" s="80">
        <v>0</v>
      </c>
      <c r="AV232" s="80">
        <v>-528</v>
      </c>
      <c r="AW232" s="81"/>
      <c r="AX232" s="80">
        <v>-170</v>
      </c>
      <c r="AY232" s="80">
        <v>-168</v>
      </c>
      <c r="AZ232" s="80">
        <v>0</v>
      </c>
      <c r="BA232" s="80">
        <v>-2</v>
      </c>
      <c r="BB232" s="80">
        <v>-549</v>
      </c>
      <c r="BC232" s="80">
        <v>560</v>
      </c>
      <c r="BD232" s="80">
        <v>6</v>
      </c>
      <c r="BE232" s="80">
        <v>5</v>
      </c>
      <c r="BF232" s="80">
        <v>-719</v>
      </c>
      <c r="BG232" s="80">
        <v>882</v>
      </c>
      <c r="BH232" s="80">
        <v>0</v>
      </c>
      <c r="BI232" s="80">
        <v>0</v>
      </c>
      <c r="BJ232" s="80">
        <v>0</v>
      </c>
      <c r="BK232" s="80">
        <v>807</v>
      </c>
      <c r="BL232" s="80">
        <v>0</v>
      </c>
      <c r="BM232" s="80">
        <v>393</v>
      </c>
      <c r="BN232" s="80">
        <v>1200</v>
      </c>
      <c r="BO232" s="80">
        <v>0</v>
      </c>
      <c r="BP232" s="80">
        <v>75</v>
      </c>
      <c r="BQ232" s="80">
        <v>16</v>
      </c>
      <c r="BR232" s="80">
        <v>0</v>
      </c>
      <c r="BS232" s="80">
        <v>-210</v>
      </c>
      <c r="BT232" s="80">
        <v>269</v>
      </c>
      <c r="BU232" s="80">
        <v>162</v>
      </c>
      <c r="BV232" s="80">
        <v>202</v>
      </c>
      <c r="BW232" s="80">
        <v>40</v>
      </c>
      <c r="BX232" s="81"/>
      <c r="BY232" s="80">
        <v>18199</v>
      </c>
      <c r="BZ232" s="80">
        <v>57</v>
      </c>
      <c r="CA232" s="80">
        <v>57</v>
      </c>
      <c r="CB232" s="80">
        <v>0</v>
      </c>
      <c r="CC232" s="80">
        <v>0</v>
      </c>
      <c r="CD232" s="80">
        <v>9961</v>
      </c>
      <c r="CE232" s="80">
        <v>2386</v>
      </c>
      <c r="CF232" s="80">
        <v>5841</v>
      </c>
      <c r="CG232" s="80">
        <v>1605</v>
      </c>
      <c r="CH232" s="80">
        <v>71</v>
      </c>
      <c r="CI232" s="80">
        <v>6</v>
      </c>
      <c r="CJ232" s="80">
        <v>6</v>
      </c>
      <c r="CK232" s="80">
        <v>52</v>
      </c>
      <c r="CL232" s="80">
        <v>8181</v>
      </c>
      <c r="CM232" s="80">
        <v>6052</v>
      </c>
      <c r="CN232" s="80">
        <v>1580</v>
      </c>
      <c r="CO232" s="80">
        <v>4472</v>
      </c>
      <c r="CP232" s="80">
        <v>0</v>
      </c>
      <c r="CQ232" s="80">
        <v>2123</v>
      </c>
      <c r="CR232" s="80">
        <v>0</v>
      </c>
      <c r="CS232" s="80">
        <v>0</v>
      </c>
      <c r="CT232" s="80">
        <v>2123</v>
      </c>
      <c r="CU232" s="80">
        <v>6</v>
      </c>
      <c r="CV232" s="80">
        <v>0</v>
      </c>
      <c r="CW232" s="80">
        <v>0</v>
      </c>
      <c r="CX232" s="80">
        <v>0</v>
      </c>
      <c r="CY232" s="80">
        <v>0</v>
      </c>
      <c r="CZ232" s="80">
        <v>1076</v>
      </c>
      <c r="DA232" s="80">
        <v>0</v>
      </c>
      <c r="DB232" s="80">
        <v>0</v>
      </c>
      <c r="DC232" s="80">
        <v>0</v>
      </c>
      <c r="DD232" s="80">
        <v>0</v>
      </c>
      <c r="DE232" s="80">
        <v>0</v>
      </c>
      <c r="DF232" s="80">
        <v>0</v>
      </c>
      <c r="DG232" s="80">
        <v>874</v>
      </c>
      <c r="DH232" s="80">
        <v>0</v>
      </c>
      <c r="DI232" s="80">
        <v>0</v>
      </c>
      <c r="DJ232" s="80">
        <v>0</v>
      </c>
      <c r="DK232" s="80">
        <v>0</v>
      </c>
      <c r="DL232" s="80">
        <v>0</v>
      </c>
      <c r="DM232" s="80">
        <v>874</v>
      </c>
      <c r="DN232" s="80">
        <v>475</v>
      </c>
      <c r="DO232" s="80">
        <v>270</v>
      </c>
      <c r="DP232" s="80">
        <v>82</v>
      </c>
      <c r="DQ232" s="80">
        <v>47</v>
      </c>
      <c r="DR232" s="80">
        <v>0</v>
      </c>
      <c r="DS232" s="80">
        <v>0</v>
      </c>
      <c r="DT232" s="80">
        <v>0</v>
      </c>
      <c r="DU232" s="80">
        <v>0</v>
      </c>
      <c r="DV232" s="80">
        <v>0</v>
      </c>
      <c r="DW232" s="80">
        <v>202</v>
      </c>
      <c r="DX232" s="80">
        <v>19275</v>
      </c>
      <c r="DY232" s="80">
        <v>9475</v>
      </c>
      <c r="DZ232" s="80">
        <v>7397</v>
      </c>
      <c r="EA232" s="80">
        <v>0</v>
      </c>
      <c r="EB232" s="80">
        <v>0</v>
      </c>
      <c r="EC232" s="80">
        <v>2606</v>
      </c>
      <c r="ED232" s="80">
        <v>-528</v>
      </c>
      <c r="EE232" s="80">
        <v>0</v>
      </c>
      <c r="EF232" s="80">
        <v>0</v>
      </c>
      <c r="EG232" s="80">
        <v>0</v>
      </c>
      <c r="EH232" s="80">
        <v>0</v>
      </c>
      <c r="EI232" s="80">
        <v>0</v>
      </c>
      <c r="EJ232" s="80">
        <v>0</v>
      </c>
      <c r="EK232" s="80">
        <v>55</v>
      </c>
      <c r="EL232" s="80">
        <v>26</v>
      </c>
      <c r="EM232" s="80">
        <v>27</v>
      </c>
      <c r="EN232" s="80">
        <v>2</v>
      </c>
      <c r="EO232" s="80">
        <v>9745</v>
      </c>
      <c r="EP232" s="80">
        <v>955</v>
      </c>
      <c r="EQ232" s="80">
        <v>0</v>
      </c>
      <c r="ER232" s="80">
        <v>955</v>
      </c>
      <c r="ES232" s="80">
        <v>240</v>
      </c>
      <c r="ET232" s="80">
        <v>715</v>
      </c>
      <c r="EU232" s="80">
        <v>0</v>
      </c>
      <c r="EV232" s="80">
        <v>0</v>
      </c>
      <c r="EW232" s="80">
        <v>0</v>
      </c>
      <c r="EX232" s="80">
        <v>0</v>
      </c>
      <c r="EY232" s="80">
        <v>0</v>
      </c>
      <c r="EZ232" s="80">
        <v>0</v>
      </c>
      <c r="FA232" s="80">
        <v>0</v>
      </c>
      <c r="FB232" s="80">
        <v>0</v>
      </c>
      <c r="FC232" s="80">
        <v>0</v>
      </c>
      <c r="FD232" s="80">
        <v>8790</v>
      </c>
      <c r="FE232" s="80">
        <v>0</v>
      </c>
      <c r="FF232" s="80">
        <v>6943</v>
      </c>
      <c r="FG232" s="80">
        <v>83</v>
      </c>
      <c r="FH232" s="80">
        <v>6860</v>
      </c>
      <c r="FI232" s="80">
        <v>0</v>
      </c>
      <c r="FJ232" s="80">
        <v>0</v>
      </c>
      <c r="FK232" s="80">
        <v>0</v>
      </c>
      <c r="FL232" s="80">
        <v>0</v>
      </c>
      <c r="FM232" s="80">
        <v>0</v>
      </c>
      <c r="FN232" s="80">
        <v>925</v>
      </c>
      <c r="FO232" s="80">
        <v>185</v>
      </c>
      <c r="FP232" s="80">
        <v>737</v>
      </c>
      <c r="FQ232" s="80">
        <v>19275</v>
      </c>
      <c r="FR232" s="80">
        <v>1680</v>
      </c>
      <c r="FS232" s="80">
        <v>947</v>
      </c>
      <c r="FT232" s="100">
        <v>8469.3401247900183</v>
      </c>
      <c r="FU232" s="100"/>
      <c r="FV232" s="100">
        <v>2432</v>
      </c>
      <c r="FW232" s="67">
        <v>360</v>
      </c>
      <c r="FX232" s="100">
        <f t="shared" si="20"/>
        <v>-12192</v>
      </c>
      <c r="FY232" s="100">
        <f t="shared" si="21"/>
        <v>-15239</v>
      </c>
      <c r="FZ232" s="100">
        <v>9337.0727480039095</v>
      </c>
      <c r="GA232" s="67">
        <v>3047</v>
      </c>
      <c r="GB232" s="58">
        <f t="shared" si="18"/>
        <v>615</v>
      </c>
      <c r="GC232" s="67">
        <v>360</v>
      </c>
      <c r="GD232" s="100">
        <v>767</v>
      </c>
      <c r="GE232" s="100">
        <v>476</v>
      </c>
      <c r="GF232" s="58">
        <f t="shared" si="19"/>
        <v>291</v>
      </c>
      <c r="GG232" s="100">
        <v>-5283.2439999999997</v>
      </c>
      <c r="GH232" s="100">
        <v>-114.38180000000006</v>
      </c>
      <c r="GI232" s="100">
        <v>-3855.4628352227496</v>
      </c>
      <c r="GJ232" s="67">
        <f t="shared" si="22"/>
        <v>0</v>
      </c>
      <c r="GK232" s="67"/>
      <c r="GM232" s="96"/>
    </row>
    <row r="233" spans="1:195" ht="13.5" customHeight="1" x14ac:dyDescent="0.2">
      <c r="A233" s="74">
        <v>732</v>
      </c>
      <c r="B233" s="75" t="s">
        <v>160</v>
      </c>
      <c r="C233" s="75" t="s">
        <v>160</v>
      </c>
      <c r="D233" s="76"/>
      <c r="E233" s="77" t="s">
        <v>222</v>
      </c>
      <c r="F233" s="78">
        <v>2</v>
      </c>
      <c r="G233" s="79">
        <v>3727</v>
      </c>
      <c r="H233" s="80">
        <v>6794</v>
      </c>
      <c r="I233" s="80">
        <v>2827</v>
      </c>
      <c r="J233" s="80">
        <v>2131</v>
      </c>
      <c r="K233" s="80">
        <v>655</v>
      </c>
      <c r="L233" s="80">
        <v>1181</v>
      </c>
      <c r="M233" s="80">
        <v>0</v>
      </c>
      <c r="N233" s="80">
        <v>0</v>
      </c>
      <c r="O233" s="80">
        <v>36496</v>
      </c>
      <c r="P233" s="80">
        <v>19723</v>
      </c>
      <c r="Q233" s="80">
        <v>14666</v>
      </c>
      <c r="R233" s="80">
        <v>5057</v>
      </c>
      <c r="S233" s="80">
        <v>4514</v>
      </c>
      <c r="T233" s="80">
        <v>543</v>
      </c>
      <c r="U233" s="80">
        <v>12419</v>
      </c>
      <c r="V233" s="80">
        <v>2540</v>
      </c>
      <c r="W233" s="80">
        <v>1582</v>
      </c>
      <c r="X233" s="80">
        <v>232</v>
      </c>
      <c r="Y233" s="80">
        <v>-29702</v>
      </c>
      <c r="Z233" s="80">
        <v>12206</v>
      </c>
      <c r="AA233" s="80">
        <v>9795</v>
      </c>
      <c r="AB233" s="80">
        <v>1177</v>
      </c>
      <c r="AC233" s="80">
        <v>1234</v>
      </c>
      <c r="AD233" s="80">
        <v>19581</v>
      </c>
      <c r="AE233" s="80">
        <v>-181</v>
      </c>
      <c r="AF233" s="80">
        <v>25</v>
      </c>
      <c r="AG233" s="80">
        <v>31</v>
      </c>
      <c r="AH233" s="80">
        <v>17</v>
      </c>
      <c r="AI233" s="80">
        <v>215</v>
      </c>
      <c r="AJ233" s="80">
        <v>22</v>
      </c>
      <c r="AK233" s="80">
        <v>1904</v>
      </c>
      <c r="AL233" s="80">
        <v>1296</v>
      </c>
      <c r="AM233" s="80">
        <v>1296</v>
      </c>
      <c r="AN233" s="80">
        <v>0</v>
      </c>
      <c r="AO233" s="80">
        <v>0</v>
      </c>
      <c r="AP233" s="80">
        <v>0</v>
      </c>
      <c r="AQ233" s="80">
        <v>0</v>
      </c>
      <c r="AR233" s="80">
        <v>608</v>
      </c>
      <c r="AS233" s="80">
        <v>0</v>
      </c>
      <c r="AT233" s="80">
        <v>0</v>
      </c>
      <c r="AU233" s="80">
        <v>0</v>
      </c>
      <c r="AV233" s="80">
        <v>608</v>
      </c>
      <c r="AW233" s="81"/>
      <c r="AX233" s="80">
        <v>1894</v>
      </c>
      <c r="AY233" s="80">
        <v>1904</v>
      </c>
      <c r="AZ233" s="80">
        <v>0</v>
      </c>
      <c r="BA233" s="80">
        <v>-10</v>
      </c>
      <c r="BB233" s="80">
        <v>-3334</v>
      </c>
      <c r="BC233" s="80">
        <v>3990</v>
      </c>
      <c r="BD233" s="80">
        <v>649</v>
      </c>
      <c r="BE233" s="80">
        <v>7</v>
      </c>
      <c r="BF233" s="80">
        <v>-1440</v>
      </c>
      <c r="BG233" s="80">
        <v>1503</v>
      </c>
      <c r="BH233" s="80">
        <v>33</v>
      </c>
      <c r="BI233" s="80">
        <v>0</v>
      </c>
      <c r="BJ233" s="80">
        <v>33</v>
      </c>
      <c r="BK233" s="80">
        <v>2077</v>
      </c>
      <c r="BL233" s="80">
        <v>2768</v>
      </c>
      <c r="BM233" s="80">
        <v>1691</v>
      </c>
      <c r="BN233" s="80">
        <v>1000</v>
      </c>
      <c r="BO233" s="80">
        <v>0</v>
      </c>
      <c r="BP233" s="80">
        <v>-607</v>
      </c>
      <c r="BQ233" s="80">
        <v>8</v>
      </c>
      <c r="BR233" s="80">
        <v>2</v>
      </c>
      <c r="BS233" s="80">
        <v>-788</v>
      </c>
      <c r="BT233" s="80">
        <v>171</v>
      </c>
      <c r="BU233" s="80">
        <v>63</v>
      </c>
      <c r="BV233" s="80">
        <v>260</v>
      </c>
      <c r="BW233" s="80">
        <v>197</v>
      </c>
      <c r="BX233" s="81"/>
      <c r="BY233" s="80">
        <v>29770</v>
      </c>
      <c r="BZ233" s="80">
        <v>1142</v>
      </c>
      <c r="CA233" s="80">
        <v>0</v>
      </c>
      <c r="CB233" s="80">
        <v>1142</v>
      </c>
      <c r="CC233" s="80">
        <v>0</v>
      </c>
      <c r="CD233" s="80">
        <v>20365</v>
      </c>
      <c r="CE233" s="80">
        <v>4014</v>
      </c>
      <c r="CF233" s="80">
        <v>13312</v>
      </c>
      <c r="CG233" s="80">
        <v>1386</v>
      </c>
      <c r="CH233" s="80">
        <v>490</v>
      </c>
      <c r="CI233" s="80">
        <v>0</v>
      </c>
      <c r="CJ233" s="80">
        <v>0</v>
      </c>
      <c r="CK233" s="80">
        <v>1163</v>
      </c>
      <c r="CL233" s="80">
        <v>8263</v>
      </c>
      <c r="CM233" s="80">
        <v>4786</v>
      </c>
      <c r="CN233" s="80">
        <v>1193</v>
      </c>
      <c r="CO233" s="80">
        <v>3593</v>
      </c>
      <c r="CP233" s="80">
        <v>0</v>
      </c>
      <c r="CQ233" s="80">
        <v>3475</v>
      </c>
      <c r="CR233" s="80">
        <v>0</v>
      </c>
      <c r="CS233" s="80">
        <v>0</v>
      </c>
      <c r="CT233" s="80">
        <v>3475</v>
      </c>
      <c r="CU233" s="80">
        <v>2</v>
      </c>
      <c r="CV233" s="80">
        <v>167</v>
      </c>
      <c r="CW233" s="80">
        <v>0</v>
      </c>
      <c r="CX233" s="80">
        <v>167</v>
      </c>
      <c r="CY233" s="80">
        <v>0</v>
      </c>
      <c r="CZ233" s="80">
        <v>2492</v>
      </c>
      <c r="DA233" s="80">
        <v>178</v>
      </c>
      <c r="DB233" s="80">
        <v>167</v>
      </c>
      <c r="DC233" s="80">
        <v>0</v>
      </c>
      <c r="DD233" s="80">
        <v>11</v>
      </c>
      <c r="DE233" s="80">
        <v>0</v>
      </c>
      <c r="DF233" s="80">
        <v>0</v>
      </c>
      <c r="DG233" s="80">
        <v>2054</v>
      </c>
      <c r="DH233" s="80">
        <v>364</v>
      </c>
      <c r="DI233" s="80">
        <v>329</v>
      </c>
      <c r="DJ233" s="80">
        <v>10</v>
      </c>
      <c r="DK233" s="80">
        <v>0</v>
      </c>
      <c r="DL233" s="80">
        <v>25</v>
      </c>
      <c r="DM233" s="80">
        <v>1690</v>
      </c>
      <c r="DN233" s="80">
        <v>471</v>
      </c>
      <c r="DO233" s="80">
        <v>0</v>
      </c>
      <c r="DP233" s="80">
        <v>1112</v>
      </c>
      <c r="DQ233" s="80">
        <v>107</v>
      </c>
      <c r="DR233" s="80">
        <v>0</v>
      </c>
      <c r="DS233" s="80">
        <v>0</v>
      </c>
      <c r="DT233" s="80">
        <v>0</v>
      </c>
      <c r="DU233" s="80">
        <v>0</v>
      </c>
      <c r="DV233" s="80">
        <v>0</v>
      </c>
      <c r="DW233" s="80">
        <v>260</v>
      </c>
      <c r="DX233" s="80">
        <v>32429</v>
      </c>
      <c r="DY233" s="80">
        <v>12784</v>
      </c>
      <c r="DZ233" s="80">
        <v>7292</v>
      </c>
      <c r="EA233" s="80">
        <v>0</v>
      </c>
      <c r="EB233" s="80">
        <v>0</v>
      </c>
      <c r="EC233" s="80">
        <v>4884</v>
      </c>
      <c r="ED233" s="80">
        <v>608</v>
      </c>
      <c r="EE233" s="80">
        <v>0</v>
      </c>
      <c r="EF233" s="80">
        <v>0</v>
      </c>
      <c r="EG233" s="80">
        <v>0</v>
      </c>
      <c r="EH233" s="80">
        <v>0</v>
      </c>
      <c r="EI233" s="80">
        <v>0</v>
      </c>
      <c r="EJ233" s="80">
        <v>0</v>
      </c>
      <c r="EK233" s="80">
        <v>167</v>
      </c>
      <c r="EL233" s="80">
        <v>0</v>
      </c>
      <c r="EM233" s="80">
        <v>167</v>
      </c>
      <c r="EN233" s="80">
        <v>0</v>
      </c>
      <c r="EO233" s="80">
        <v>19478</v>
      </c>
      <c r="EP233" s="80">
        <v>11052</v>
      </c>
      <c r="EQ233" s="80">
        <v>0</v>
      </c>
      <c r="ER233" s="80">
        <v>7675</v>
      </c>
      <c r="ES233" s="80">
        <v>0</v>
      </c>
      <c r="ET233" s="80">
        <v>7675</v>
      </c>
      <c r="EU233" s="80">
        <v>0</v>
      </c>
      <c r="EV233" s="80">
        <v>0</v>
      </c>
      <c r="EW233" s="80">
        <v>3377</v>
      </c>
      <c r="EX233" s="80">
        <v>0</v>
      </c>
      <c r="EY233" s="80">
        <v>0</v>
      </c>
      <c r="EZ233" s="80">
        <v>0</v>
      </c>
      <c r="FA233" s="80">
        <v>0</v>
      </c>
      <c r="FB233" s="80">
        <v>0</v>
      </c>
      <c r="FC233" s="80">
        <v>0</v>
      </c>
      <c r="FD233" s="80">
        <v>8426</v>
      </c>
      <c r="FE233" s="80">
        <v>0</v>
      </c>
      <c r="FF233" s="80">
        <v>2300</v>
      </c>
      <c r="FG233" s="80">
        <v>1050</v>
      </c>
      <c r="FH233" s="80">
        <v>1250</v>
      </c>
      <c r="FI233" s="80">
        <v>0</v>
      </c>
      <c r="FJ233" s="80">
        <v>0</v>
      </c>
      <c r="FK233" s="80">
        <v>449</v>
      </c>
      <c r="FL233" s="80">
        <v>0</v>
      </c>
      <c r="FM233" s="80">
        <v>65</v>
      </c>
      <c r="FN233" s="80">
        <v>2612</v>
      </c>
      <c r="FO233" s="80">
        <v>294</v>
      </c>
      <c r="FP233" s="80">
        <v>2706</v>
      </c>
      <c r="FQ233" s="80">
        <v>32429</v>
      </c>
      <c r="FR233" s="80">
        <v>8033</v>
      </c>
      <c r="FS233" s="80">
        <v>77</v>
      </c>
      <c r="FT233" s="100">
        <v>16138.874453390192</v>
      </c>
      <c r="FU233" s="100"/>
      <c r="FV233" s="100">
        <v>7402</v>
      </c>
      <c r="FW233" s="67">
        <v>1142</v>
      </c>
      <c r="FX233" s="100">
        <f t="shared" si="20"/>
        <v>-16978</v>
      </c>
      <c r="FY233" s="100">
        <f t="shared" si="21"/>
        <v>-28406</v>
      </c>
      <c r="FZ233" s="100">
        <v>20412.962762346466</v>
      </c>
      <c r="GA233" s="67">
        <v>11428</v>
      </c>
      <c r="GB233" s="58">
        <f t="shared" si="18"/>
        <v>4026</v>
      </c>
      <c r="GC233" s="67">
        <v>1297</v>
      </c>
      <c r="GD233" s="100">
        <v>2131</v>
      </c>
      <c r="GE233" s="100">
        <v>408</v>
      </c>
      <c r="GF233" s="58">
        <f t="shared" si="19"/>
        <v>1723</v>
      </c>
      <c r="GG233" s="100">
        <v>-5708.1639999999998</v>
      </c>
      <c r="GH233" s="100">
        <v>-368.20830000000018</v>
      </c>
      <c r="GI233" s="100">
        <v>-14761.620406769343</v>
      </c>
      <c r="GJ233" s="67">
        <f t="shared" si="22"/>
        <v>155</v>
      </c>
      <c r="GK233" s="67"/>
      <c r="GM233" s="96"/>
    </row>
    <row r="234" spans="1:195" ht="13.5" customHeight="1" x14ac:dyDescent="0.2">
      <c r="A234" s="74">
        <v>734</v>
      </c>
      <c r="B234" s="75" t="s">
        <v>161</v>
      </c>
      <c r="C234" s="75" t="s">
        <v>161</v>
      </c>
      <c r="D234" s="76"/>
      <c r="E234" s="77" t="s">
        <v>219</v>
      </c>
      <c r="F234" s="78">
        <v>6</v>
      </c>
      <c r="G234" s="79">
        <v>53890</v>
      </c>
      <c r="H234" s="80">
        <v>53032</v>
      </c>
      <c r="I234" s="80">
        <v>19242</v>
      </c>
      <c r="J234" s="80">
        <v>17843</v>
      </c>
      <c r="K234" s="80">
        <v>5826</v>
      </c>
      <c r="L234" s="80">
        <v>10121</v>
      </c>
      <c r="M234" s="80">
        <v>0</v>
      </c>
      <c r="N234" s="80">
        <v>0</v>
      </c>
      <c r="O234" s="80">
        <v>332932</v>
      </c>
      <c r="P234" s="80">
        <v>161643</v>
      </c>
      <c r="Q234" s="80">
        <v>124147</v>
      </c>
      <c r="R234" s="80">
        <v>37496</v>
      </c>
      <c r="S234" s="80">
        <v>29926</v>
      </c>
      <c r="T234" s="80">
        <v>7570</v>
      </c>
      <c r="U234" s="80">
        <v>128871</v>
      </c>
      <c r="V234" s="80">
        <v>17323</v>
      </c>
      <c r="W234" s="80">
        <v>19796</v>
      </c>
      <c r="X234" s="80">
        <v>5299</v>
      </c>
      <c r="Y234" s="80">
        <v>-279900</v>
      </c>
      <c r="Z234" s="80">
        <v>194485</v>
      </c>
      <c r="AA234" s="80">
        <v>169873</v>
      </c>
      <c r="AB234" s="80">
        <v>10665</v>
      </c>
      <c r="AC234" s="80">
        <v>13947</v>
      </c>
      <c r="AD234" s="80">
        <v>103235</v>
      </c>
      <c r="AE234" s="80">
        <v>-1038</v>
      </c>
      <c r="AF234" s="80">
        <v>457</v>
      </c>
      <c r="AG234" s="80">
        <v>369</v>
      </c>
      <c r="AH234" s="80">
        <v>99</v>
      </c>
      <c r="AI234" s="80">
        <v>1849</v>
      </c>
      <c r="AJ234" s="80">
        <v>15</v>
      </c>
      <c r="AK234" s="80">
        <v>16782</v>
      </c>
      <c r="AL234" s="80">
        <v>15319</v>
      </c>
      <c r="AM234" s="80">
        <v>15319</v>
      </c>
      <c r="AN234" s="80">
        <v>0</v>
      </c>
      <c r="AO234" s="80">
        <v>6050</v>
      </c>
      <c r="AP234" s="80">
        <v>6050</v>
      </c>
      <c r="AQ234" s="80">
        <v>0</v>
      </c>
      <c r="AR234" s="80">
        <v>7513</v>
      </c>
      <c r="AS234" s="80">
        <v>534</v>
      </c>
      <c r="AT234" s="80">
        <v>0</v>
      </c>
      <c r="AU234" s="80">
        <v>0</v>
      </c>
      <c r="AV234" s="80">
        <v>8047</v>
      </c>
      <c r="AW234" s="81"/>
      <c r="AX234" s="80">
        <v>16437</v>
      </c>
      <c r="AY234" s="80">
        <v>16782</v>
      </c>
      <c r="AZ234" s="80">
        <v>6050</v>
      </c>
      <c r="BA234" s="80">
        <v>-6395</v>
      </c>
      <c r="BB234" s="80">
        <v>2611</v>
      </c>
      <c r="BC234" s="80">
        <v>13030</v>
      </c>
      <c r="BD234" s="80">
        <v>1315</v>
      </c>
      <c r="BE234" s="80">
        <v>14326</v>
      </c>
      <c r="BF234" s="80">
        <v>19048</v>
      </c>
      <c r="BG234" s="80">
        <v>-10240</v>
      </c>
      <c r="BH234" s="80">
        <v>-6859</v>
      </c>
      <c r="BI234" s="80">
        <v>7015</v>
      </c>
      <c r="BJ234" s="80">
        <v>156</v>
      </c>
      <c r="BK234" s="80">
        <v>-3395</v>
      </c>
      <c r="BL234" s="80">
        <v>10000</v>
      </c>
      <c r="BM234" s="80">
        <v>13395</v>
      </c>
      <c r="BN234" s="80">
        <v>0</v>
      </c>
      <c r="BO234" s="80">
        <v>0</v>
      </c>
      <c r="BP234" s="80">
        <v>14</v>
      </c>
      <c r="BQ234" s="80">
        <v>-8</v>
      </c>
      <c r="BR234" s="80">
        <v>0</v>
      </c>
      <c r="BS234" s="80">
        <v>2579</v>
      </c>
      <c r="BT234" s="80">
        <v>-2557</v>
      </c>
      <c r="BU234" s="80">
        <v>8808</v>
      </c>
      <c r="BV234" s="80">
        <v>27025</v>
      </c>
      <c r="BW234" s="80">
        <v>18217</v>
      </c>
      <c r="BX234" s="81"/>
      <c r="BY234" s="80">
        <v>370651</v>
      </c>
      <c r="BZ234" s="80">
        <v>0</v>
      </c>
      <c r="CA234" s="80">
        <v>0</v>
      </c>
      <c r="CB234" s="80">
        <v>0</v>
      </c>
      <c r="CC234" s="80">
        <v>0</v>
      </c>
      <c r="CD234" s="80">
        <v>313441</v>
      </c>
      <c r="CE234" s="80">
        <v>108443</v>
      </c>
      <c r="CF234" s="80">
        <v>133837</v>
      </c>
      <c r="CG234" s="80">
        <v>65376</v>
      </c>
      <c r="CH234" s="80">
        <v>1354</v>
      </c>
      <c r="CI234" s="80">
        <v>740</v>
      </c>
      <c r="CJ234" s="80">
        <v>740</v>
      </c>
      <c r="CK234" s="80">
        <v>3691</v>
      </c>
      <c r="CL234" s="80">
        <v>57210</v>
      </c>
      <c r="CM234" s="80">
        <v>45551</v>
      </c>
      <c r="CN234" s="80">
        <v>31527</v>
      </c>
      <c r="CO234" s="80">
        <v>14024</v>
      </c>
      <c r="CP234" s="80">
        <v>0</v>
      </c>
      <c r="CQ234" s="80">
        <v>11659</v>
      </c>
      <c r="CR234" s="80">
        <v>0</v>
      </c>
      <c r="CS234" s="80">
        <v>0</v>
      </c>
      <c r="CT234" s="80">
        <v>11659</v>
      </c>
      <c r="CU234" s="80">
        <v>0</v>
      </c>
      <c r="CV234" s="80">
        <v>2121</v>
      </c>
      <c r="CW234" s="80">
        <v>1669</v>
      </c>
      <c r="CX234" s="80">
        <v>452</v>
      </c>
      <c r="CY234" s="80">
        <v>0</v>
      </c>
      <c r="CZ234" s="80">
        <v>37255</v>
      </c>
      <c r="DA234" s="80">
        <v>0</v>
      </c>
      <c r="DB234" s="80">
        <v>0</v>
      </c>
      <c r="DC234" s="80">
        <v>0</v>
      </c>
      <c r="DD234" s="80">
        <v>0</v>
      </c>
      <c r="DE234" s="80">
        <v>0</v>
      </c>
      <c r="DF234" s="80">
        <v>0</v>
      </c>
      <c r="DG234" s="80">
        <v>10229</v>
      </c>
      <c r="DH234" s="80">
        <v>565</v>
      </c>
      <c r="DI234" s="80">
        <v>0</v>
      </c>
      <c r="DJ234" s="80">
        <v>0</v>
      </c>
      <c r="DK234" s="80">
        <v>565</v>
      </c>
      <c r="DL234" s="80">
        <v>0</v>
      </c>
      <c r="DM234" s="80">
        <v>9664</v>
      </c>
      <c r="DN234" s="80">
        <v>6133</v>
      </c>
      <c r="DO234" s="80">
        <v>0</v>
      </c>
      <c r="DP234" s="80">
        <v>1468</v>
      </c>
      <c r="DQ234" s="80">
        <v>2063</v>
      </c>
      <c r="DR234" s="80">
        <v>3462</v>
      </c>
      <c r="DS234" s="80">
        <v>13</v>
      </c>
      <c r="DT234" s="80">
        <v>0</v>
      </c>
      <c r="DU234" s="80">
        <v>0</v>
      </c>
      <c r="DV234" s="80">
        <v>3449</v>
      </c>
      <c r="DW234" s="80">
        <v>23564</v>
      </c>
      <c r="DX234" s="80">
        <v>410027</v>
      </c>
      <c r="DY234" s="80">
        <v>240528</v>
      </c>
      <c r="DZ234" s="80">
        <v>223783</v>
      </c>
      <c r="EA234" s="80">
        <v>0</v>
      </c>
      <c r="EB234" s="80">
        <v>1544</v>
      </c>
      <c r="EC234" s="80">
        <v>7154</v>
      </c>
      <c r="ED234" s="80">
        <v>8047</v>
      </c>
      <c r="EE234" s="80">
        <v>12528</v>
      </c>
      <c r="EF234" s="80">
        <v>12528</v>
      </c>
      <c r="EG234" s="80">
        <v>0</v>
      </c>
      <c r="EH234" s="80">
        <v>0</v>
      </c>
      <c r="EI234" s="80">
        <v>0</v>
      </c>
      <c r="EJ234" s="80">
        <v>0</v>
      </c>
      <c r="EK234" s="80">
        <v>2245</v>
      </c>
      <c r="EL234" s="80">
        <v>1669</v>
      </c>
      <c r="EM234" s="80">
        <v>575</v>
      </c>
      <c r="EN234" s="80">
        <v>1</v>
      </c>
      <c r="EO234" s="80">
        <v>154726</v>
      </c>
      <c r="EP234" s="80">
        <v>98232</v>
      </c>
      <c r="EQ234" s="80">
        <v>0</v>
      </c>
      <c r="ER234" s="80">
        <v>93771</v>
      </c>
      <c r="ES234" s="80">
        <v>20976</v>
      </c>
      <c r="ET234" s="80">
        <v>72795</v>
      </c>
      <c r="EU234" s="80">
        <v>0</v>
      </c>
      <c r="EV234" s="80">
        <v>0</v>
      </c>
      <c r="EW234" s="80">
        <v>2517</v>
      </c>
      <c r="EX234" s="80">
        <v>0</v>
      </c>
      <c r="EY234" s="80">
        <v>16</v>
      </c>
      <c r="EZ234" s="80">
        <v>0</v>
      </c>
      <c r="FA234" s="80">
        <v>1928</v>
      </c>
      <c r="FB234" s="80">
        <v>0</v>
      </c>
      <c r="FC234" s="80">
        <v>0</v>
      </c>
      <c r="FD234" s="80">
        <v>56494</v>
      </c>
      <c r="FE234" s="80">
        <v>0</v>
      </c>
      <c r="FF234" s="80">
        <v>13508</v>
      </c>
      <c r="FG234" s="80">
        <v>2041</v>
      </c>
      <c r="FH234" s="80">
        <v>11467</v>
      </c>
      <c r="FI234" s="80">
        <v>0</v>
      </c>
      <c r="FJ234" s="80">
        <v>0</v>
      </c>
      <c r="FK234" s="80">
        <v>780</v>
      </c>
      <c r="FL234" s="80">
        <v>0</v>
      </c>
      <c r="FM234" s="80">
        <v>1872</v>
      </c>
      <c r="FN234" s="80">
        <v>10607</v>
      </c>
      <c r="FO234" s="80">
        <v>5375</v>
      </c>
      <c r="FP234" s="80">
        <v>24352</v>
      </c>
      <c r="FQ234" s="80">
        <v>410027</v>
      </c>
      <c r="FR234" s="80">
        <v>21320</v>
      </c>
      <c r="FS234" s="80">
        <v>17884</v>
      </c>
      <c r="FT234" s="100">
        <v>170377.69319965647</v>
      </c>
      <c r="FU234" s="100"/>
      <c r="FV234" s="100">
        <v>72451</v>
      </c>
      <c r="FW234" s="67">
        <v>14726</v>
      </c>
      <c r="FX234" s="100">
        <f t="shared" si="20"/>
        <v>-167403</v>
      </c>
      <c r="FY234" s="100">
        <f t="shared" si="21"/>
        <v>-264581</v>
      </c>
      <c r="FZ234" s="100">
        <v>181997.16216484722</v>
      </c>
      <c r="GA234" s="67">
        <v>97178</v>
      </c>
      <c r="GB234" s="58">
        <f t="shared" si="18"/>
        <v>24727</v>
      </c>
      <c r="GC234" s="67">
        <v>15320</v>
      </c>
      <c r="GD234" s="100">
        <v>17961</v>
      </c>
      <c r="GE234" s="100">
        <v>5162</v>
      </c>
      <c r="GF234" s="58">
        <f t="shared" si="19"/>
        <v>12799</v>
      </c>
      <c r="GG234" s="100">
        <v>-98158.428</v>
      </c>
      <c r="GH234" s="100">
        <v>-2995.4624000000013</v>
      </c>
      <c r="GI234" s="100">
        <v>-82221.161941325729</v>
      </c>
      <c r="GJ234" s="67">
        <f t="shared" si="22"/>
        <v>594</v>
      </c>
      <c r="GK234" s="67"/>
      <c r="GM234" s="96"/>
    </row>
    <row r="235" spans="1:195" ht="13.5" customHeight="1" x14ac:dyDescent="0.2">
      <c r="A235" s="74">
        <v>790</v>
      </c>
      <c r="B235" s="75" t="s">
        <v>181</v>
      </c>
      <c r="C235" s="75" t="s">
        <v>181</v>
      </c>
      <c r="D235" s="76"/>
      <c r="E235" s="77" t="s">
        <v>214</v>
      </c>
      <c r="F235" s="78">
        <v>5</v>
      </c>
      <c r="G235" s="79">
        <v>25220</v>
      </c>
      <c r="H235" s="80">
        <v>44561</v>
      </c>
      <c r="I235" s="80">
        <v>25422</v>
      </c>
      <c r="J235" s="80">
        <v>10199</v>
      </c>
      <c r="K235" s="80">
        <v>3878</v>
      </c>
      <c r="L235" s="80">
        <v>5062</v>
      </c>
      <c r="M235" s="80">
        <v>0</v>
      </c>
      <c r="N235" s="80">
        <v>478</v>
      </c>
      <c r="O235" s="80">
        <v>178804</v>
      </c>
      <c r="P235" s="80">
        <v>79214</v>
      </c>
      <c r="Q235" s="80">
        <v>60190</v>
      </c>
      <c r="R235" s="80">
        <v>19024</v>
      </c>
      <c r="S235" s="80">
        <v>15467</v>
      </c>
      <c r="T235" s="80">
        <v>3557</v>
      </c>
      <c r="U235" s="80">
        <v>72880</v>
      </c>
      <c r="V235" s="80">
        <v>8143</v>
      </c>
      <c r="W235" s="80">
        <v>14860</v>
      </c>
      <c r="X235" s="80">
        <v>3707</v>
      </c>
      <c r="Y235" s="80">
        <v>-133765</v>
      </c>
      <c r="Z235" s="80">
        <v>82365</v>
      </c>
      <c r="AA235" s="80">
        <v>72541</v>
      </c>
      <c r="AB235" s="80">
        <v>4588</v>
      </c>
      <c r="AC235" s="80">
        <v>5236</v>
      </c>
      <c r="AD235" s="80">
        <v>62667</v>
      </c>
      <c r="AE235" s="80">
        <v>-275</v>
      </c>
      <c r="AF235" s="80">
        <v>3</v>
      </c>
      <c r="AG235" s="80">
        <v>432</v>
      </c>
      <c r="AH235" s="80">
        <v>350</v>
      </c>
      <c r="AI235" s="80">
        <v>690</v>
      </c>
      <c r="AJ235" s="80">
        <v>20</v>
      </c>
      <c r="AK235" s="80">
        <v>10992</v>
      </c>
      <c r="AL235" s="80">
        <v>7231</v>
      </c>
      <c r="AM235" s="80">
        <v>7231</v>
      </c>
      <c r="AN235" s="80">
        <v>0</v>
      </c>
      <c r="AO235" s="80">
        <v>0</v>
      </c>
      <c r="AP235" s="80">
        <v>0</v>
      </c>
      <c r="AQ235" s="80">
        <v>0</v>
      </c>
      <c r="AR235" s="80">
        <v>3761</v>
      </c>
      <c r="AS235" s="80">
        <v>207</v>
      </c>
      <c r="AT235" s="80">
        <v>-1500</v>
      </c>
      <c r="AU235" s="80">
        <v>0</v>
      </c>
      <c r="AV235" s="80">
        <v>2468</v>
      </c>
      <c r="AW235" s="81"/>
      <c r="AX235" s="80">
        <v>10027</v>
      </c>
      <c r="AY235" s="80">
        <v>10992</v>
      </c>
      <c r="AZ235" s="80">
        <v>0</v>
      </c>
      <c r="BA235" s="80">
        <v>-965</v>
      </c>
      <c r="BB235" s="80">
        <v>-6917</v>
      </c>
      <c r="BC235" s="80">
        <v>8796</v>
      </c>
      <c r="BD235" s="80">
        <v>348</v>
      </c>
      <c r="BE235" s="80">
        <v>1531</v>
      </c>
      <c r="BF235" s="80">
        <v>3110</v>
      </c>
      <c r="BG235" s="80">
        <v>-2708</v>
      </c>
      <c r="BH235" s="80">
        <v>6</v>
      </c>
      <c r="BI235" s="80">
        <v>0</v>
      </c>
      <c r="BJ235" s="80">
        <v>6</v>
      </c>
      <c r="BK235" s="80">
        <v>1283</v>
      </c>
      <c r="BL235" s="80">
        <v>10000</v>
      </c>
      <c r="BM235" s="80">
        <v>8717</v>
      </c>
      <c r="BN235" s="80">
        <v>0</v>
      </c>
      <c r="BO235" s="80">
        <v>0</v>
      </c>
      <c r="BP235" s="80">
        <v>-3997</v>
      </c>
      <c r="BQ235" s="80">
        <v>-22</v>
      </c>
      <c r="BR235" s="80">
        <v>107</v>
      </c>
      <c r="BS235" s="80">
        <v>1450</v>
      </c>
      <c r="BT235" s="80">
        <v>-5532</v>
      </c>
      <c r="BU235" s="80">
        <v>402</v>
      </c>
      <c r="BV235" s="80">
        <v>27499</v>
      </c>
      <c r="BW235" s="80">
        <v>27097</v>
      </c>
      <c r="BX235" s="81"/>
      <c r="BY235" s="80">
        <v>155527</v>
      </c>
      <c r="BZ235" s="80">
        <v>958</v>
      </c>
      <c r="CA235" s="80">
        <v>4</v>
      </c>
      <c r="CB235" s="80">
        <v>954</v>
      </c>
      <c r="CC235" s="80">
        <v>0</v>
      </c>
      <c r="CD235" s="80">
        <v>122782</v>
      </c>
      <c r="CE235" s="80">
        <v>18750</v>
      </c>
      <c r="CF235" s="80">
        <v>56233</v>
      </c>
      <c r="CG235" s="80">
        <v>43860</v>
      </c>
      <c r="CH235" s="80">
        <v>980</v>
      </c>
      <c r="CI235" s="80">
        <v>42</v>
      </c>
      <c r="CJ235" s="80">
        <v>42</v>
      </c>
      <c r="CK235" s="80">
        <v>2917</v>
      </c>
      <c r="CL235" s="80">
        <v>31787</v>
      </c>
      <c r="CM235" s="80">
        <v>30114</v>
      </c>
      <c r="CN235" s="80">
        <v>21875</v>
      </c>
      <c r="CO235" s="80">
        <v>8239</v>
      </c>
      <c r="CP235" s="80">
        <v>0</v>
      </c>
      <c r="CQ235" s="80">
        <v>1148</v>
      </c>
      <c r="CR235" s="80">
        <v>0</v>
      </c>
      <c r="CS235" s="80">
        <v>0</v>
      </c>
      <c r="CT235" s="80">
        <v>1148</v>
      </c>
      <c r="CU235" s="80">
        <v>525</v>
      </c>
      <c r="CV235" s="80">
        <v>4289</v>
      </c>
      <c r="CW235" s="80">
        <v>44</v>
      </c>
      <c r="CX235" s="80">
        <v>4245</v>
      </c>
      <c r="CY235" s="80">
        <v>0</v>
      </c>
      <c r="CZ235" s="80">
        <v>35593</v>
      </c>
      <c r="DA235" s="80">
        <v>422</v>
      </c>
      <c r="DB235" s="80">
        <v>422</v>
      </c>
      <c r="DC235" s="80">
        <v>0</v>
      </c>
      <c r="DD235" s="80">
        <v>0</v>
      </c>
      <c r="DE235" s="80">
        <v>0</v>
      </c>
      <c r="DF235" s="80">
        <v>0</v>
      </c>
      <c r="DG235" s="80">
        <v>7671</v>
      </c>
      <c r="DH235" s="80">
        <v>473</v>
      </c>
      <c r="DI235" s="80">
        <v>0</v>
      </c>
      <c r="DJ235" s="80">
        <v>3</v>
      </c>
      <c r="DK235" s="80">
        <v>470</v>
      </c>
      <c r="DL235" s="80">
        <v>0</v>
      </c>
      <c r="DM235" s="80">
        <v>7198</v>
      </c>
      <c r="DN235" s="80">
        <v>4427</v>
      </c>
      <c r="DO235" s="80">
        <v>5</v>
      </c>
      <c r="DP235" s="80">
        <v>802</v>
      </c>
      <c r="DQ235" s="80">
        <v>1964</v>
      </c>
      <c r="DR235" s="80">
        <v>25</v>
      </c>
      <c r="DS235" s="80">
        <v>15</v>
      </c>
      <c r="DT235" s="80">
        <v>10</v>
      </c>
      <c r="DU235" s="80">
        <v>0</v>
      </c>
      <c r="DV235" s="80">
        <v>0</v>
      </c>
      <c r="DW235" s="80">
        <v>27475</v>
      </c>
      <c r="DX235" s="80">
        <v>195409</v>
      </c>
      <c r="DY235" s="80">
        <v>94190</v>
      </c>
      <c r="DZ235" s="80">
        <v>73550</v>
      </c>
      <c r="EA235" s="80">
        <v>0</v>
      </c>
      <c r="EB235" s="80">
        <v>1691</v>
      </c>
      <c r="EC235" s="80">
        <v>16481</v>
      </c>
      <c r="ED235" s="80">
        <v>2468</v>
      </c>
      <c r="EE235" s="80">
        <v>4674</v>
      </c>
      <c r="EF235" s="80">
        <v>2074</v>
      </c>
      <c r="EG235" s="80">
        <v>2600</v>
      </c>
      <c r="EH235" s="80">
        <v>0</v>
      </c>
      <c r="EI235" s="80">
        <v>0</v>
      </c>
      <c r="EJ235" s="80">
        <v>0</v>
      </c>
      <c r="EK235" s="80">
        <v>4479</v>
      </c>
      <c r="EL235" s="80">
        <v>107</v>
      </c>
      <c r="EM235" s="80">
        <v>4246</v>
      </c>
      <c r="EN235" s="80">
        <v>126</v>
      </c>
      <c r="EO235" s="80">
        <v>92067</v>
      </c>
      <c r="EP235" s="80">
        <v>45346</v>
      </c>
      <c r="EQ235" s="80">
        <v>0</v>
      </c>
      <c r="ER235" s="80">
        <v>40561</v>
      </c>
      <c r="ES235" s="80">
        <v>5433</v>
      </c>
      <c r="ET235" s="80">
        <v>35128</v>
      </c>
      <c r="EU235" s="80">
        <v>0</v>
      </c>
      <c r="EV235" s="80">
        <v>0</v>
      </c>
      <c r="EW235" s="80">
        <v>3014</v>
      </c>
      <c r="EX235" s="80">
        <v>0</v>
      </c>
      <c r="EY235" s="80">
        <v>0</v>
      </c>
      <c r="EZ235" s="80">
        <v>0</v>
      </c>
      <c r="FA235" s="80">
        <v>1771</v>
      </c>
      <c r="FB235" s="80">
        <v>0</v>
      </c>
      <c r="FC235" s="80">
        <v>0</v>
      </c>
      <c r="FD235" s="80">
        <v>46721</v>
      </c>
      <c r="FE235" s="80">
        <v>0</v>
      </c>
      <c r="FF235" s="80">
        <v>7192</v>
      </c>
      <c r="FG235" s="80">
        <v>598</v>
      </c>
      <c r="FH235" s="80">
        <v>6594</v>
      </c>
      <c r="FI235" s="80">
        <v>0</v>
      </c>
      <c r="FJ235" s="80">
        <v>0</v>
      </c>
      <c r="FK235" s="80">
        <v>1572</v>
      </c>
      <c r="FL235" s="80">
        <v>0</v>
      </c>
      <c r="FM235" s="80">
        <v>106</v>
      </c>
      <c r="FN235" s="80">
        <v>9598</v>
      </c>
      <c r="FO235" s="80">
        <v>15578</v>
      </c>
      <c r="FP235" s="80">
        <v>12675</v>
      </c>
      <c r="FQ235" s="80">
        <v>195410</v>
      </c>
      <c r="FR235" s="80">
        <v>20218</v>
      </c>
      <c r="FS235" s="80">
        <v>18593</v>
      </c>
      <c r="FT235" s="100">
        <v>79627.853999037558</v>
      </c>
      <c r="FU235" s="100"/>
      <c r="FV235" s="100">
        <v>35718</v>
      </c>
      <c r="FW235" s="67">
        <v>7135</v>
      </c>
      <c r="FX235" s="100">
        <f t="shared" si="20"/>
        <v>-68978</v>
      </c>
      <c r="FY235" s="100">
        <f t="shared" si="21"/>
        <v>-126534</v>
      </c>
      <c r="FZ235" s="100">
        <v>90556.709467155641</v>
      </c>
      <c r="GA235" s="67">
        <v>57556</v>
      </c>
      <c r="GB235" s="58">
        <f t="shared" si="18"/>
        <v>21838</v>
      </c>
      <c r="GC235" s="67">
        <v>7231</v>
      </c>
      <c r="GD235" s="100">
        <v>10247</v>
      </c>
      <c r="GE235" s="100">
        <v>3327</v>
      </c>
      <c r="GF235" s="58">
        <f t="shared" si="19"/>
        <v>6920</v>
      </c>
      <c r="GG235" s="100">
        <v>-41975.260999999999</v>
      </c>
      <c r="GH235" s="100">
        <v>-1344.3041500000004</v>
      </c>
      <c r="GI235" s="100">
        <v>-47749.583268907882</v>
      </c>
      <c r="GJ235" s="67">
        <f t="shared" si="22"/>
        <v>96</v>
      </c>
      <c r="GK235" s="67"/>
      <c r="GM235" s="96"/>
    </row>
    <row r="236" spans="1:195" ht="13.5" customHeight="1" x14ac:dyDescent="0.2">
      <c r="A236" s="74">
        <v>484</v>
      </c>
      <c r="B236" s="75" t="s">
        <v>279</v>
      </c>
      <c r="C236" s="82" t="s">
        <v>279</v>
      </c>
      <c r="D236" s="76"/>
      <c r="E236" s="77" t="s">
        <v>224</v>
      </c>
      <c r="F236" s="78">
        <v>2</v>
      </c>
      <c r="G236" s="79">
        <v>3185</v>
      </c>
      <c r="H236" s="80">
        <v>3531</v>
      </c>
      <c r="I236" s="80">
        <v>1785</v>
      </c>
      <c r="J236" s="80">
        <v>249</v>
      </c>
      <c r="K236" s="80">
        <v>246</v>
      </c>
      <c r="L236" s="80">
        <v>1251</v>
      </c>
      <c r="M236" s="80">
        <v>0</v>
      </c>
      <c r="N236" s="80">
        <v>0</v>
      </c>
      <c r="O236" s="80">
        <v>24141</v>
      </c>
      <c r="P236" s="80">
        <v>6859</v>
      </c>
      <c r="Q236" s="80">
        <v>5105</v>
      </c>
      <c r="R236" s="80">
        <v>1754</v>
      </c>
      <c r="S236" s="80">
        <v>1483</v>
      </c>
      <c r="T236" s="80">
        <v>271</v>
      </c>
      <c r="U236" s="80">
        <v>14784</v>
      </c>
      <c r="V236" s="80">
        <v>1466</v>
      </c>
      <c r="W236" s="80">
        <v>533</v>
      </c>
      <c r="X236" s="80">
        <v>499</v>
      </c>
      <c r="Y236" s="80">
        <v>-20610</v>
      </c>
      <c r="Z236" s="80">
        <v>10052</v>
      </c>
      <c r="AA236" s="80">
        <v>8346</v>
      </c>
      <c r="AB236" s="80">
        <v>720</v>
      </c>
      <c r="AC236" s="80">
        <v>986</v>
      </c>
      <c r="AD236" s="80">
        <v>12559</v>
      </c>
      <c r="AE236" s="80">
        <v>75</v>
      </c>
      <c r="AF236" s="80">
        <v>16</v>
      </c>
      <c r="AG236" s="80">
        <v>73</v>
      </c>
      <c r="AH236" s="80">
        <v>66</v>
      </c>
      <c r="AI236" s="80">
        <v>14</v>
      </c>
      <c r="AJ236" s="80">
        <v>0</v>
      </c>
      <c r="AK236" s="80">
        <v>2076</v>
      </c>
      <c r="AL236" s="80">
        <v>1137</v>
      </c>
      <c r="AM236" s="80">
        <v>1137</v>
      </c>
      <c r="AN236" s="80">
        <v>0</v>
      </c>
      <c r="AO236" s="80">
        <v>0</v>
      </c>
      <c r="AP236" s="80">
        <v>0</v>
      </c>
      <c r="AQ236" s="80">
        <v>0</v>
      </c>
      <c r="AR236" s="80">
        <v>939</v>
      </c>
      <c r="AS236" s="80">
        <v>0</v>
      </c>
      <c r="AT236" s="80">
        <v>0</v>
      </c>
      <c r="AU236" s="80">
        <v>0</v>
      </c>
      <c r="AV236" s="80">
        <v>939</v>
      </c>
      <c r="AW236" s="81"/>
      <c r="AX236" s="80">
        <v>2043</v>
      </c>
      <c r="AY236" s="80">
        <v>2076</v>
      </c>
      <c r="AZ236" s="80">
        <v>0</v>
      </c>
      <c r="BA236" s="80">
        <v>-33</v>
      </c>
      <c r="BB236" s="80">
        <v>-1264</v>
      </c>
      <c r="BC236" s="80">
        <v>1421</v>
      </c>
      <c r="BD236" s="80">
        <v>89</v>
      </c>
      <c r="BE236" s="80">
        <v>68</v>
      </c>
      <c r="BF236" s="80">
        <v>779</v>
      </c>
      <c r="BG236" s="80">
        <v>77</v>
      </c>
      <c r="BH236" s="80">
        <v>9</v>
      </c>
      <c r="BI236" s="80">
        <v>0</v>
      </c>
      <c r="BJ236" s="80">
        <v>9</v>
      </c>
      <c r="BK236" s="80">
        <v>-275</v>
      </c>
      <c r="BL236" s="80">
        <v>0</v>
      </c>
      <c r="BM236" s="80">
        <v>180</v>
      </c>
      <c r="BN236" s="80">
        <v>-95</v>
      </c>
      <c r="BO236" s="80">
        <v>0</v>
      </c>
      <c r="BP236" s="80">
        <v>343</v>
      </c>
      <c r="BQ236" s="80">
        <v>0</v>
      </c>
      <c r="BR236" s="80">
        <v>0</v>
      </c>
      <c r="BS236" s="80">
        <v>102</v>
      </c>
      <c r="BT236" s="80">
        <v>241</v>
      </c>
      <c r="BU236" s="80">
        <v>856</v>
      </c>
      <c r="BV236" s="80">
        <v>3543</v>
      </c>
      <c r="BW236" s="80">
        <v>2687</v>
      </c>
      <c r="BX236" s="81"/>
      <c r="BY236" s="80">
        <v>21441</v>
      </c>
      <c r="BZ236" s="80">
        <v>20</v>
      </c>
      <c r="CA236" s="80">
        <v>14</v>
      </c>
      <c r="CB236" s="80">
        <v>6</v>
      </c>
      <c r="CC236" s="80">
        <v>0</v>
      </c>
      <c r="CD236" s="80">
        <v>18114</v>
      </c>
      <c r="CE236" s="80">
        <v>2738</v>
      </c>
      <c r="CF236" s="80">
        <v>8333</v>
      </c>
      <c r="CG236" s="80">
        <v>6120</v>
      </c>
      <c r="CH236" s="80">
        <v>95</v>
      </c>
      <c r="CI236" s="80">
        <v>0</v>
      </c>
      <c r="CJ236" s="80">
        <v>0</v>
      </c>
      <c r="CK236" s="80">
        <v>828</v>
      </c>
      <c r="CL236" s="80">
        <v>3307</v>
      </c>
      <c r="CM236" s="80">
        <v>3119</v>
      </c>
      <c r="CN236" s="80">
        <v>2003</v>
      </c>
      <c r="CO236" s="80">
        <v>1116</v>
      </c>
      <c r="CP236" s="80">
        <v>0</v>
      </c>
      <c r="CQ236" s="80">
        <v>188</v>
      </c>
      <c r="CR236" s="80">
        <v>0</v>
      </c>
      <c r="CS236" s="80">
        <v>0</v>
      </c>
      <c r="CT236" s="80">
        <v>188</v>
      </c>
      <c r="CU236" s="80">
        <v>0</v>
      </c>
      <c r="CV236" s="80">
        <v>8</v>
      </c>
      <c r="CW236" s="80">
        <v>0</v>
      </c>
      <c r="CX236" s="80">
        <v>8</v>
      </c>
      <c r="CY236" s="80">
        <v>0</v>
      </c>
      <c r="CZ236" s="80">
        <v>4473</v>
      </c>
      <c r="DA236" s="80">
        <v>9</v>
      </c>
      <c r="DB236" s="80">
        <v>9</v>
      </c>
      <c r="DC236" s="80">
        <v>0</v>
      </c>
      <c r="DD236" s="80">
        <v>0</v>
      </c>
      <c r="DE236" s="80">
        <v>0</v>
      </c>
      <c r="DF236" s="80">
        <v>0</v>
      </c>
      <c r="DG236" s="80">
        <v>921</v>
      </c>
      <c r="DH236" s="80">
        <v>39</v>
      </c>
      <c r="DI236" s="80">
        <v>0</v>
      </c>
      <c r="DJ236" s="80">
        <v>39</v>
      </c>
      <c r="DK236" s="80">
        <v>0</v>
      </c>
      <c r="DL236" s="80">
        <v>0</v>
      </c>
      <c r="DM236" s="80">
        <v>882</v>
      </c>
      <c r="DN236" s="80">
        <v>392</v>
      </c>
      <c r="DO236" s="80">
        <v>37</v>
      </c>
      <c r="DP236" s="80">
        <v>123</v>
      </c>
      <c r="DQ236" s="80">
        <v>330</v>
      </c>
      <c r="DR236" s="80">
        <v>0</v>
      </c>
      <c r="DS236" s="80">
        <v>0</v>
      </c>
      <c r="DT236" s="80">
        <v>0</v>
      </c>
      <c r="DU236" s="80">
        <v>0</v>
      </c>
      <c r="DV236" s="80">
        <v>0</v>
      </c>
      <c r="DW236" s="80">
        <v>3543</v>
      </c>
      <c r="DX236" s="80">
        <v>25922</v>
      </c>
      <c r="DY236" s="80">
        <v>21479</v>
      </c>
      <c r="DZ236" s="80">
        <v>14006</v>
      </c>
      <c r="EA236" s="80">
        <v>0</v>
      </c>
      <c r="EB236" s="80">
        <v>0</v>
      </c>
      <c r="EC236" s="80">
        <v>6534</v>
      </c>
      <c r="ED236" s="80">
        <v>939</v>
      </c>
      <c r="EE236" s="80">
        <v>0</v>
      </c>
      <c r="EF236" s="80">
        <v>0</v>
      </c>
      <c r="EG236" s="80">
        <v>0</v>
      </c>
      <c r="EH236" s="80">
        <v>0</v>
      </c>
      <c r="EI236" s="80">
        <v>0</v>
      </c>
      <c r="EJ236" s="80">
        <v>0</v>
      </c>
      <c r="EK236" s="80">
        <v>8</v>
      </c>
      <c r="EL236" s="80">
        <v>0</v>
      </c>
      <c r="EM236" s="80">
        <v>8</v>
      </c>
      <c r="EN236" s="80">
        <v>0</v>
      </c>
      <c r="EO236" s="80">
        <v>4435</v>
      </c>
      <c r="EP236" s="80">
        <v>2167</v>
      </c>
      <c r="EQ236" s="80">
        <v>0</v>
      </c>
      <c r="ER236" s="80">
        <v>1251</v>
      </c>
      <c r="ES236" s="80">
        <v>0</v>
      </c>
      <c r="ET236" s="80">
        <v>1251</v>
      </c>
      <c r="EU236" s="80">
        <v>0</v>
      </c>
      <c r="EV236" s="80">
        <v>0</v>
      </c>
      <c r="EW236" s="80">
        <v>0</v>
      </c>
      <c r="EX236" s="80">
        <v>0</v>
      </c>
      <c r="EY236" s="80">
        <v>0</v>
      </c>
      <c r="EZ236" s="80">
        <v>0</v>
      </c>
      <c r="FA236" s="80">
        <v>916</v>
      </c>
      <c r="FB236" s="80">
        <v>0</v>
      </c>
      <c r="FC236" s="80">
        <v>0</v>
      </c>
      <c r="FD236" s="80">
        <v>2268</v>
      </c>
      <c r="FE236" s="80">
        <v>0</v>
      </c>
      <c r="FF236" s="80">
        <v>180</v>
      </c>
      <c r="FG236" s="80">
        <v>0</v>
      </c>
      <c r="FH236" s="80">
        <v>180</v>
      </c>
      <c r="FI236" s="80">
        <v>0</v>
      </c>
      <c r="FJ236" s="80">
        <v>0</v>
      </c>
      <c r="FK236" s="80">
        <v>0</v>
      </c>
      <c r="FL236" s="80">
        <v>0</v>
      </c>
      <c r="FM236" s="80">
        <v>41</v>
      </c>
      <c r="FN236" s="80">
        <v>752</v>
      </c>
      <c r="FO236" s="80">
        <v>134</v>
      </c>
      <c r="FP236" s="80">
        <v>1161</v>
      </c>
      <c r="FQ236" s="80">
        <v>25922</v>
      </c>
      <c r="FR236" s="80">
        <v>1068</v>
      </c>
      <c r="FS236" s="80">
        <v>312</v>
      </c>
      <c r="FT236" s="100">
        <v>13298.049582489486</v>
      </c>
      <c r="FU236" s="100"/>
      <c r="FV236" s="100">
        <v>5496</v>
      </c>
      <c r="FW236" s="67">
        <v>1114</v>
      </c>
      <c r="FX236" s="100">
        <f t="shared" si="20"/>
        <v>-13839</v>
      </c>
      <c r="FY236" s="100">
        <f t="shared" si="21"/>
        <v>-19473</v>
      </c>
      <c r="FZ236" s="100">
        <v>12699.447397216298</v>
      </c>
      <c r="GA236" s="67">
        <v>5634</v>
      </c>
      <c r="GB236" s="58">
        <f t="shared" si="18"/>
        <v>138</v>
      </c>
      <c r="GC236" s="67">
        <v>1137</v>
      </c>
      <c r="GD236" s="100">
        <v>249</v>
      </c>
      <c r="GE236" s="100">
        <v>249</v>
      </c>
      <c r="GF236" s="58">
        <f t="shared" si="19"/>
        <v>0</v>
      </c>
      <c r="GG236" s="100">
        <v>-4992.5870000000004</v>
      </c>
      <c r="GH236" s="100">
        <v>-228.21355000000005</v>
      </c>
      <c r="GI236" s="100">
        <v>-7724.5303389449582</v>
      </c>
      <c r="GJ236" s="67">
        <f t="shared" si="22"/>
        <v>23</v>
      </c>
      <c r="GK236" s="67"/>
      <c r="GM236" s="96"/>
    </row>
    <row r="237" spans="1:195" ht="13.5" customHeight="1" x14ac:dyDescent="0.2">
      <c r="A237" s="74">
        <v>739</v>
      </c>
      <c r="B237" s="75" t="s">
        <v>162</v>
      </c>
      <c r="C237" s="75" t="s">
        <v>162</v>
      </c>
      <c r="D237" s="76"/>
      <c r="E237" s="77" t="s">
        <v>243</v>
      </c>
      <c r="F237" s="78">
        <v>2</v>
      </c>
      <c r="G237" s="79">
        <v>3613</v>
      </c>
      <c r="H237" s="80">
        <v>6811</v>
      </c>
      <c r="I237" s="80">
        <v>4923</v>
      </c>
      <c r="J237" s="80">
        <v>494</v>
      </c>
      <c r="K237" s="80">
        <v>264</v>
      </c>
      <c r="L237" s="80">
        <v>1130</v>
      </c>
      <c r="M237" s="80">
        <v>0</v>
      </c>
      <c r="N237" s="80">
        <v>76</v>
      </c>
      <c r="O237" s="80">
        <v>29623</v>
      </c>
      <c r="P237" s="80">
        <v>8798</v>
      </c>
      <c r="Q237" s="80">
        <v>6441</v>
      </c>
      <c r="R237" s="80">
        <v>2357</v>
      </c>
      <c r="S237" s="80">
        <v>1956</v>
      </c>
      <c r="T237" s="80">
        <v>401</v>
      </c>
      <c r="U237" s="80">
        <v>18647</v>
      </c>
      <c r="V237" s="80">
        <v>1348</v>
      </c>
      <c r="W237" s="80">
        <v>468</v>
      </c>
      <c r="X237" s="80">
        <v>362</v>
      </c>
      <c r="Y237" s="80">
        <v>-22736</v>
      </c>
      <c r="Z237" s="80">
        <v>12495</v>
      </c>
      <c r="AA237" s="80">
        <v>10113</v>
      </c>
      <c r="AB237" s="80">
        <v>1082</v>
      </c>
      <c r="AC237" s="80">
        <v>1300</v>
      </c>
      <c r="AD237" s="80">
        <v>11410</v>
      </c>
      <c r="AE237" s="80">
        <v>-76</v>
      </c>
      <c r="AF237" s="80">
        <v>73</v>
      </c>
      <c r="AG237" s="80">
        <v>6</v>
      </c>
      <c r="AH237" s="80">
        <v>2</v>
      </c>
      <c r="AI237" s="80">
        <v>155</v>
      </c>
      <c r="AJ237" s="80">
        <v>0</v>
      </c>
      <c r="AK237" s="80">
        <v>1093</v>
      </c>
      <c r="AL237" s="80">
        <v>1099</v>
      </c>
      <c r="AM237" s="80">
        <v>1099</v>
      </c>
      <c r="AN237" s="80">
        <v>0</v>
      </c>
      <c r="AO237" s="80">
        <v>0</v>
      </c>
      <c r="AP237" s="80">
        <v>0</v>
      </c>
      <c r="AQ237" s="80">
        <v>0</v>
      </c>
      <c r="AR237" s="80">
        <v>-6</v>
      </c>
      <c r="AS237" s="80">
        <v>0</v>
      </c>
      <c r="AT237" s="80">
        <v>0</v>
      </c>
      <c r="AU237" s="80">
        <v>0</v>
      </c>
      <c r="AV237" s="80">
        <v>-6</v>
      </c>
      <c r="AW237" s="81"/>
      <c r="AX237" s="80">
        <v>1093</v>
      </c>
      <c r="AY237" s="80">
        <v>1093</v>
      </c>
      <c r="AZ237" s="80">
        <v>0</v>
      </c>
      <c r="BA237" s="80">
        <v>0</v>
      </c>
      <c r="BB237" s="80">
        <v>-2241</v>
      </c>
      <c r="BC237" s="80">
        <v>2290</v>
      </c>
      <c r="BD237" s="80">
        <v>48</v>
      </c>
      <c r="BE237" s="80">
        <v>1</v>
      </c>
      <c r="BF237" s="80">
        <v>-1148</v>
      </c>
      <c r="BG237" s="80">
        <v>106</v>
      </c>
      <c r="BH237" s="80">
        <v>40</v>
      </c>
      <c r="BI237" s="80">
        <v>0</v>
      </c>
      <c r="BJ237" s="80">
        <v>40</v>
      </c>
      <c r="BK237" s="80">
        <v>-655</v>
      </c>
      <c r="BL237" s="80">
        <v>0</v>
      </c>
      <c r="BM237" s="80">
        <v>655</v>
      </c>
      <c r="BN237" s="80">
        <v>0</v>
      </c>
      <c r="BO237" s="80">
        <v>0</v>
      </c>
      <c r="BP237" s="80">
        <v>721</v>
      </c>
      <c r="BQ237" s="80">
        <v>85</v>
      </c>
      <c r="BR237" s="80">
        <v>0</v>
      </c>
      <c r="BS237" s="80">
        <v>497</v>
      </c>
      <c r="BT237" s="80">
        <v>139</v>
      </c>
      <c r="BU237" s="80">
        <v>-1041</v>
      </c>
      <c r="BV237" s="80">
        <v>4433</v>
      </c>
      <c r="BW237" s="80">
        <v>5474</v>
      </c>
      <c r="BX237" s="81"/>
      <c r="BY237" s="80">
        <v>21035</v>
      </c>
      <c r="BZ237" s="80">
        <v>418</v>
      </c>
      <c r="CA237" s="80">
        <v>0</v>
      </c>
      <c r="CB237" s="80">
        <v>418</v>
      </c>
      <c r="CC237" s="80">
        <v>0</v>
      </c>
      <c r="CD237" s="80">
        <v>16449</v>
      </c>
      <c r="CE237" s="80">
        <v>755</v>
      </c>
      <c r="CF237" s="80">
        <v>12793</v>
      </c>
      <c r="CG237" s="80">
        <v>1653</v>
      </c>
      <c r="CH237" s="80">
        <v>291</v>
      </c>
      <c r="CI237" s="80">
        <v>0</v>
      </c>
      <c r="CJ237" s="80">
        <v>0</v>
      </c>
      <c r="CK237" s="80">
        <v>957</v>
      </c>
      <c r="CL237" s="80">
        <v>4168</v>
      </c>
      <c r="CM237" s="80">
        <v>3375</v>
      </c>
      <c r="CN237" s="80">
        <v>1063</v>
      </c>
      <c r="CO237" s="80">
        <v>2312</v>
      </c>
      <c r="CP237" s="80">
        <v>0</v>
      </c>
      <c r="CQ237" s="80">
        <v>793</v>
      </c>
      <c r="CR237" s="80">
        <v>0</v>
      </c>
      <c r="CS237" s="80">
        <v>61</v>
      </c>
      <c r="CT237" s="80">
        <v>732</v>
      </c>
      <c r="CU237" s="80">
        <v>0</v>
      </c>
      <c r="CV237" s="80">
        <v>482</v>
      </c>
      <c r="CW237" s="80">
        <v>0</v>
      </c>
      <c r="CX237" s="80">
        <v>482</v>
      </c>
      <c r="CY237" s="80">
        <v>0</v>
      </c>
      <c r="CZ237" s="80">
        <v>6060</v>
      </c>
      <c r="DA237" s="80">
        <v>0</v>
      </c>
      <c r="DB237" s="80">
        <v>0</v>
      </c>
      <c r="DC237" s="80">
        <v>0</v>
      </c>
      <c r="DD237" s="80">
        <v>0</v>
      </c>
      <c r="DE237" s="80">
        <v>0</v>
      </c>
      <c r="DF237" s="80">
        <v>0</v>
      </c>
      <c r="DG237" s="80">
        <v>1627</v>
      </c>
      <c r="DH237" s="80">
        <v>550</v>
      </c>
      <c r="DI237" s="80">
        <v>0</v>
      </c>
      <c r="DJ237" s="80">
        <v>0</v>
      </c>
      <c r="DK237" s="80">
        <v>0</v>
      </c>
      <c r="DL237" s="80">
        <v>550</v>
      </c>
      <c r="DM237" s="80">
        <v>1077</v>
      </c>
      <c r="DN237" s="80">
        <v>598</v>
      </c>
      <c r="DO237" s="80">
        <v>40</v>
      </c>
      <c r="DP237" s="80">
        <v>86</v>
      </c>
      <c r="DQ237" s="80">
        <v>353</v>
      </c>
      <c r="DR237" s="80">
        <v>0</v>
      </c>
      <c r="DS237" s="80">
        <v>0</v>
      </c>
      <c r="DT237" s="80">
        <v>0</v>
      </c>
      <c r="DU237" s="80">
        <v>0</v>
      </c>
      <c r="DV237" s="80">
        <v>0</v>
      </c>
      <c r="DW237" s="80">
        <v>4433</v>
      </c>
      <c r="DX237" s="80">
        <v>27577</v>
      </c>
      <c r="DY237" s="80">
        <v>16480</v>
      </c>
      <c r="DZ237" s="80">
        <v>11773</v>
      </c>
      <c r="EA237" s="80">
        <v>0</v>
      </c>
      <c r="EB237" s="80">
        <v>0</v>
      </c>
      <c r="EC237" s="80">
        <v>4713</v>
      </c>
      <c r="ED237" s="80">
        <v>-6</v>
      </c>
      <c r="EE237" s="80">
        <v>0</v>
      </c>
      <c r="EF237" s="80">
        <v>0</v>
      </c>
      <c r="EG237" s="80">
        <v>0</v>
      </c>
      <c r="EH237" s="80">
        <v>0</v>
      </c>
      <c r="EI237" s="80">
        <v>0</v>
      </c>
      <c r="EJ237" s="80">
        <v>0</v>
      </c>
      <c r="EK237" s="80">
        <v>571</v>
      </c>
      <c r="EL237" s="80">
        <v>0</v>
      </c>
      <c r="EM237" s="80">
        <v>571</v>
      </c>
      <c r="EN237" s="80">
        <v>0</v>
      </c>
      <c r="EO237" s="80">
        <v>10526</v>
      </c>
      <c r="EP237" s="80">
        <v>7583</v>
      </c>
      <c r="EQ237" s="80">
        <v>0</v>
      </c>
      <c r="ER237" s="80">
        <v>6890</v>
      </c>
      <c r="ES237" s="80">
        <v>0</v>
      </c>
      <c r="ET237" s="80">
        <v>6890</v>
      </c>
      <c r="EU237" s="80">
        <v>0</v>
      </c>
      <c r="EV237" s="80">
        <v>0</v>
      </c>
      <c r="EW237" s="80">
        <v>11</v>
      </c>
      <c r="EX237" s="80">
        <v>0</v>
      </c>
      <c r="EY237" s="80">
        <v>0</v>
      </c>
      <c r="EZ237" s="80">
        <v>0</v>
      </c>
      <c r="FA237" s="80">
        <v>0</v>
      </c>
      <c r="FB237" s="80">
        <v>0</v>
      </c>
      <c r="FC237" s="80">
        <v>682</v>
      </c>
      <c r="FD237" s="80">
        <v>2943</v>
      </c>
      <c r="FE237" s="80">
        <v>0</v>
      </c>
      <c r="FF237" s="80">
        <v>641</v>
      </c>
      <c r="FG237" s="80">
        <v>0</v>
      </c>
      <c r="FH237" s="80">
        <v>641</v>
      </c>
      <c r="FI237" s="80">
        <v>0</v>
      </c>
      <c r="FJ237" s="80">
        <v>0</v>
      </c>
      <c r="FK237" s="80">
        <v>7</v>
      </c>
      <c r="FL237" s="80">
        <v>0</v>
      </c>
      <c r="FM237" s="80">
        <v>126</v>
      </c>
      <c r="FN237" s="80">
        <v>643</v>
      </c>
      <c r="FO237" s="80">
        <v>147</v>
      </c>
      <c r="FP237" s="80">
        <v>1379</v>
      </c>
      <c r="FQ237" s="80">
        <v>27577</v>
      </c>
      <c r="FR237" s="80">
        <v>1706</v>
      </c>
      <c r="FS237" s="80">
        <v>3000</v>
      </c>
      <c r="FT237" s="100">
        <v>15169.845078229602</v>
      </c>
      <c r="FU237" s="100"/>
      <c r="FV237" s="100">
        <v>8385</v>
      </c>
      <c r="FW237" s="67">
        <v>1099</v>
      </c>
      <c r="FX237" s="100">
        <f t="shared" si="20"/>
        <v>-12898</v>
      </c>
      <c r="FY237" s="100">
        <f t="shared" si="21"/>
        <v>-21637</v>
      </c>
      <c r="FZ237" s="100">
        <v>15683.138441902849</v>
      </c>
      <c r="GA237" s="67">
        <v>8739</v>
      </c>
      <c r="GB237" s="58">
        <f t="shared" si="18"/>
        <v>354</v>
      </c>
      <c r="GC237" s="67">
        <v>1099</v>
      </c>
      <c r="GD237" s="100">
        <v>494</v>
      </c>
      <c r="GE237" s="100">
        <v>494</v>
      </c>
      <c r="GF237" s="58">
        <f t="shared" si="19"/>
        <v>0</v>
      </c>
      <c r="GG237" s="100">
        <v>-5811.2170000000006</v>
      </c>
      <c r="GH237" s="100">
        <v>-378.32855000000018</v>
      </c>
      <c r="GI237" s="100">
        <v>-9700.9109000030385</v>
      </c>
      <c r="GJ237" s="67">
        <f t="shared" si="22"/>
        <v>0</v>
      </c>
      <c r="GK237" s="67"/>
      <c r="GM237" s="96"/>
    </row>
    <row r="238" spans="1:195" ht="13.5" customHeight="1" x14ac:dyDescent="0.2">
      <c r="A238" s="74">
        <v>742</v>
      </c>
      <c r="B238" s="75" t="s">
        <v>163</v>
      </c>
      <c r="C238" s="75" t="s">
        <v>163</v>
      </c>
      <c r="D238" s="76"/>
      <c r="E238" s="77" t="s">
        <v>222</v>
      </c>
      <c r="F238" s="78">
        <v>1</v>
      </c>
      <c r="G238" s="79">
        <v>1061</v>
      </c>
      <c r="H238" s="80">
        <v>1356</v>
      </c>
      <c r="I238" s="80">
        <v>428</v>
      </c>
      <c r="J238" s="80">
        <v>197</v>
      </c>
      <c r="K238" s="80">
        <v>146</v>
      </c>
      <c r="L238" s="80">
        <v>585</v>
      </c>
      <c r="M238" s="80">
        <v>0</v>
      </c>
      <c r="N238" s="80">
        <v>0</v>
      </c>
      <c r="O238" s="80">
        <v>9250</v>
      </c>
      <c r="P238" s="80">
        <v>3771</v>
      </c>
      <c r="Q238" s="80">
        <v>2870</v>
      </c>
      <c r="R238" s="80">
        <v>901</v>
      </c>
      <c r="S238" s="80">
        <v>773</v>
      </c>
      <c r="T238" s="80">
        <v>128</v>
      </c>
      <c r="U238" s="80">
        <v>4483</v>
      </c>
      <c r="V238" s="80">
        <v>493</v>
      </c>
      <c r="W238" s="80">
        <v>338</v>
      </c>
      <c r="X238" s="80">
        <v>165</v>
      </c>
      <c r="Y238" s="80">
        <v>-7894</v>
      </c>
      <c r="Z238" s="80">
        <v>4260</v>
      </c>
      <c r="AA238" s="80">
        <v>2883</v>
      </c>
      <c r="AB238" s="80">
        <v>990</v>
      </c>
      <c r="AC238" s="80">
        <v>387</v>
      </c>
      <c r="AD238" s="80">
        <v>4599</v>
      </c>
      <c r="AE238" s="80">
        <v>-43</v>
      </c>
      <c r="AF238" s="80">
        <v>0</v>
      </c>
      <c r="AG238" s="80">
        <v>9</v>
      </c>
      <c r="AH238" s="80">
        <v>0</v>
      </c>
      <c r="AI238" s="80">
        <v>51</v>
      </c>
      <c r="AJ238" s="80">
        <v>1</v>
      </c>
      <c r="AK238" s="80">
        <v>922</v>
      </c>
      <c r="AL238" s="80">
        <v>248</v>
      </c>
      <c r="AM238" s="80">
        <v>248</v>
      </c>
      <c r="AN238" s="80">
        <v>0</v>
      </c>
      <c r="AO238" s="80">
        <v>0</v>
      </c>
      <c r="AP238" s="80">
        <v>0</v>
      </c>
      <c r="AQ238" s="80">
        <v>0</v>
      </c>
      <c r="AR238" s="80">
        <v>674</v>
      </c>
      <c r="AS238" s="80">
        <v>8</v>
      </c>
      <c r="AT238" s="80">
        <v>0</v>
      </c>
      <c r="AU238" s="80">
        <v>0</v>
      </c>
      <c r="AV238" s="80">
        <v>682</v>
      </c>
      <c r="AW238" s="81"/>
      <c r="AX238" s="80">
        <v>913</v>
      </c>
      <c r="AY238" s="80">
        <v>922</v>
      </c>
      <c r="AZ238" s="80">
        <v>0</v>
      </c>
      <c r="BA238" s="80">
        <v>-9</v>
      </c>
      <c r="BB238" s="80">
        <v>116</v>
      </c>
      <c r="BC238" s="80">
        <v>59</v>
      </c>
      <c r="BD238" s="80">
        <v>0</v>
      </c>
      <c r="BE238" s="80">
        <v>175</v>
      </c>
      <c r="BF238" s="80">
        <v>1029</v>
      </c>
      <c r="BG238" s="80">
        <v>-14</v>
      </c>
      <c r="BH238" s="80">
        <v>0</v>
      </c>
      <c r="BI238" s="80">
        <v>0</v>
      </c>
      <c r="BJ238" s="80">
        <v>0</v>
      </c>
      <c r="BK238" s="80">
        <v>-306</v>
      </c>
      <c r="BL238" s="80">
        <v>0</v>
      </c>
      <c r="BM238" s="80">
        <v>306</v>
      </c>
      <c r="BN238" s="80">
        <v>0</v>
      </c>
      <c r="BO238" s="80">
        <v>0</v>
      </c>
      <c r="BP238" s="80">
        <v>292</v>
      </c>
      <c r="BQ238" s="80">
        <v>1</v>
      </c>
      <c r="BR238" s="80">
        <v>5</v>
      </c>
      <c r="BS238" s="80">
        <v>246</v>
      </c>
      <c r="BT238" s="80">
        <v>40</v>
      </c>
      <c r="BU238" s="80">
        <v>1016</v>
      </c>
      <c r="BV238" s="80">
        <v>2014</v>
      </c>
      <c r="BW238" s="80">
        <v>998</v>
      </c>
      <c r="BX238" s="81"/>
      <c r="BY238" s="80">
        <v>4838</v>
      </c>
      <c r="BZ238" s="80">
        <v>0</v>
      </c>
      <c r="CA238" s="80">
        <v>0</v>
      </c>
      <c r="CB238" s="80">
        <v>0</v>
      </c>
      <c r="CC238" s="80">
        <v>0</v>
      </c>
      <c r="CD238" s="80">
        <v>3665</v>
      </c>
      <c r="CE238" s="80">
        <v>499</v>
      </c>
      <c r="CF238" s="80">
        <v>2636</v>
      </c>
      <c r="CG238" s="80">
        <v>479</v>
      </c>
      <c r="CH238" s="80">
        <v>50</v>
      </c>
      <c r="CI238" s="80">
        <v>0</v>
      </c>
      <c r="CJ238" s="80">
        <v>0</v>
      </c>
      <c r="CK238" s="80">
        <v>1</v>
      </c>
      <c r="CL238" s="80">
        <v>1173</v>
      </c>
      <c r="CM238" s="80">
        <v>1082</v>
      </c>
      <c r="CN238" s="80">
        <v>502</v>
      </c>
      <c r="CO238" s="80">
        <v>580</v>
      </c>
      <c r="CP238" s="80">
        <v>0</v>
      </c>
      <c r="CQ238" s="80">
        <v>91</v>
      </c>
      <c r="CR238" s="80">
        <v>0</v>
      </c>
      <c r="CS238" s="80">
        <v>0</v>
      </c>
      <c r="CT238" s="80">
        <v>91</v>
      </c>
      <c r="CU238" s="80">
        <v>0</v>
      </c>
      <c r="CV238" s="80">
        <v>9</v>
      </c>
      <c r="CW238" s="80">
        <v>0</v>
      </c>
      <c r="CX238" s="80">
        <v>9</v>
      </c>
      <c r="CY238" s="80">
        <v>0</v>
      </c>
      <c r="CZ238" s="80">
        <v>2327</v>
      </c>
      <c r="DA238" s="80">
        <v>53</v>
      </c>
      <c r="DB238" s="80">
        <v>39</v>
      </c>
      <c r="DC238" s="80">
        <v>14</v>
      </c>
      <c r="DD238" s="80">
        <v>0</v>
      </c>
      <c r="DE238" s="80">
        <v>0</v>
      </c>
      <c r="DF238" s="80">
        <v>0</v>
      </c>
      <c r="DG238" s="80">
        <v>261</v>
      </c>
      <c r="DH238" s="80">
        <v>0</v>
      </c>
      <c r="DI238" s="80">
        <v>0</v>
      </c>
      <c r="DJ238" s="80">
        <v>0</v>
      </c>
      <c r="DK238" s="80">
        <v>0</v>
      </c>
      <c r="DL238" s="80">
        <v>0</v>
      </c>
      <c r="DM238" s="80">
        <v>261</v>
      </c>
      <c r="DN238" s="80">
        <v>132</v>
      </c>
      <c r="DO238" s="80">
        <v>0</v>
      </c>
      <c r="DP238" s="80">
        <v>114</v>
      </c>
      <c r="DQ238" s="80">
        <v>15</v>
      </c>
      <c r="DR238" s="80">
        <v>0</v>
      </c>
      <c r="DS238" s="80">
        <v>0</v>
      </c>
      <c r="DT238" s="80">
        <v>0</v>
      </c>
      <c r="DU238" s="80">
        <v>0</v>
      </c>
      <c r="DV238" s="80">
        <v>0</v>
      </c>
      <c r="DW238" s="80">
        <v>2013</v>
      </c>
      <c r="DX238" s="80">
        <v>7174</v>
      </c>
      <c r="DY238" s="80">
        <v>3085</v>
      </c>
      <c r="DZ238" s="80">
        <v>2764</v>
      </c>
      <c r="EA238" s="80">
        <v>0</v>
      </c>
      <c r="EB238" s="80">
        <v>0</v>
      </c>
      <c r="EC238" s="80">
        <v>-361</v>
      </c>
      <c r="ED238" s="80">
        <v>682</v>
      </c>
      <c r="EE238" s="80">
        <v>156</v>
      </c>
      <c r="EF238" s="80">
        <v>156</v>
      </c>
      <c r="EG238" s="80">
        <v>0</v>
      </c>
      <c r="EH238" s="80">
        <v>0</v>
      </c>
      <c r="EI238" s="80">
        <v>0</v>
      </c>
      <c r="EJ238" s="80">
        <v>0</v>
      </c>
      <c r="EK238" s="80">
        <v>31</v>
      </c>
      <c r="EL238" s="80">
        <v>0</v>
      </c>
      <c r="EM238" s="80">
        <v>9</v>
      </c>
      <c r="EN238" s="80">
        <v>22</v>
      </c>
      <c r="EO238" s="80">
        <v>3902</v>
      </c>
      <c r="EP238" s="80">
        <v>2628</v>
      </c>
      <c r="EQ238" s="80">
        <v>0</v>
      </c>
      <c r="ER238" s="80">
        <v>2317</v>
      </c>
      <c r="ES238" s="80">
        <v>382</v>
      </c>
      <c r="ET238" s="80">
        <v>1935</v>
      </c>
      <c r="EU238" s="80">
        <v>0</v>
      </c>
      <c r="EV238" s="80">
        <v>0</v>
      </c>
      <c r="EW238" s="80">
        <v>180</v>
      </c>
      <c r="EX238" s="80">
        <v>0</v>
      </c>
      <c r="EY238" s="80">
        <v>0</v>
      </c>
      <c r="EZ238" s="80">
        <v>0</v>
      </c>
      <c r="FA238" s="80">
        <v>131</v>
      </c>
      <c r="FB238" s="80">
        <v>0</v>
      </c>
      <c r="FC238" s="80">
        <v>0</v>
      </c>
      <c r="FD238" s="80">
        <v>1274</v>
      </c>
      <c r="FE238" s="80">
        <v>0</v>
      </c>
      <c r="FF238" s="80">
        <v>232</v>
      </c>
      <c r="FG238" s="80">
        <v>55</v>
      </c>
      <c r="FH238" s="80">
        <v>177</v>
      </c>
      <c r="FI238" s="80">
        <v>0</v>
      </c>
      <c r="FJ238" s="80">
        <v>0</v>
      </c>
      <c r="FK238" s="80">
        <v>65</v>
      </c>
      <c r="FL238" s="80">
        <v>0</v>
      </c>
      <c r="FM238" s="80">
        <v>0</v>
      </c>
      <c r="FN238" s="80">
        <v>462</v>
      </c>
      <c r="FO238" s="80">
        <v>68</v>
      </c>
      <c r="FP238" s="80">
        <v>447</v>
      </c>
      <c r="FQ238" s="80">
        <v>7174</v>
      </c>
      <c r="FR238" s="80">
        <v>360</v>
      </c>
      <c r="FS238" s="80">
        <v>423</v>
      </c>
      <c r="FT238" s="100">
        <v>5236.6923785522567</v>
      </c>
      <c r="FU238" s="100"/>
      <c r="FV238" s="100">
        <v>2406</v>
      </c>
      <c r="FW238" s="67">
        <v>186</v>
      </c>
      <c r="FX238" s="100">
        <f t="shared" si="20"/>
        <v>-4885</v>
      </c>
      <c r="FY238" s="100">
        <f t="shared" si="21"/>
        <v>-7646</v>
      </c>
      <c r="FZ238" s="100">
        <v>4853.7090501901421</v>
      </c>
      <c r="GA238" s="67">
        <v>2761</v>
      </c>
      <c r="GB238" s="58">
        <f t="shared" si="18"/>
        <v>355</v>
      </c>
      <c r="GC238" s="67">
        <v>249</v>
      </c>
      <c r="GD238" s="100">
        <v>197</v>
      </c>
      <c r="GE238" s="100">
        <v>47</v>
      </c>
      <c r="GF238" s="58">
        <f t="shared" si="19"/>
        <v>150</v>
      </c>
      <c r="GG238" s="100">
        <v>-1626.8779999999999</v>
      </c>
      <c r="GH238" s="100">
        <v>-274.46050000000008</v>
      </c>
      <c r="GI238" s="100">
        <v>-3201.848720859603</v>
      </c>
      <c r="GJ238" s="67">
        <f t="shared" si="22"/>
        <v>63</v>
      </c>
      <c r="GK238" s="67"/>
      <c r="GM238" s="96"/>
    </row>
    <row r="239" spans="1:195" ht="13.5" customHeight="1" x14ac:dyDescent="0.2">
      <c r="A239" s="74">
        <v>743</v>
      </c>
      <c r="B239" s="75" t="s">
        <v>164</v>
      </c>
      <c r="C239" s="75" t="s">
        <v>164</v>
      </c>
      <c r="D239" s="76"/>
      <c r="E239" s="77" t="s">
        <v>215</v>
      </c>
      <c r="F239" s="78">
        <v>6</v>
      </c>
      <c r="G239" s="79">
        <v>61530</v>
      </c>
      <c r="H239" s="80">
        <v>65047</v>
      </c>
      <c r="I239" s="80">
        <v>26160</v>
      </c>
      <c r="J239" s="80">
        <v>19549</v>
      </c>
      <c r="K239" s="80">
        <v>6763</v>
      </c>
      <c r="L239" s="80">
        <v>12575</v>
      </c>
      <c r="M239" s="80">
        <v>0</v>
      </c>
      <c r="N239" s="80">
        <v>0</v>
      </c>
      <c r="O239" s="80">
        <v>384449</v>
      </c>
      <c r="P239" s="80">
        <v>178932</v>
      </c>
      <c r="Q239" s="80">
        <v>139297</v>
      </c>
      <c r="R239" s="80">
        <v>39635</v>
      </c>
      <c r="S239" s="80">
        <v>31600</v>
      </c>
      <c r="T239" s="80">
        <v>8035</v>
      </c>
      <c r="U239" s="80">
        <v>144342</v>
      </c>
      <c r="V239" s="80">
        <v>19496</v>
      </c>
      <c r="W239" s="80">
        <v>28583</v>
      </c>
      <c r="X239" s="80">
        <v>13096</v>
      </c>
      <c r="Y239" s="80">
        <v>-319402</v>
      </c>
      <c r="Z239" s="80">
        <v>243781</v>
      </c>
      <c r="AA239" s="80">
        <v>206513</v>
      </c>
      <c r="AB239" s="80">
        <v>22017</v>
      </c>
      <c r="AC239" s="80">
        <v>15251</v>
      </c>
      <c r="AD239" s="80">
        <v>83041</v>
      </c>
      <c r="AE239" s="80">
        <v>4421</v>
      </c>
      <c r="AF239" s="80">
        <v>5376</v>
      </c>
      <c r="AG239" s="80">
        <v>2255</v>
      </c>
      <c r="AH239" s="80">
        <v>1657</v>
      </c>
      <c r="AI239" s="80">
        <v>2866</v>
      </c>
      <c r="AJ239" s="80">
        <v>344</v>
      </c>
      <c r="AK239" s="80">
        <v>11841</v>
      </c>
      <c r="AL239" s="80">
        <v>17151</v>
      </c>
      <c r="AM239" s="80">
        <v>17151</v>
      </c>
      <c r="AN239" s="80">
        <v>0</v>
      </c>
      <c r="AO239" s="80">
        <v>-450</v>
      </c>
      <c r="AP239" s="80">
        <v>0</v>
      </c>
      <c r="AQ239" s="80">
        <v>450</v>
      </c>
      <c r="AR239" s="80">
        <v>-5760</v>
      </c>
      <c r="AS239" s="80">
        <v>-57</v>
      </c>
      <c r="AT239" s="80">
        <v>0</v>
      </c>
      <c r="AU239" s="80">
        <v>109</v>
      </c>
      <c r="AV239" s="80">
        <v>-5708</v>
      </c>
      <c r="AW239" s="81"/>
      <c r="AX239" s="80">
        <v>5452</v>
      </c>
      <c r="AY239" s="80">
        <v>11841</v>
      </c>
      <c r="AZ239" s="80">
        <v>-450</v>
      </c>
      <c r="BA239" s="80">
        <v>-5939</v>
      </c>
      <c r="BB239" s="80">
        <v>-35883</v>
      </c>
      <c r="BC239" s="80">
        <v>45306</v>
      </c>
      <c r="BD239" s="80">
        <v>1581</v>
      </c>
      <c r="BE239" s="80">
        <v>7842</v>
      </c>
      <c r="BF239" s="80">
        <v>-30431</v>
      </c>
      <c r="BG239" s="80">
        <v>31096</v>
      </c>
      <c r="BH239" s="80">
        <v>-2271</v>
      </c>
      <c r="BI239" s="80">
        <v>4125</v>
      </c>
      <c r="BJ239" s="80">
        <v>1854</v>
      </c>
      <c r="BK239" s="80">
        <v>33729</v>
      </c>
      <c r="BL239" s="80">
        <v>47839</v>
      </c>
      <c r="BM239" s="80">
        <v>29055</v>
      </c>
      <c r="BN239" s="80">
        <v>14945</v>
      </c>
      <c r="BO239" s="80">
        <v>0</v>
      </c>
      <c r="BP239" s="80">
        <v>-362</v>
      </c>
      <c r="BQ239" s="80">
        <v>0</v>
      </c>
      <c r="BR239" s="80">
        <v>-31</v>
      </c>
      <c r="BS239" s="80">
        <v>2811</v>
      </c>
      <c r="BT239" s="80">
        <v>-3142</v>
      </c>
      <c r="BU239" s="80">
        <v>664</v>
      </c>
      <c r="BV239" s="80">
        <v>1805</v>
      </c>
      <c r="BW239" s="80">
        <v>1141</v>
      </c>
      <c r="BX239" s="81"/>
      <c r="BY239" s="80">
        <v>501069</v>
      </c>
      <c r="BZ239" s="80">
        <v>2088</v>
      </c>
      <c r="CA239" s="80">
        <v>1961</v>
      </c>
      <c r="CB239" s="80">
        <v>127</v>
      </c>
      <c r="CC239" s="80">
        <v>0</v>
      </c>
      <c r="CD239" s="80">
        <v>331385</v>
      </c>
      <c r="CE239" s="80">
        <v>109601</v>
      </c>
      <c r="CF239" s="80">
        <v>124456</v>
      </c>
      <c r="CG239" s="80">
        <v>68603</v>
      </c>
      <c r="CH239" s="80">
        <v>10694</v>
      </c>
      <c r="CI239" s="80">
        <v>667</v>
      </c>
      <c r="CJ239" s="80">
        <v>667</v>
      </c>
      <c r="CK239" s="80">
        <v>17364</v>
      </c>
      <c r="CL239" s="80">
        <v>167596</v>
      </c>
      <c r="CM239" s="80">
        <v>77204</v>
      </c>
      <c r="CN239" s="80">
        <v>25992</v>
      </c>
      <c r="CO239" s="80">
        <v>51212</v>
      </c>
      <c r="CP239" s="80">
        <v>0</v>
      </c>
      <c r="CQ239" s="80">
        <v>90347</v>
      </c>
      <c r="CR239" s="80">
        <v>0</v>
      </c>
      <c r="CS239" s="80">
        <v>0</v>
      </c>
      <c r="CT239" s="80">
        <v>90347</v>
      </c>
      <c r="CU239" s="80">
        <v>45</v>
      </c>
      <c r="CV239" s="80">
        <v>1485</v>
      </c>
      <c r="CW239" s="80">
        <v>690</v>
      </c>
      <c r="CX239" s="80">
        <v>795</v>
      </c>
      <c r="CY239" s="80">
        <v>0</v>
      </c>
      <c r="CZ239" s="80">
        <v>16735</v>
      </c>
      <c r="DA239" s="80">
        <v>356</v>
      </c>
      <c r="DB239" s="80">
        <v>356</v>
      </c>
      <c r="DC239" s="80">
        <v>0</v>
      </c>
      <c r="DD239" s="80">
        <v>0</v>
      </c>
      <c r="DE239" s="80">
        <v>0</v>
      </c>
      <c r="DF239" s="80">
        <v>0</v>
      </c>
      <c r="DG239" s="80">
        <v>14573</v>
      </c>
      <c r="DH239" s="80">
        <v>602</v>
      </c>
      <c r="DI239" s="80">
        <v>597</v>
      </c>
      <c r="DJ239" s="80">
        <v>0</v>
      </c>
      <c r="DK239" s="80">
        <v>5</v>
      </c>
      <c r="DL239" s="80">
        <v>0</v>
      </c>
      <c r="DM239" s="80">
        <v>13971</v>
      </c>
      <c r="DN239" s="80">
        <v>5960</v>
      </c>
      <c r="DO239" s="80">
        <v>0</v>
      </c>
      <c r="DP239" s="80">
        <v>6140</v>
      </c>
      <c r="DQ239" s="80">
        <v>1871</v>
      </c>
      <c r="DR239" s="80">
        <v>37</v>
      </c>
      <c r="DS239" s="80">
        <v>0</v>
      </c>
      <c r="DT239" s="80">
        <v>37</v>
      </c>
      <c r="DU239" s="80">
        <v>0</v>
      </c>
      <c r="DV239" s="80">
        <v>0</v>
      </c>
      <c r="DW239" s="80">
        <v>1769</v>
      </c>
      <c r="DX239" s="80">
        <v>519289</v>
      </c>
      <c r="DY239" s="80">
        <v>241112</v>
      </c>
      <c r="DZ239" s="80">
        <v>215637</v>
      </c>
      <c r="EA239" s="80">
        <v>0</v>
      </c>
      <c r="EB239" s="80">
        <v>436</v>
      </c>
      <c r="EC239" s="80">
        <v>30747</v>
      </c>
      <c r="ED239" s="80">
        <v>-5708</v>
      </c>
      <c r="EE239" s="80">
        <v>887</v>
      </c>
      <c r="EF239" s="80">
        <v>887</v>
      </c>
      <c r="EG239" s="80">
        <v>0</v>
      </c>
      <c r="EH239" s="80">
        <v>294</v>
      </c>
      <c r="EI239" s="80">
        <v>0</v>
      </c>
      <c r="EJ239" s="80">
        <v>294</v>
      </c>
      <c r="EK239" s="80">
        <v>1485</v>
      </c>
      <c r="EL239" s="80">
        <v>690</v>
      </c>
      <c r="EM239" s="80">
        <v>795</v>
      </c>
      <c r="EN239" s="80">
        <v>0</v>
      </c>
      <c r="EO239" s="80">
        <v>275511</v>
      </c>
      <c r="EP239" s="80">
        <v>163348</v>
      </c>
      <c r="EQ239" s="80">
        <v>0</v>
      </c>
      <c r="ER239" s="80">
        <v>159948</v>
      </c>
      <c r="ES239" s="80">
        <v>25664</v>
      </c>
      <c r="ET239" s="80">
        <v>94082</v>
      </c>
      <c r="EU239" s="80">
        <v>40202</v>
      </c>
      <c r="EV239" s="80">
        <v>0</v>
      </c>
      <c r="EW239" s="80">
        <v>2869</v>
      </c>
      <c r="EX239" s="80">
        <v>125</v>
      </c>
      <c r="EY239" s="80">
        <v>399</v>
      </c>
      <c r="EZ239" s="80">
        <v>0</v>
      </c>
      <c r="FA239" s="80">
        <v>7</v>
      </c>
      <c r="FB239" s="80">
        <v>0</v>
      </c>
      <c r="FC239" s="80">
        <v>0</v>
      </c>
      <c r="FD239" s="80">
        <v>112163</v>
      </c>
      <c r="FE239" s="80">
        <v>0</v>
      </c>
      <c r="FF239" s="80">
        <v>60947</v>
      </c>
      <c r="FG239" s="80">
        <v>34750</v>
      </c>
      <c r="FH239" s="80">
        <v>19068</v>
      </c>
      <c r="FI239" s="80">
        <v>5909</v>
      </c>
      <c r="FJ239" s="80">
        <v>1220</v>
      </c>
      <c r="FK239" s="80">
        <v>1435</v>
      </c>
      <c r="FL239" s="80">
        <v>31</v>
      </c>
      <c r="FM239" s="80">
        <v>54</v>
      </c>
      <c r="FN239" s="80">
        <v>20108</v>
      </c>
      <c r="FO239" s="80">
        <v>3035</v>
      </c>
      <c r="FP239" s="80">
        <v>26553</v>
      </c>
      <c r="FQ239" s="80">
        <v>519289</v>
      </c>
      <c r="FR239" s="80">
        <v>177879</v>
      </c>
      <c r="FS239" s="80">
        <v>23745</v>
      </c>
      <c r="FT239" s="100">
        <v>205265.3196273662</v>
      </c>
      <c r="FU239" s="100"/>
      <c r="FV239" s="100">
        <v>68912</v>
      </c>
      <c r="FW239" s="67">
        <v>15508</v>
      </c>
      <c r="FX239" s="100">
        <f t="shared" si="20"/>
        <v>-194257</v>
      </c>
      <c r="FY239" s="100">
        <f t="shared" si="21"/>
        <v>-302251</v>
      </c>
      <c r="FZ239" s="100">
        <v>192665.11647608256</v>
      </c>
      <c r="GA239" s="67">
        <v>107994</v>
      </c>
      <c r="GB239" s="58">
        <f t="shared" si="18"/>
        <v>39082</v>
      </c>
      <c r="GC239" s="67">
        <v>17151</v>
      </c>
      <c r="GD239" s="100">
        <v>20041</v>
      </c>
      <c r="GE239" s="100">
        <v>8414</v>
      </c>
      <c r="GF239" s="58">
        <f t="shared" si="19"/>
        <v>11627</v>
      </c>
      <c r="GG239" s="100">
        <v>-117854.54700000001</v>
      </c>
      <c r="GH239" s="100">
        <v>-4262.1440000000011</v>
      </c>
      <c r="GI239" s="100">
        <v>-69710.781309646394</v>
      </c>
      <c r="GJ239" s="67">
        <f t="shared" si="22"/>
        <v>1643</v>
      </c>
      <c r="GK239" s="67"/>
      <c r="GM239" s="96"/>
    </row>
    <row r="240" spans="1:195" ht="13.5" customHeight="1" x14ac:dyDescent="0.2">
      <c r="A240" s="74">
        <v>753</v>
      </c>
      <c r="B240" s="75" t="s">
        <v>304</v>
      </c>
      <c r="C240" s="82" t="s">
        <v>304</v>
      </c>
      <c r="D240" s="76"/>
      <c r="E240" s="77" t="s">
        <v>218</v>
      </c>
      <c r="F240" s="78">
        <v>4</v>
      </c>
      <c r="G240" s="79">
        <v>19399</v>
      </c>
      <c r="H240" s="80">
        <v>27656</v>
      </c>
      <c r="I240" s="80">
        <v>4821</v>
      </c>
      <c r="J240" s="80">
        <v>7083</v>
      </c>
      <c r="K240" s="80">
        <v>1926</v>
      </c>
      <c r="L240" s="80">
        <v>13826</v>
      </c>
      <c r="M240" s="80">
        <v>0</v>
      </c>
      <c r="N240" s="80">
        <v>0</v>
      </c>
      <c r="O240" s="80">
        <v>113763</v>
      </c>
      <c r="P240" s="80">
        <v>51223</v>
      </c>
      <c r="Q240" s="80">
        <v>39627</v>
      </c>
      <c r="R240" s="80">
        <v>11596</v>
      </c>
      <c r="S240" s="80">
        <v>9413</v>
      </c>
      <c r="T240" s="80">
        <v>2183</v>
      </c>
      <c r="U240" s="80">
        <v>46778</v>
      </c>
      <c r="V240" s="80">
        <v>6906</v>
      </c>
      <c r="W240" s="80">
        <v>6281</v>
      </c>
      <c r="X240" s="80">
        <v>2575</v>
      </c>
      <c r="Y240" s="80">
        <v>-86107</v>
      </c>
      <c r="Z240" s="80">
        <v>87201</v>
      </c>
      <c r="AA240" s="80">
        <v>75499</v>
      </c>
      <c r="AB240" s="80">
        <v>4104</v>
      </c>
      <c r="AC240" s="80">
        <v>7598</v>
      </c>
      <c r="AD240" s="80">
        <v>14572</v>
      </c>
      <c r="AE240" s="80">
        <v>169</v>
      </c>
      <c r="AF240" s="80">
        <v>0</v>
      </c>
      <c r="AG240" s="80">
        <v>859</v>
      </c>
      <c r="AH240" s="80">
        <v>35</v>
      </c>
      <c r="AI240" s="80">
        <v>673</v>
      </c>
      <c r="AJ240" s="80">
        <v>17</v>
      </c>
      <c r="AK240" s="80">
        <v>15835</v>
      </c>
      <c r="AL240" s="80">
        <v>8312</v>
      </c>
      <c r="AM240" s="80">
        <v>8312</v>
      </c>
      <c r="AN240" s="80">
        <v>0</v>
      </c>
      <c r="AO240" s="80">
        <v>0</v>
      </c>
      <c r="AP240" s="80">
        <v>0</v>
      </c>
      <c r="AQ240" s="80">
        <v>0</v>
      </c>
      <c r="AR240" s="80">
        <v>7523</v>
      </c>
      <c r="AS240" s="80">
        <v>-391</v>
      </c>
      <c r="AT240" s="80">
        <v>-5623</v>
      </c>
      <c r="AU240" s="80">
        <v>0</v>
      </c>
      <c r="AV240" s="80">
        <v>1509</v>
      </c>
      <c r="AW240" s="81"/>
      <c r="AX240" s="80">
        <v>5051</v>
      </c>
      <c r="AY240" s="80">
        <v>15835</v>
      </c>
      <c r="AZ240" s="80">
        <v>0</v>
      </c>
      <c r="BA240" s="80">
        <v>-10784</v>
      </c>
      <c r="BB240" s="80">
        <v>-4010</v>
      </c>
      <c r="BC240" s="80">
        <v>16695</v>
      </c>
      <c r="BD240" s="80">
        <v>60</v>
      </c>
      <c r="BE240" s="80">
        <v>12625</v>
      </c>
      <c r="BF240" s="80">
        <v>1041</v>
      </c>
      <c r="BG240" s="80">
        <v>-2995</v>
      </c>
      <c r="BH240" s="80">
        <v>1</v>
      </c>
      <c r="BI240" s="80">
        <v>0</v>
      </c>
      <c r="BJ240" s="80">
        <v>1</v>
      </c>
      <c r="BK240" s="80">
        <v>-4799</v>
      </c>
      <c r="BL240" s="80">
        <v>0</v>
      </c>
      <c r="BM240" s="80">
        <v>8799</v>
      </c>
      <c r="BN240" s="80">
        <v>4000</v>
      </c>
      <c r="BO240" s="80">
        <v>-251</v>
      </c>
      <c r="BP240" s="80">
        <v>2054</v>
      </c>
      <c r="BQ240" s="80">
        <v>0</v>
      </c>
      <c r="BR240" s="80">
        <v>40</v>
      </c>
      <c r="BS240" s="80">
        <v>1178</v>
      </c>
      <c r="BT240" s="80">
        <v>836</v>
      </c>
      <c r="BU240" s="80">
        <v>-1952</v>
      </c>
      <c r="BV240" s="80">
        <v>3001</v>
      </c>
      <c r="BW240" s="80">
        <v>4953</v>
      </c>
      <c r="BX240" s="81"/>
      <c r="BY240" s="80">
        <v>178551</v>
      </c>
      <c r="BZ240" s="80">
        <v>255</v>
      </c>
      <c r="CA240" s="80">
        <v>0</v>
      </c>
      <c r="CB240" s="80">
        <v>255</v>
      </c>
      <c r="CC240" s="80">
        <v>0</v>
      </c>
      <c r="CD240" s="80">
        <v>163920</v>
      </c>
      <c r="CE240" s="80">
        <v>32140</v>
      </c>
      <c r="CF240" s="80">
        <v>87348</v>
      </c>
      <c r="CG240" s="80">
        <v>20435</v>
      </c>
      <c r="CH240" s="80">
        <v>835</v>
      </c>
      <c r="CI240" s="80">
        <v>57</v>
      </c>
      <c r="CJ240" s="80">
        <v>57</v>
      </c>
      <c r="CK240" s="80">
        <v>23105</v>
      </c>
      <c r="CL240" s="80">
        <v>14376</v>
      </c>
      <c r="CM240" s="80">
        <v>14373</v>
      </c>
      <c r="CN240" s="80">
        <v>10027</v>
      </c>
      <c r="CO240" s="80">
        <v>4346</v>
      </c>
      <c r="CP240" s="80">
        <v>0</v>
      </c>
      <c r="CQ240" s="80">
        <v>3</v>
      </c>
      <c r="CR240" s="80">
        <v>0</v>
      </c>
      <c r="CS240" s="80">
        <v>0</v>
      </c>
      <c r="CT240" s="80">
        <v>3</v>
      </c>
      <c r="CU240" s="80">
        <v>0</v>
      </c>
      <c r="CV240" s="80">
        <v>293</v>
      </c>
      <c r="CW240" s="80">
        <v>26</v>
      </c>
      <c r="CX240" s="80">
        <v>143</v>
      </c>
      <c r="CY240" s="80">
        <v>124</v>
      </c>
      <c r="CZ240" s="80">
        <v>7696</v>
      </c>
      <c r="DA240" s="80">
        <v>40</v>
      </c>
      <c r="DB240" s="80">
        <v>40</v>
      </c>
      <c r="DC240" s="80">
        <v>0</v>
      </c>
      <c r="DD240" s="80">
        <v>0</v>
      </c>
      <c r="DE240" s="80">
        <v>0</v>
      </c>
      <c r="DF240" s="80">
        <v>0</v>
      </c>
      <c r="DG240" s="80">
        <v>4655</v>
      </c>
      <c r="DH240" s="80">
        <v>429</v>
      </c>
      <c r="DI240" s="80">
        <v>0</v>
      </c>
      <c r="DJ240" s="80">
        <v>50</v>
      </c>
      <c r="DK240" s="80">
        <v>379</v>
      </c>
      <c r="DL240" s="80">
        <v>0</v>
      </c>
      <c r="DM240" s="80">
        <v>4226</v>
      </c>
      <c r="DN240" s="80">
        <v>2358</v>
      </c>
      <c r="DO240" s="80">
        <v>0</v>
      </c>
      <c r="DP240" s="80">
        <v>1639</v>
      </c>
      <c r="DQ240" s="80">
        <v>229</v>
      </c>
      <c r="DR240" s="80">
        <v>0</v>
      </c>
      <c r="DS240" s="80">
        <v>0</v>
      </c>
      <c r="DT240" s="80">
        <v>0</v>
      </c>
      <c r="DU240" s="80">
        <v>0</v>
      </c>
      <c r="DV240" s="80">
        <v>0</v>
      </c>
      <c r="DW240" s="80">
        <v>3001</v>
      </c>
      <c r="DX240" s="80">
        <v>186540</v>
      </c>
      <c r="DY240" s="80">
        <v>61146</v>
      </c>
      <c r="DZ240" s="80">
        <v>51986</v>
      </c>
      <c r="EA240" s="80">
        <v>0</v>
      </c>
      <c r="EB240" s="80">
        <v>0</v>
      </c>
      <c r="EC240" s="80">
        <v>7651</v>
      </c>
      <c r="ED240" s="80">
        <v>1509</v>
      </c>
      <c r="EE240" s="80">
        <v>49782</v>
      </c>
      <c r="EF240" s="80">
        <v>19442</v>
      </c>
      <c r="EG240" s="80">
        <v>30340</v>
      </c>
      <c r="EH240" s="80">
        <v>258</v>
      </c>
      <c r="EI240" s="80">
        <v>0</v>
      </c>
      <c r="EJ240" s="80">
        <v>258</v>
      </c>
      <c r="EK240" s="80">
        <v>293</v>
      </c>
      <c r="EL240" s="80">
        <v>25</v>
      </c>
      <c r="EM240" s="80">
        <v>268</v>
      </c>
      <c r="EN240" s="80">
        <v>0</v>
      </c>
      <c r="EO240" s="80">
        <v>75061</v>
      </c>
      <c r="EP240" s="80">
        <v>38492</v>
      </c>
      <c r="EQ240" s="80">
        <v>0</v>
      </c>
      <c r="ER240" s="80">
        <v>26600</v>
      </c>
      <c r="ES240" s="80">
        <v>0</v>
      </c>
      <c r="ET240" s="80">
        <v>26600</v>
      </c>
      <c r="EU240" s="80">
        <v>0</v>
      </c>
      <c r="EV240" s="80">
        <v>0</v>
      </c>
      <c r="EW240" s="80">
        <v>248</v>
      </c>
      <c r="EX240" s="80">
        <v>0</v>
      </c>
      <c r="EY240" s="80">
        <v>0</v>
      </c>
      <c r="EZ240" s="80">
        <v>0</v>
      </c>
      <c r="FA240" s="80">
        <v>11644</v>
      </c>
      <c r="FB240" s="80">
        <v>0</v>
      </c>
      <c r="FC240" s="80">
        <v>0</v>
      </c>
      <c r="FD240" s="80">
        <v>36569</v>
      </c>
      <c r="FE240" s="80">
        <v>0</v>
      </c>
      <c r="FF240" s="80">
        <v>11830</v>
      </c>
      <c r="FG240" s="80">
        <v>430</v>
      </c>
      <c r="FH240" s="80">
        <v>7400</v>
      </c>
      <c r="FI240" s="80">
        <v>4000</v>
      </c>
      <c r="FJ240" s="80">
        <v>0</v>
      </c>
      <c r="FK240" s="80">
        <v>50</v>
      </c>
      <c r="FL240" s="80">
        <v>0</v>
      </c>
      <c r="FM240" s="80">
        <v>11579</v>
      </c>
      <c r="FN240" s="80">
        <v>5178</v>
      </c>
      <c r="FO240" s="80">
        <v>934</v>
      </c>
      <c r="FP240" s="80">
        <v>6998</v>
      </c>
      <c r="FQ240" s="80">
        <v>186540</v>
      </c>
      <c r="FR240" s="80">
        <v>880</v>
      </c>
      <c r="FS240" s="80">
        <v>10496</v>
      </c>
      <c r="FT240" s="100">
        <v>79150.409272288409</v>
      </c>
      <c r="FU240" s="100"/>
      <c r="FV240" s="100">
        <v>44832</v>
      </c>
      <c r="FW240" s="67">
        <v>8280</v>
      </c>
      <c r="FX240" s="100">
        <f t="shared" si="20"/>
        <v>-27649</v>
      </c>
      <c r="FY240" s="100">
        <f t="shared" si="21"/>
        <v>-77795</v>
      </c>
      <c r="FZ240" s="100">
        <v>53743.543810739124</v>
      </c>
      <c r="GA240" s="67">
        <v>50146</v>
      </c>
      <c r="GB240" s="58">
        <f t="shared" si="18"/>
        <v>5314</v>
      </c>
      <c r="GC240" s="67">
        <v>8312</v>
      </c>
      <c r="GD240" s="100">
        <v>7116</v>
      </c>
      <c r="GE240" s="100">
        <v>3953</v>
      </c>
      <c r="GF240" s="58">
        <f t="shared" si="19"/>
        <v>3163</v>
      </c>
      <c r="GG240" s="100">
        <v>-48313.677000000003</v>
      </c>
      <c r="GH240" s="100">
        <v>-1336.1323500000005</v>
      </c>
      <c r="GI240" s="100">
        <v>-2992.0167826525671</v>
      </c>
      <c r="GJ240" s="67">
        <f t="shared" si="22"/>
        <v>32</v>
      </c>
      <c r="GK240" s="67"/>
      <c r="GM240" s="96"/>
    </row>
    <row r="241" spans="1:195" s="210" customFormat="1" ht="13.5" customHeight="1" x14ac:dyDescent="0.2">
      <c r="A241" s="74">
        <v>746</v>
      </c>
      <c r="B241" s="75" t="s">
        <v>165</v>
      </c>
      <c r="C241" s="75" t="s">
        <v>165</v>
      </c>
      <c r="D241" s="76"/>
      <c r="E241" s="77" t="s">
        <v>216</v>
      </c>
      <c r="F241" s="78">
        <v>3</v>
      </c>
      <c r="G241" s="79">
        <v>5124</v>
      </c>
      <c r="H241" s="80">
        <v>2914</v>
      </c>
      <c r="I241" s="80">
        <v>1251</v>
      </c>
      <c r="J241" s="80">
        <v>284</v>
      </c>
      <c r="K241" s="80">
        <v>422</v>
      </c>
      <c r="L241" s="80">
        <v>957</v>
      </c>
      <c r="M241" s="80">
        <v>0</v>
      </c>
      <c r="N241" s="80">
        <v>0</v>
      </c>
      <c r="O241" s="80">
        <v>35143</v>
      </c>
      <c r="P241" s="80">
        <v>9162</v>
      </c>
      <c r="Q241" s="80">
        <v>6962</v>
      </c>
      <c r="R241" s="80">
        <v>2200</v>
      </c>
      <c r="S241" s="80">
        <v>1949</v>
      </c>
      <c r="T241" s="80">
        <v>251</v>
      </c>
      <c r="U241" s="80">
        <v>23671</v>
      </c>
      <c r="V241" s="80">
        <v>1706</v>
      </c>
      <c r="W241" s="80">
        <v>364</v>
      </c>
      <c r="X241" s="80">
        <v>240</v>
      </c>
      <c r="Y241" s="80">
        <v>-32229</v>
      </c>
      <c r="Z241" s="80">
        <v>15728</v>
      </c>
      <c r="AA241" s="80">
        <v>12838</v>
      </c>
      <c r="AB241" s="80">
        <v>1854</v>
      </c>
      <c r="AC241" s="80">
        <v>1036</v>
      </c>
      <c r="AD241" s="80">
        <v>17476</v>
      </c>
      <c r="AE241" s="80">
        <v>-135</v>
      </c>
      <c r="AF241" s="80">
        <v>83</v>
      </c>
      <c r="AG241" s="80">
        <v>15</v>
      </c>
      <c r="AH241" s="80">
        <v>8</v>
      </c>
      <c r="AI241" s="80">
        <v>233</v>
      </c>
      <c r="AJ241" s="80">
        <v>0</v>
      </c>
      <c r="AK241" s="80">
        <v>840</v>
      </c>
      <c r="AL241" s="80">
        <v>665</v>
      </c>
      <c r="AM241" s="80">
        <v>665</v>
      </c>
      <c r="AN241" s="80">
        <v>0</v>
      </c>
      <c r="AO241" s="80">
        <v>0</v>
      </c>
      <c r="AP241" s="80">
        <v>0</v>
      </c>
      <c r="AQ241" s="80">
        <v>0</v>
      </c>
      <c r="AR241" s="80">
        <v>175</v>
      </c>
      <c r="AS241" s="80">
        <v>0</v>
      </c>
      <c r="AT241" s="80">
        <v>0</v>
      </c>
      <c r="AU241" s="80">
        <v>0</v>
      </c>
      <c r="AV241" s="80">
        <v>175</v>
      </c>
      <c r="AW241" s="81"/>
      <c r="AX241" s="80">
        <v>836</v>
      </c>
      <c r="AY241" s="80">
        <v>840</v>
      </c>
      <c r="AZ241" s="80">
        <v>0</v>
      </c>
      <c r="BA241" s="80">
        <v>-4</v>
      </c>
      <c r="BB241" s="80">
        <v>-974</v>
      </c>
      <c r="BC241" s="80">
        <v>1209</v>
      </c>
      <c r="BD241" s="80">
        <v>211</v>
      </c>
      <c r="BE241" s="80">
        <v>24</v>
      </c>
      <c r="BF241" s="80">
        <v>-138</v>
      </c>
      <c r="BG241" s="80">
        <v>-308</v>
      </c>
      <c r="BH241" s="80">
        <v>197</v>
      </c>
      <c r="BI241" s="80">
        <v>2</v>
      </c>
      <c r="BJ241" s="80">
        <v>199</v>
      </c>
      <c r="BK241" s="80">
        <v>-1313</v>
      </c>
      <c r="BL241" s="80">
        <v>5000</v>
      </c>
      <c r="BM241" s="80">
        <v>5813</v>
      </c>
      <c r="BN241" s="80">
        <v>-500</v>
      </c>
      <c r="BO241" s="80">
        <v>0</v>
      </c>
      <c r="BP241" s="80">
        <v>808</v>
      </c>
      <c r="BQ241" s="80">
        <v>0</v>
      </c>
      <c r="BR241" s="80">
        <v>0</v>
      </c>
      <c r="BS241" s="80">
        <v>402</v>
      </c>
      <c r="BT241" s="80">
        <v>406</v>
      </c>
      <c r="BU241" s="80">
        <v>-446</v>
      </c>
      <c r="BV241" s="80">
        <v>4590</v>
      </c>
      <c r="BW241" s="80">
        <v>5036</v>
      </c>
      <c r="BX241" s="81"/>
      <c r="BY241" s="80">
        <v>26317</v>
      </c>
      <c r="BZ241" s="80">
        <v>0</v>
      </c>
      <c r="CA241" s="80">
        <v>0</v>
      </c>
      <c r="CB241" s="80">
        <v>0</v>
      </c>
      <c r="CC241" s="80">
        <v>0</v>
      </c>
      <c r="CD241" s="80">
        <v>17026</v>
      </c>
      <c r="CE241" s="80">
        <v>2098</v>
      </c>
      <c r="CF241" s="80">
        <v>12556</v>
      </c>
      <c r="CG241" s="80">
        <v>2095</v>
      </c>
      <c r="CH241" s="80">
        <v>106</v>
      </c>
      <c r="CI241" s="80">
        <v>0</v>
      </c>
      <c r="CJ241" s="80">
        <v>0</v>
      </c>
      <c r="CK241" s="80">
        <v>171</v>
      </c>
      <c r="CL241" s="80">
        <v>9291</v>
      </c>
      <c r="CM241" s="80">
        <v>5666</v>
      </c>
      <c r="CN241" s="80">
        <v>2135</v>
      </c>
      <c r="CO241" s="80">
        <v>3531</v>
      </c>
      <c r="CP241" s="80">
        <v>0</v>
      </c>
      <c r="CQ241" s="80">
        <v>3553</v>
      </c>
      <c r="CR241" s="80">
        <v>0</v>
      </c>
      <c r="CS241" s="80">
        <v>0</v>
      </c>
      <c r="CT241" s="80">
        <v>3553</v>
      </c>
      <c r="CU241" s="80">
        <v>72</v>
      </c>
      <c r="CV241" s="80">
        <v>1053</v>
      </c>
      <c r="CW241" s="80">
        <v>0</v>
      </c>
      <c r="CX241" s="80">
        <v>1053</v>
      </c>
      <c r="CY241" s="80">
        <v>0</v>
      </c>
      <c r="CZ241" s="80">
        <v>5585</v>
      </c>
      <c r="DA241" s="80">
        <v>9</v>
      </c>
      <c r="DB241" s="80">
        <v>9</v>
      </c>
      <c r="DC241" s="80">
        <v>0</v>
      </c>
      <c r="DD241" s="80">
        <v>0</v>
      </c>
      <c r="DE241" s="80">
        <v>0</v>
      </c>
      <c r="DF241" s="80">
        <v>0</v>
      </c>
      <c r="DG241" s="80">
        <v>986</v>
      </c>
      <c r="DH241" s="80">
        <v>277</v>
      </c>
      <c r="DI241" s="80">
        <v>277</v>
      </c>
      <c r="DJ241" s="80">
        <v>0</v>
      </c>
      <c r="DK241" s="80">
        <v>0</v>
      </c>
      <c r="DL241" s="80">
        <v>0</v>
      </c>
      <c r="DM241" s="80">
        <v>709</v>
      </c>
      <c r="DN241" s="80">
        <v>268</v>
      </c>
      <c r="DO241" s="80">
        <v>0</v>
      </c>
      <c r="DP241" s="80">
        <v>320</v>
      </c>
      <c r="DQ241" s="80">
        <v>121</v>
      </c>
      <c r="DR241" s="80">
        <v>50</v>
      </c>
      <c r="DS241" s="80">
        <v>0</v>
      </c>
      <c r="DT241" s="80">
        <v>0</v>
      </c>
      <c r="DU241" s="80">
        <v>50</v>
      </c>
      <c r="DV241" s="80">
        <v>0</v>
      </c>
      <c r="DW241" s="80">
        <v>4540</v>
      </c>
      <c r="DX241" s="80">
        <v>32955</v>
      </c>
      <c r="DY241" s="80">
        <v>10104</v>
      </c>
      <c r="DZ241" s="80">
        <v>9995</v>
      </c>
      <c r="EA241" s="80">
        <v>0</v>
      </c>
      <c r="EB241" s="80">
        <v>0</v>
      </c>
      <c r="EC241" s="80">
        <v>-76</v>
      </c>
      <c r="ED241" s="80">
        <v>185</v>
      </c>
      <c r="EE241" s="80">
        <v>222</v>
      </c>
      <c r="EF241" s="80">
        <v>222</v>
      </c>
      <c r="EG241" s="80">
        <v>0</v>
      </c>
      <c r="EH241" s="80">
        <v>0</v>
      </c>
      <c r="EI241" s="80">
        <v>0</v>
      </c>
      <c r="EJ241" s="80">
        <v>0</v>
      </c>
      <c r="EK241" s="80">
        <v>1057</v>
      </c>
      <c r="EL241" s="80">
        <v>0</v>
      </c>
      <c r="EM241" s="80">
        <v>1053</v>
      </c>
      <c r="EN241" s="80">
        <v>4</v>
      </c>
      <c r="EO241" s="80">
        <v>21572</v>
      </c>
      <c r="EP241" s="80">
        <v>5226</v>
      </c>
      <c r="EQ241" s="80">
        <v>0</v>
      </c>
      <c r="ER241" s="80">
        <v>4997</v>
      </c>
      <c r="ES241" s="80">
        <v>0</v>
      </c>
      <c r="ET241" s="80">
        <v>4997</v>
      </c>
      <c r="EU241" s="80">
        <v>0</v>
      </c>
      <c r="EV241" s="80">
        <v>0</v>
      </c>
      <c r="EW241" s="80">
        <v>0</v>
      </c>
      <c r="EX241" s="80">
        <v>0</v>
      </c>
      <c r="EY241" s="80">
        <v>0</v>
      </c>
      <c r="EZ241" s="80">
        <v>0</v>
      </c>
      <c r="FA241" s="80">
        <v>229</v>
      </c>
      <c r="FB241" s="80">
        <v>0</v>
      </c>
      <c r="FC241" s="80">
        <v>0</v>
      </c>
      <c r="FD241" s="80">
        <v>16346</v>
      </c>
      <c r="FE241" s="80">
        <v>0</v>
      </c>
      <c r="FF241" s="80">
        <v>13688</v>
      </c>
      <c r="FG241" s="80">
        <v>12000</v>
      </c>
      <c r="FH241" s="80">
        <v>1688</v>
      </c>
      <c r="FI241" s="80">
        <v>0</v>
      </c>
      <c r="FJ241" s="80">
        <v>0</v>
      </c>
      <c r="FK241" s="80">
        <v>0</v>
      </c>
      <c r="FL241" s="80">
        <v>0</v>
      </c>
      <c r="FM241" s="80">
        <v>133</v>
      </c>
      <c r="FN241" s="80">
        <v>1287</v>
      </c>
      <c r="FO241" s="80">
        <v>165</v>
      </c>
      <c r="FP241" s="80">
        <v>1073</v>
      </c>
      <c r="FQ241" s="80">
        <v>32955</v>
      </c>
      <c r="FR241" s="80">
        <v>1779</v>
      </c>
      <c r="FS241" s="80">
        <v>649</v>
      </c>
      <c r="FT241" s="100">
        <v>19107.319875920992</v>
      </c>
      <c r="FU241" s="100"/>
      <c r="FV241" s="100">
        <v>6485</v>
      </c>
      <c r="FW241" s="67">
        <v>664</v>
      </c>
      <c r="FX241" s="100">
        <f t="shared" si="20"/>
        <v>-25079</v>
      </c>
      <c r="FY241" s="100">
        <f t="shared" si="21"/>
        <v>-31564</v>
      </c>
      <c r="FZ241" s="100">
        <v>19633.841736918941</v>
      </c>
      <c r="GA241" s="67">
        <v>6485</v>
      </c>
      <c r="GB241" s="58">
        <f t="shared" si="18"/>
        <v>0</v>
      </c>
      <c r="GC241" s="67">
        <v>664</v>
      </c>
      <c r="GD241" s="100">
        <v>285</v>
      </c>
      <c r="GE241" s="100">
        <v>285</v>
      </c>
      <c r="GF241" s="58">
        <f t="shared" si="19"/>
        <v>0</v>
      </c>
      <c r="GG241" s="100">
        <v>-6879.3559999999998</v>
      </c>
      <c r="GH241" s="100">
        <v>-606.14170000000024</v>
      </c>
      <c r="GI241" s="100">
        <v>-12225.281113362082</v>
      </c>
      <c r="GJ241" s="67">
        <f t="shared" si="22"/>
        <v>0</v>
      </c>
      <c r="GK241" s="208"/>
      <c r="GL241" s="41"/>
      <c r="GM241" s="96"/>
    </row>
    <row r="242" spans="1:195" ht="13.5" customHeight="1" x14ac:dyDescent="0.2">
      <c r="A242" s="74">
        <v>747</v>
      </c>
      <c r="B242" s="75" t="s">
        <v>166</v>
      </c>
      <c r="C242" s="75" t="s">
        <v>166</v>
      </c>
      <c r="D242" s="76"/>
      <c r="E242" s="77" t="s">
        <v>224</v>
      </c>
      <c r="F242" s="78">
        <v>1</v>
      </c>
      <c r="G242" s="79">
        <v>1527</v>
      </c>
      <c r="H242" s="80">
        <v>1544</v>
      </c>
      <c r="I242" s="80">
        <v>916</v>
      </c>
      <c r="J242" s="80">
        <v>42</v>
      </c>
      <c r="K242" s="80">
        <v>145</v>
      </c>
      <c r="L242" s="80">
        <v>441</v>
      </c>
      <c r="M242" s="80">
        <v>0</v>
      </c>
      <c r="N242" s="80">
        <v>0</v>
      </c>
      <c r="O242" s="80">
        <v>11302</v>
      </c>
      <c r="P242" s="80">
        <v>2590</v>
      </c>
      <c r="Q242" s="80">
        <v>1865</v>
      </c>
      <c r="R242" s="80">
        <v>725</v>
      </c>
      <c r="S242" s="80">
        <v>662</v>
      </c>
      <c r="T242" s="80">
        <v>63</v>
      </c>
      <c r="U242" s="80">
        <v>7752</v>
      </c>
      <c r="V242" s="80">
        <v>669</v>
      </c>
      <c r="W242" s="80">
        <v>244</v>
      </c>
      <c r="X242" s="80">
        <v>47</v>
      </c>
      <c r="Y242" s="80">
        <v>-9758</v>
      </c>
      <c r="Z242" s="80">
        <v>4640</v>
      </c>
      <c r="AA242" s="80">
        <v>3538</v>
      </c>
      <c r="AB242" s="80">
        <v>579</v>
      </c>
      <c r="AC242" s="80">
        <v>523</v>
      </c>
      <c r="AD242" s="80">
        <v>5941</v>
      </c>
      <c r="AE242" s="80">
        <v>-31</v>
      </c>
      <c r="AF242" s="80">
        <v>4</v>
      </c>
      <c r="AG242" s="80">
        <v>14</v>
      </c>
      <c r="AH242" s="80">
        <v>0</v>
      </c>
      <c r="AI242" s="80">
        <v>45</v>
      </c>
      <c r="AJ242" s="80">
        <v>4</v>
      </c>
      <c r="AK242" s="80">
        <v>792</v>
      </c>
      <c r="AL242" s="80">
        <v>574</v>
      </c>
      <c r="AM242" s="80">
        <v>574</v>
      </c>
      <c r="AN242" s="80">
        <v>0</v>
      </c>
      <c r="AO242" s="80">
        <v>0</v>
      </c>
      <c r="AP242" s="80">
        <v>0</v>
      </c>
      <c r="AQ242" s="80">
        <v>0</v>
      </c>
      <c r="AR242" s="80">
        <v>218</v>
      </c>
      <c r="AS242" s="80">
        <v>0</v>
      </c>
      <c r="AT242" s="80">
        <v>0</v>
      </c>
      <c r="AU242" s="80">
        <v>0</v>
      </c>
      <c r="AV242" s="80">
        <v>218</v>
      </c>
      <c r="AW242" s="81"/>
      <c r="AX242" s="80">
        <v>790</v>
      </c>
      <c r="AY242" s="80">
        <v>792</v>
      </c>
      <c r="AZ242" s="80">
        <v>0</v>
      </c>
      <c r="BA242" s="80">
        <v>-2</v>
      </c>
      <c r="BB242" s="80">
        <v>-467</v>
      </c>
      <c r="BC242" s="80">
        <v>560</v>
      </c>
      <c r="BD242" s="80">
        <v>88</v>
      </c>
      <c r="BE242" s="80">
        <v>5</v>
      </c>
      <c r="BF242" s="80">
        <v>323</v>
      </c>
      <c r="BG242" s="80">
        <v>170</v>
      </c>
      <c r="BH242" s="80">
        <v>0</v>
      </c>
      <c r="BI242" s="80">
        <v>0</v>
      </c>
      <c r="BJ242" s="80">
        <v>0</v>
      </c>
      <c r="BK242" s="80">
        <v>-62</v>
      </c>
      <c r="BL242" s="80">
        <v>1000</v>
      </c>
      <c r="BM242" s="80">
        <v>1062</v>
      </c>
      <c r="BN242" s="80">
        <v>0</v>
      </c>
      <c r="BO242" s="80">
        <v>0</v>
      </c>
      <c r="BP242" s="80">
        <v>232</v>
      </c>
      <c r="BQ242" s="80">
        <v>0</v>
      </c>
      <c r="BR242" s="80">
        <v>0</v>
      </c>
      <c r="BS242" s="80">
        <v>224</v>
      </c>
      <c r="BT242" s="80">
        <v>8</v>
      </c>
      <c r="BU242" s="80">
        <v>493</v>
      </c>
      <c r="BV242" s="80">
        <v>1177</v>
      </c>
      <c r="BW242" s="80">
        <v>684</v>
      </c>
      <c r="BX242" s="81"/>
      <c r="BY242" s="80">
        <v>10353</v>
      </c>
      <c r="BZ242" s="80">
        <v>686</v>
      </c>
      <c r="CA242" s="80">
        <v>0</v>
      </c>
      <c r="CB242" s="80">
        <v>686</v>
      </c>
      <c r="CC242" s="80">
        <v>0</v>
      </c>
      <c r="CD242" s="80">
        <v>8354</v>
      </c>
      <c r="CE242" s="80">
        <v>1445</v>
      </c>
      <c r="CF242" s="80">
        <v>3721</v>
      </c>
      <c r="CG242" s="80">
        <v>2899</v>
      </c>
      <c r="CH242" s="80">
        <v>50</v>
      </c>
      <c r="CI242" s="80">
        <v>0</v>
      </c>
      <c r="CJ242" s="80">
        <v>0</v>
      </c>
      <c r="CK242" s="80">
        <v>239</v>
      </c>
      <c r="CL242" s="80">
        <v>1313</v>
      </c>
      <c r="CM242" s="80">
        <v>1279</v>
      </c>
      <c r="CN242" s="80">
        <v>1049</v>
      </c>
      <c r="CO242" s="80">
        <v>230</v>
      </c>
      <c r="CP242" s="80">
        <v>0</v>
      </c>
      <c r="CQ242" s="80">
        <v>0</v>
      </c>
      <c r="CR242" s="80">
        <v>0</v>
      </c>
      <c r="CS242" s="80">
        <v>0</v>
      </c>
      <c r="CT242" s="80">
        <v>0</v>
      </c>
      <c r="CU242" s="80">
        <v>34</v>
      </c>
      <c r="CV242" s="80">
        <v>11</v>
      </c>
      <c r="CW242" s="80">
        <v>0</v>
      </c>
      <c r="CX242" s="80">
        <v>11</v>
      </c>
      <c r="CY242" s="80">
        <v>0</v>
      </c>
      <c r="CZ242" s="80">
        <v>1578</v>
      </c>
      <c r="DA242" s="80">
        <v>13</v>
      </c>
      <c r="DB242" s="80">
        <v>0</v>
      </c>
      <c r="DC242" s="80">
        <v>0</v>
      </c>
      <c r="DD242" s="80">
        <v>0</v>
      </c>
      <c r="DE242" s="80">
        <v>13</v>
      </c>
      <c r="DF242" s="80">
        <v>0</v>
      </c>
      <c r="DG242" s="80">
        <v>388</v>
      </c>
      <c r="DH242" s="80">
        <v>0</v>
      </c>
      <c r="DI242" s="80">
        <v>0</v>
      </c>
      <c r="DJ242" s="80">
        <v>0</v>
      </c>
      <c r="DK242" s="80">
        <v>0</v>
      </c>
      <c r="DL242" s="80">
        <v>0</v>
      </c>
      <c r="DM242" s="80">
        <v>388</v>
      </c>
      <c r="DN242" s="80">
        <v>156</v>
      </c>
      <c r="DO242" s="80">
        <v>26</v>
      </c>
      <c r="DP242" s="80">
        <v>52</v>
      </c>
      <c r="DQ242" s="80">
        <v>154</v>
      </c>
      <c r="DR242" s="80">
        <v>0</v>
      </c>
      <c r="DS242" s="80">
        <v>0</v>
      </c>
      <c r="DT242" s="80">
        <v>0</v>
      </c>
      <c r="DU242" s="80">
        <v>0</v>
      </c>
      <c r="DV242" s="80">
        <v>0</v>
      </c>
      <c r="DW242" s="80">
        <v>1177</v>
      </c>
      <c r="DX242" s="80">
        <v>11942</v>
      </c>
      <c r="DY242" s="80">
        <v>8095</v>
      </c>
      <c r="DZ242" s="80">
        <v>6943</v>
      </c>
      <c r="EA242" s="80">
        <v>0</v>
      </c>
      <c r="EB242" s="80">
        <v>0</v>
      </c>
      <c r="EC242" s="80">
        <v>934</v>
      </c>
      <c r="ED242" s="80">
        <v>218</v>
      </c>
      <c r="EE242" s="80">
        <v>0</v>
      </c>
      <c r="EF242" s="80">
        <v>0</v>
      </c>
      <c r="EG242" s="80">
        <v>0</v>
      </c>
      <c r="EH242" s="80">
        <v>70</v>
      </c>
      <c r="EI242" s="80">
        <v>0</v>
      </c>
      <c r="EJ242" s="80">
        <v>70</v>
      </c>
      <c r="EK242" s="80">
        <v>11</v>
      </c>
      <c r="EL242" s="80">
        <v>0</v>
      </c>
      <c r="EM242" s="80">
        <v>11</v>
      </c>
      <c r="EN242" s="80">
        <v>0</v>
      </c>
      <c r="EO242" s="80">
        <v>3766</v>
      </c>
      <c r="EP242" s="80">
        <v>2463</v>
      </c>
      <c r="EQ242" s="80">
        <v>0</v>
      </c>
      <c r="ER242" s="80">
        <v>2238</v>
      </c>
      <c r="ES242" s="80">
        <v>2238</v>
      </c>
      <c r="ET242" s="80">
        <v>0</v>
      </c>
      <c r="EU242" s="80">
        <v>0</v>
      </c>
      <c r="EV242" s="80">
        <v>0</v>
      </c>
      <c r="EW242" s="80">
        <v>0</v>
      </c>
      <c r="EX242" s="80">
        <v>0</v>
      </c>
      <c r="EY242" s="80">
        <v>0</v>
      </c>
      <c r="EZ242" s="80">
        <v>0</v>
      </c>
      <c r="FA242" s="80">
        <v>225</v>
      </c>
      <c r="FB242" s="80">
        <v>0</v>
      </c>
      <c r="FC242" s="80">
        <v>0</v>
      </c>
      <c r="FD242" s="80">
        <v>1303</v>
      </c>
      <c r="FE242" s="80">
        <v>0</v>
      </c>
      <c r="FF242" s="80">
        <v>112</v>
      </c>
      <c r="FG242" s="80">
        <v>112</v>
      </c>
      <c r="FH242" s="80">
        <v>0</v>
      </c>
      <c r="FI242" s="80">
        <v>0</v>
      </c>
      <c r="FJ242" s="80">
        <v>0</v>
      </c>
      <c r="FK242" s="80">
        <v>0</v>
      </c>
      <c r="FL242" s="80">
        <v>0</v>
      </c>
      <c r="FM242" s="80">
        <v>2</v>
      </c>
      <c r="FN242" s="80">
        <v>689</v>
      </c>
      <c r="FO242" s="80">
        <v>58</v>
      </c>
      <c r="FP242" s="80">
        <v>442</v>
      </c>
      <c r="FQ242" s="80">
        <v>11942</v>
      </c>
      <c r="FR242" s="80">
        <v>0</v>
      </c>
      <c r="FS242" s="80">
        <v>1430</v>
      </c>
      <c r="FT242" s="100">
        <v>5256.3995409806303</v>
      </c>
      <c r="FU242" s="100"/>
      <c r="FV242" s="100">
        <v>2323</v>
      </c>
      <c r="FW242" s="67">
        <v>574</v>
      </c>
      <c r="FX242" s="100">
        <f t="shared" si="20"/>
        <v>-6821</v>
      </c>
      <c r="FY242" s="100">
        <f t="shared" si="21"/>
        <v>-9184</v>
      </c>
      <c r="FZ242" s="100">
        <v>6145.2332836244777</v>
      </c>
      <c r="GA242" s="67">
        <v>2363</v>
      </c>
      <c r="GB242" s="58">
        <f t="shared" si="18"/>
        <v>40</v>
      </c>
      <c r="GC242" s="67">
        <v>574</v>
      </c>
      <c r="GD242" s="100">
        <v>41</v>
      </c>
      <c r="GE242" s="100">
        <v>41</v>
      </c>
      <c r="GF242" s="58">
        <f t="shared" si="19"/>
        <v>0</v>
      </c>
      <c r="GG242" s="100">
        <v>-1981.1390000000004</v>
      </c>
      <c r="GH242" s="100">
        <v>-175.24800000000008</v>
      </c>
      <c r="GI242" s="100">
        <v>-4242.6765818229233</v>
      </c>
      <c r="GJ242" s="67">
        <f t="shared" si="22"/>
        <v>0</v>
      </c>
      <c r="GK242" s="67"/>
      <c r="GM242" s="96"/>
    </row>
    <row r="243" spans="1:195" ht="13.5" customHeight="1" x14ac:dyDescent="0.2">
      <c r="A243" s="74">
        <v>748</v>
      </c>
      <c r="B243" s="75" t="s">
        <v>167</v>
      </c>
      <c r="C243" s="75" t="s">
        <v>167</v>
      </c>
      <c r="D243" s="76"/>
      <c r="E243" s="77" t="s">
        <v>216</v>
      </c>
      <c r="F243" s="78">
        <v>3</v>
      </c>
      <c r="G243" s="79">
        <v>5466</v>
      </c>
      <c r="H243" s="80">
        <v>3298</v>
      </c>
      <c r="I243" s="80">
        <v>1194</v>
      </c>
      <c r="J243" s="80">
        <v>660</v>
      </c>
      <c r="K243" s="80">
        <v>542</v>
      </c>
      <c r="L243" s="80">
        <v>902</v>
      </c>
      <c r="M243" s="80">
        <v>0</v>
      </c>
      <c r="N243" s="80">
        <v>0</v>
      </c>
      <c r="O243" s="80">
        <v>35729</v>
      </c>
      <c r="P243" s="80">
        <v>11145</v>
      </c>
      <c r="Q243" s="80">
        <v>8370</v>
      </c>
      <c r="R243" s="80">
        <v>2775</v>
      </c>
      <c r="S243" s="80">
        <v>2374</v>
      </c>
      <c r="T243" s="80">
        <v>401</v>
      </c>
      <c r="U243" s="80">
        <v>21045</v>
      </c>
      <c r="V243" s="80">
        <v>1871</v>
      </c>
      <c r="W243" s="80">
        <v>968</v>
      </c>
      <c r="X243" s="80">
        <v>700</v>
      </c>
      <c r="Y243" s="80">
        <v>-32431</v>
      </c>
      <c r="Z243" s="80">
        <v>17380</v>
      </c>
      <c r="AA243" s="80">
        <v>15590</v>
      </c>
      <c r="AB243" s="80">
        <v>720</v>
      </c>
      <c r="AC243" s="80">
        <v>1070</v>
      </c>
      <c r="AD243" s="80">
        <v>18143</v>
      </c>
      <c r="AE243" s="80">
        <v>151</v>
      </c>
      <c r="AF243" s="80">
        <v>78</v>
      </c>
      <c r="AG243" s="80">
        <v>201</v>
      </c>
      <c r="AH243" s="80">
        <v>32</v>
      </c>
      <c r="AI243" s="80">
        <v>115</v>
      </c>
      <c r="AJ243" s="80">
        <v>13</v>
      </c>
      <c r="AK243" s="80">
        <v>3243</v>
      </c>
      <c r="AL243" s="80">
        <v>1037</v>
      </c>
      <c r="AM243" s="80">
        <v>1037</v>
      </c>
      <c r="AN243" s="80">
        <v>0</v>
      </c>
      <c r="AO243" s="80">
        <v>-333</v>
      </c>
      <c r="AP243" s="80">
        <v>0</v>
      </c>
      <c r="AQ243" s="80">
        <v>333</v>
      </c>
      <c r="AR243" s="80">
        <v>1873</v>
      </c>
      <c r="AS243" s="80">
        <v>-2000</v>
      </c>
      <c r="AT243" s="80">
        <v>7</v>
      </c>
      <c r="AU243" s="80">
        <v>2000</v>
      </c>
      <c r="AV243" s="80">
        <v>1880</v>
      </c>
      <c r="AW243" s="81"/>
      <c r="AX243" s="80">
        <v>3167</v>
      </c>
      <c r="AY243" s="80">
        <v>3243</v>
      </c>
      <c r="AZ243" s="80">
        <v>-333</v>
      </c>
      <c r="BA243" s="80">
        <v>257</v>
      </c>
      <c r="BB243" s="80">
        <v>-6338</v>
      </c>
      <c r="BC243" s="80">
        <v>7805</v>
      </c>
      <c r="BD243" s="80">
        <v>1283</v>
      </c>
      <c r="BE243" s="80">
        <v>184</v>
      </c>
      <c r="BF243" s="80">
        <v>-3171</v>
      </c>
      <c r="BG243" s="80">
        <v>735</v>
      </c>
      <c r="BH243" s="80">
        <v>-85</v>
      </c>
      <c r="BI243" s="80">
        <v>94</v>
      </c>
      <c r="BJ243" s="80">
        <v>9</v>
      </c>
      <c r="BK243" s="80">
        <v>2033</v>
      </c>
      <c r="BL243" s="80">
        <v>0</v>
      </c>
      <c r="BM243" s="80">
        <v>967</v>
      </c>
      <c r="BN243" s="80">
        <v>3000</v>
      </c>
      <c r="BO243" s="80">
        <v>0</v>
      </c>
      <c r="BP243" s="80">
        <v>-1213</v>
      </c>
      <c r="BQ243" s="80">
        <v>0</v>
      </c>
      <c r="BR243" s="80">
        <v>11</v>
      </c>
      <c r="BS243" s="80">
        <v>-878</v>
      </c>
      <c r="BT243" s="80">
        <v>-346</v>
      </c>
      <c r="BU243" s="80">
        <v>-2437</v>
      </c>
      <c r="BV243" s="80">
        <v>3682</v>
      </c>
      <c r="BW243" s="80">
        <v>6119</v>
      </c>
      <c r="BX243" s="81"/>
      <c r="BY243" s="80">
        <v>31803</v>
      </c>
      <c r="BZ243" s="80">
        <v>49</v>
      </c>
      <c r="CA243" s="80">
        <v>13</v>
      </c>
      <c r="CB243" s="80">
        <v>36</v>
      </c>
      <c r="CC243" s="80">
        <v>0</v>
      </c>
      <c r="CD243" s="80">
        <v>18910</v>
      </c>
      <c r="CE243" s="80">
        <v>2358</v>
      </c>
      <c r="CF243" s="80">
        <v>7511</v>
      </c>
      <c r="CG243" s="80">
        <v>2320</v>
      </c>
      <c r="CH243" s="80">
        <v>48</v>
      </c>
      <c r="CI243" s="80">
        <v>17</v>
      </c>
      <c r="CJ243" s="80">
        <v>17</v>
      </c>
      <c r="CK243" s="80">
        <v>6656</v>
      </c>
      <c r="CL243" s="80">
        <v>12844</v>
      </c>
      <c r="CM243" s="80">
        <v>10735</v>
      </c>
      <c r="CN243" s="80">
        <v>3813</v>
      </c>
      <c r="CO243" s="80">
        <v>6922</v>
      </c>
      <c r="CP243" s="80">
        <v>0</v>
      </c>
      <c r="CQ243" s="80">
        <v>2106</v>
      </c>
      <c r="CR243" s="80">
        <v>0</v>
      </c>
      <c r="CS243" s="80">
        <v>0</v>
      </c>
      <c r="CT243" s="80">
        <v>2106</v>
      </c>
      <c r="CU243" s="80">
        <v>3</v>
      </c>
      <c r="CV243" s="80">
        <v>119</v>
      </c>
      <c r="CW243" s="80">
        <v>1</v>
      </c>
      <c r="CX243" s="80">
        <v>117</v>
      </c>
      <c r="CY243" s="80">
        <v>1</v>
      </c>
      <c r="CZ243" s="80">
        <v>6249</v>
      </c>
      <c r="DA243" s="80">
        <v>14</v>
      </c>
      <c r="DB243" s="80">
        <v>0</v>
      </c>
      <c r="DC243" s="80">
        <v>0</v>
      </c>
      <c r="DD243" s="80">
        <v>0</v>
      </c>
      <c r="DE243" s="80">
        <v>14</v>
      </c>
      <c r="DF243" s="80">
        <v>0</v>
      </c>
      <c r="DG243" s="80">
        <v>2554</v>
      </c>
      <c r="DH243" s="80">
        <v>176</v>
      </c>
      <c r="DI243" s="80">
        <v>88</v>
      </c>
      <c r="DJ243" s="80">
        <v>0</v>
      </c>
      <c r="DK243" s="80">
        <v>88</v>
      </c>
      <c r="DL243" s="80">
        <v>0</v>
      </c>
      <c r="DM243" s="80">
        <v>2378</v>
      </c>
      <c r="DN243" s="80">
        <v>661</v>
      </c>
      <c r="DO243" s="80">
        <v>0</v>
      </c>
      <c r="DP243" s="80">
        <v>863</v>
      </c>
      <c r="DQ243" s="80">
        <v>854</v>
      </c>
      <c r="DR243" s="80">
        <v>1863</v>
      </c>
      <c r="DS243" s="80">
        <v>749</v>
      </c>
      <c r="DT243" s="80">
        <v>0</v>
      </c>
      <c r="DU243" s="80">
        <v>1114</v>
      </c>
      <c r="DV243" s="80">
        <v>0</v>
      </c>
      <c r="DW243" s="80">
        <v>1818</v>
      </c>
      <c r="DX243" s="80">
        <v>38171</v>
      </c>
      <c r="DY243" s="80">
        <v>16175</v>
      </c>
      <c r="DZ243" s="80">
        <v>12008</v>
      </c>
      <c r="EA243" s="80">
        <v>0</v>
      </c>
      <c r="EB243" s="80">
        <v>1176</v>
      </c>
      <c r="EC243" s="80">
        <v>1111</v>
      </c>
      <c r="ED243" s="80">
        <v>1880</v>
      </c>
      <c r="EE243" s="80">
        <v>2189</v>
      </c>
      <c r="EF243" s="80">
        <v>2189</v>
      </c>
      <c r="EG243" s="80">
        <v>0</v>
      </c>
      <c r="EH243" s="80">
        <v>127</v>
      </c>
      <c r="EI243" s="80">
        <v>0</v>
      </c>
      <c r="EJ243" s="80">
        <v>127</v>
      </c>
      <c r="EK243" s="80">
        <v>119</v>
      </c>
      <c r="EL243" s="80">
        <v>1</v>
      </c>
      <c r="EM243" s="80">
        <v>111</v>
      </c>
      <c r="EN243" s="80">
        <v>7</v>
      </c>
      <c r="EO243" s="80">
        <v>19561</v>
      </c>
      <c r="EP243" s="80">
        <v>6030</v>
      </c>
      <c r="EQ243" s="80">
        <v>0</v>
      </c>
      <c r="ER243" s="80">
        <v>3638</v>
      </c>
      <c r="ES243" s="80">
        <v>0</v>
      </c>
      <c r="ET243" s="80">
        <v>3638</v>
      </c>
      <c r="EU243" s="80">
        <v>0</v>
      </c>
      <c r="EV243" s="80">
        <v>0</v>
      </c>
      <c r="EW243" s="80">
        <v>2392</v>
      </c>
      <c r="EX243" s="80">
        <v>0</v>
      </c>
      <c r="EY243" s="80">
        <v>0</v>
      </c>
      <c r="EZ243" s="80">
        <v>0</v>
      </c>
      <c r="FA243" s="80">
        <v>0</v>
      </c>
      <c r="FB243" s="80">
        <v>0</v>
      </c>
      <c r="FC243" s="80">
        <v>0</v>
      </c>
      <c r="FD243" s="80">
        <v>13531</v>
      </c>
      <c r="FE243" s="80">
        <v>0</v>
      </c>
      <c r="FF243" s="80">
        <v>10190</v>
      </c>
      <c r="FG243" s="80">
        <v>9500</v>
      </c>
      <c r="FH243" s="80">
        <v>690</v>
      </c>
      <c r="FI243" s="80">
        <v>0</v>
      </c>
      <c r="FJ243" s="80">
        <v>0</v>
      </c>
      <c r="FK243" s="80">
        <v>277</v>
      </c>
      <c r="FL243" s="80">
        <v>0</v>
      </c>
      <c r="FM243" s="80">
        <v>4</v>
      </c>
      <c r="FN243" s="80">
        <v>1203</v>
      </c>
      <c r="FO243" s="80">
        <v>191</v>
      </c>
      <c r="FP243" s="80">
        <v>1666</v>
      </c>
      <c r="FQ243" s="80">
        <v>38171</v>
      </c>
      <c r="FR243" s="80">
        <v>5346</v>
      </c>
      <c r="FS243" s="80">
        <v>399</v>
      </c>
      <c r="FT243" s="100">
        <v>20543.865610066125</v>
      </c>
      <c r="FU243" s="100"/>
      <c r="FV243" s="100">
        <v>6888</v>
      </c>
      <c r="FW243" s="67">
        <v>1037</v>
      </c>
      <c r="FX243" s="100">
        <f t="shared" si="20"/>
        <v>-24402</v>
      </c>
      <c r="FY243" s="100">
        <f t="shared" si="21"/>
        <v>-31394</v>
      </c>
      <c r="FZ243" s="100">
        <v>17691.188580152273</v>
      </c>
      <c r="GA243" s="67">
        <v>6992</v>
      </c>
      <c r="GB243" s="58">
        <f t="shared" si="18"/>
        <v>104</v>
      </c>
      <c r="GC243" s="67">
        <v>1037</v>
      </c>
      <c r="GD243" s="100">
        <v>660</v>
      </c>
      <c r="GE243" s="100">
        <v>659</v>
      </c>
      <c r="GF243" s="58">
        <f t="shared" si="19"/>
        <v>1</v>
      </c>
      <c r="GG243" s="100">
        <v>-8424.7960000000003</v>
      </c>
      <c r="GH243" s="100">
        <v>-228.54060000000007</v>
      </c>
      <c r="GI243" s="100">
        <v>-9192.0011072658381</v>
      </c>
      <c r="GJ243" s="67">
        <f t="shared" si="22"/>
        <v>0</v>
      </c>
      <c r="GK243" s="67"/>
      <c r="GM243" s="96"/>
    </row>
    <row r="244" spans="1:195" ht="13.5" customHeight="1" x14ac:dyDescent="0.2">
      <c r="A244" s="74">
        <v>791</v>
      </c>
      <c r="B244" s="75" t="s">
        <v>182</v>
      </c>
      <c r="C244" s="75" t="s">
        <v>182</v>
      </c>
      <c r="D244" s="76"/>
      <c r="E244" s="77" t="s">
        <v>216</v>
      </c>
      <c r="F244" s="78">
        <v>3</v>
      </c>
      <c r="G244" s="79">
        <v>5677</v>
      </c>
      <c r="H244" s="80">
        <v>7982</v>
      </c>
      <c r="I244" s="80">
        <v>4644</v>
      </c>
      <c r="J244" s="80">
        <v>688</v>
      </c>
      <c r="K244" s="80">
        <v>384</v>
      </c>
      <c r="L244" s="80">
        <v>2266</v>
      </c>
      <c r="M244" s="80">
        <v>0</v>
      </c>
      <c r="N244" s="80">
        <v>0</v>
      </c>
      <c r="O244" s="80">
        <v>46860</v>
      </c>
      <c r="P244" s="80">
        <v>14059</v>
      </c>
      <c r="Q244" s="80">
        <v>10177</v>
      </c>
      <c r="R244" s="80">
        <v>3882</v>
      </c>
      <c r="S244" s="80">
        <v>3281</v>
      </c>
      <c r="T244" s="80">
        <v>601</v>
      </c>
      <c r="U244" s="80">
        <v>29940</v>
      </c>
      <c r="V244" s="80">
        <v>2245</v>
      </c>
      <c r="W244" s="80">
        <v>411</v>
      </c>
      <c r="X244" s="80">
        <v>205</v>
      </c>
      <c r="Y244" s="80">
        <v>-38878</v>
      </c>
      <c r="Z244" s="80">
        <v>17713</v>
      </c>
      <c r="AA244" s="80">
        <v>15224</v>
      </c>
      <c r="AB244" s="80">
        <v>1126</v>
      </c>
      <c r="AC244" s="80">
        <v>1363</v>
      </c>
      <c r="AD244" s="80">
        <v>23030</v>
      </c>
      <c r="AE244" s="80">
        <v>17</v>
      </c>
      <c r="AF244" s="80">
        <v>65</v>
      </c>
      <c r="AG244" s="80">
        <v>25</v>
      </c>
      <c r="AH244" s="80">
        <v>7</v>
      </c>
      <c r="AI244" s="80">
        <v>31</v>
      </c>
      <c r="AJ244" s="80">
        <v>42</v>
      </c>
      <c r="AK244" s="80">
        <v>1882</v>
      </c>
      <c r="AL244" s="80">
        <v>1248</v>
      </c>
      <c r="AM244" s="80">
        <v>1248</v>
      </c>
      <c r="AN244" s="80">
        <v>0</v>
      </c>
      <c r="AO244" s="80">
        <v>0</v>
      </c>
      <c r="AP244" s="80">
        <v>0</v>
      </c>
      <c r="AQ244" s="80">
        <v>0</v>
      </c>
      <c r="AR244" s="80">
        <v>634</v>
      </c>
      <c r="AS244" s="80">
        <v>112</v>
      </c>
      <c r="AT244" s="80">
        <v>0</v>
      </c>
      <c r="AU244" s="80">
        <v>0</v>
      </c>
      <c r="AV244" s="80">
        <v>746</v>
      </c>
      <c r="AW244" s="81"/>
      <c r="AX244" s="80">
        <v>1220</v>
      </c>
      <c r="AY244" s="80">
        <v>1882</v>
      </c>
      <c r="AZ244" s="80">
        <v>0</v>
      </c>
      <c r="BA244" s="80">
        <v>-662</v>
      </c>
      <c r="BB244" s="80">
        <v>923</v>
      </c>
      <c r="BC244" s="80">
        <v>2513</v>
      </c>
      <c r="BD244" s="80">
        <v>400</v>
      </c>
      <c r="BE244" s="80">
        <v>3036</v>
      </c>
      <c r="BF244" s="80">
        <v>2143</v>
      </c>
      <c r="BG244" s="80">
        <v>-2215</v>
      </c>
      <c r="BH244" s="80">
        <v>28</v>
      </c>
      <c r="BI244" s="80">
        <v>11</v>
      </c>
      <c r="BJ244" s="80">
        <v>39</v>
      </c>
      <c r="BK244" s="80">
        <v>79</v>
      </c>
      <c r="BL244" s="80">
        <v>7</v>
      </c>
      <c r="BM244" s="80">
        <v>1428</v>
      </c>
      <c r="BN244" s="80">
        <v>1500</v>
      </c>
      <c r="BO244" s="80">
        <v>-101</v>
      </c>
      <c r="BP244" s="80">
        <v>-2221</v>
      </c>
      <c r="BQ244" s="80">
        <v>-26</v>
      </c>
      <c r="BR244" s="80">
        <v>0</v>
      </c>
      <c r="BS244" s="80">
        <v>-2140</v>
      </c>
      <c r="BT244" s="80">
        <v>-55</v>
      </c>
      <c r="BU244" s="80">
        <v>-72</v>
      </c>
      <c r="BV244" s="80">
        <v>95</v>
      </c>
      <c r="BW244" s="80">
        <v>167</v>
      </c>
      <c r="BX244" s="81"/>
      <c r="BY244" s="80">
        <v>30510</v>
      </c>
      <c r="BZ244" s="80">
        <v>682</v>
      </c>
      <c r="CA244" s="80">
        <v>682</v>
      </c>
      <c r="CB244" s="80">
        <v>0</v>
      </c>
      <c r="CC244" s="80">
        <v>0</v>
      </c>
      <c r="CD244" s="80">
        <v>20078</v>
      </c>
      <c r="CE244" s="80">
        <v>2881</v>
      </c>
      <c r="CF244" s="80">
        <v>14335</v>
      </c>
      <c r="CG244" s="80">
        <v>1438</v>
      </c>
      <c r="CH244" s="80">
        <v>96</v>
      </c>
      <c r="CI244" s="80">
        <v>12</v>
      </c>
      <c r="CJ244" s="80">
        <v>12</v>
      </c>
      <c r="CK244" s="80">
        <v>1316</v>
      </c>
      <c r="CL244" s="80">
        <v>9750</v>
      </c>
      <c r="CM244" s="80">
        <v>8938</v>
      </c>
      <c r="CN244" s="80">
        <v>5109</v>
      </c>
      <c r="CO244" s="80">
        <v>3829</v>
      </c>
      <c r="CP244" s="80">
        <v>0</v>
      </c>
      <c r="CQ244" s="80">
        <v>780</v>
      </c>
      <c r="CR244" s="80">
        <v>0</v>
      </c>
      <c r="CS244" s="80">
        <v>0</v>
      </c>
      <c r="CT244" s="80">
        <v>780</v>
      </c>
      <c r="CU244" s="80">
        <v>32</v>
      </c>
      <c r="CV244" s="80">
        <v>65</v>
      </c>
      <c r="CW244" s="80">
        <v>0</v>
      </c>
      <c r="CX244" s="80">
        <v>42</v>
      </c>
      <c r="CY244" s="80">
        <v>23</v>
      </c>
      <c r="CZ244" s="80">
        <v>6481</v>
      </c>
      <c r="DA244" s="80">
        <v>0</v>
      </c>
      <c r="DB244" s="80">
        <v>0</v>
      </c>
      <c r="DC244" s="80">
        <v>0</v>
      </c>
      <c r="DD244" s="80">
        <v>0</v>
      </c>
      <c r="DE244" s="80">
        <v>0</v>
      </c>
      <c r="DF244" s="80">
        <v>0</v>
      </c>
      <c r="DG244" s="80">
        <v>6386</v>
      </c>
      <c r="DH244" s="80">
        <v>2638</v>
      </c>
      <c r="DI244" s="80">
        <v>1</v>
      </c>
      <c r="DJ244" s="80">
        <v>2479</v>
      </c>
      <c r="DK244" s="80">
        <v>0</v>
      </c>
      <c r="DL244" s="80">
        <v>158</v>
      </c>
      <c r="DM244" s="80">
        <v>3748</v>
      </c>
      <c r="DN244" s="80">
        <v>2814</v>
      </c>
      <c r="DO244" s="80">
        <v>17</v>
      </c>
      <c r="DP244" s="80">
        <v>515</v>
      </c>
      <c r="DQ244" s="80">
        <v>402</v>
      </c>
      <c r="DR244" s="80">
        <v>0</v>
      </c>
      <c r="DS244" s="80">
        <v>0</v>
      </c>
      <c r="DT244" s="80">
        <v>0</v>
      </c>
      <c r="DU244" s="80">
        <v>0</v>
      </c>
      <c r="DV244" s="80">
        <v>0</v>
      </c>
      <c r="DW244" s="80">
        <v>95</v>
      </c>
      <c r="DX244" s="80">
        <v>37056</v>
      </c>
      <c r="DY244" s="80">
        <v>16959</v>
      </c>
      <c r="DZ244" s="80">
        <v>15113</v>
      </c>
      <c r="EA244" s="80">
        <v>0</v>
      </c>
      <c r="EB244" s="80">
        <v>1141</v>
      </c>
      <c r="EC244" s="80">
        <v>-42</v>
      </c>
      <c r="ED244" s="80">
        <v>747</v>
      </c>
      <c r="EE244" s="80">
        <v>1758</v>
      </c>
      <c r="EF244" s="80">
        <v>1333</v>
      </c>
      <c r="EG244" s="80">
        <v>425</v>
      </c>
      <c r="EH244" s="80">
        <v>0</v>
      </c>
      <c r="EI244" s="80">
        <v>0</v>
      </c>
      <c r="EJ244" s="80">
        <v>0</v>
      </c>
      <c r="EK244" s="80">
        <v>77</v>
      </c>
      <c r="EL244" s="80">
        <v>0</v>
      </c>
      <c r="EM244" s="80">
        <v>54</v>
      </c>
      <c r="EN244" s="80">
        <v>23</v>
      </c>
      <c r="EO244" s="80">
        <v>18262</v>
      </c>
      <c r="EP244" s="80">
        <v>4782</v>
      </c>
      <c r="EQ244" s="80">
        <v>0</v>
      </c>
      <c r="ER244" s="80">
        <v>4782</v>
      </c>
      <c r="ES244" s="80">
        <v>499</v>
      </c>
      <c r="ET244" s="80">
        <v>4283</v>
      </c>
      <c r="EU244" s="80">
        <v>0</v>
      </c>
      <c r="EV244" s="80">
        <v>0</v>
      </c>
      <c r="EW244" s="80">
        <v>0</v>
      </c>
      <c r="EX244" s="80">
        <v>0</v>
      </c>
      <c r="EY244" s="80">
        <v>0</v>
      </c>
      <c r="EZ244" s="80">
        <v>0</v>
      </c>
      <c r="FA244" s="80">
        <v>0</v>
      </c>
      <c r="FB244" s="80">
        <v>0</v>
      </c>
      <c r="FC244" s="80">
        <v>0</v>
      </c>
      <c r="FD244" s="80">
        <v>13480</v>
      </c>
      <c r="FE244" s="80">
        <v>0</v>
      </c>
      <c r="FF244" s="80">
        <v>9251</v>
      </c>
      <c r="FG244" s="80">
        <v>8279</v>
      </c>
      <c r="FH244" s="80">
        <v>972</v>
      </c>
      <c r="FI244" s="80">
        <v>0</v>
      </c>
      <c r="FJ244" s="80">
        <v>0</v>
      </c>
      <c r="FK244" s="80">
        <v>3</v>
      </c>
      <c r="FL244" s="80">
        <v>0</v>
      </c>
      <c r="FM244" s="80">
        <v>17</v>
      </c>
      <c r="FN244" s="80">
        <v>1677</v>
      </c>
      <c r="FO244" s="80">
        <v>459</v>
      </c>
      <c r="FP244" s="80">
        <v>2073</v>
      </c>
      <c r="FQ244" s="80">
        <v>37056</v>
      </c>
      <c r="FR244" s="80">
        <v>11516</v>
      </c>
      <c r="FS244" s="80">
        <v>605</v>
      </c>
      <c r="FT244" s="100">
        <v>23513.661565684088</v>
      </c>
      <c r="FU244" s="100"/>
      <c r="FV244" s="100">
        <v>11374</v>
      </c>
      <c r="FW244" s="67">
        <v>1244</v>
      </c>
      <c r="FX244" s="100">
        <f t="shared" si="20"/>
        <v>-26188</v>
      </c>
      <c r="FY244" s="100">
        <f t="shared" si="21"/>
        <v>-37630</v>
      </c>
      <c r="FZ244" s="100">
        <v>26134.412598350722</v>
      </c>
      <c r="GA244" s="67">
        <v>11442</v>
      </c>
      <c r="GB244" s="58">
        <f t="shared" si="18"/>
        <v>68</v>
      </c>
      <c r="GC244" s="67">
        <v>1248</v>
      </c>
      <c r="GD244" s="100">
        <v>690</v>
      </c>
      <c r="GE244" s="100">
        <v>690</v>
      </c>
      <c r="GF244" s="58">
        <f t="shared" si="19"/>
        <v>0</v>
      </c>
      <c r="GG244" s="100">
        <v>-7818.8780000000006</v>
      </c>
      <c r="GH244" s="100">
        <v>-348.04325000000011</v>
      </c>
      <c r="GI244" s="100">
        <v>-18568.596179848577</v>
      </c>
      <c r="GJ244" s="67">
        <f t="shared" si="22"/>
        <v>4</v>
      </c>
      <c r="GK244" s="67"/>
      <c r="GM244" s="96"/>
    </row>
    <row r="245" spans="1:195" ht="13.5" customHeight="1" x14ac:dyDescent="0.2">
      <c r="A245" s="74">
        <v>749</v>
      </c>
      <c r="B245" s="75" t="s">
        <v>168</v>
      </c>
      <c r="C245" s="75" t="s">
        <v>168</v>
      </c>
      <c r="D245" s="76"/>
      <c r="E245" s="77" t="s">
        <v>239</v>
      </c>
      <c r="F245" s="78">
        <v>5</v>
      </c>
      <c r="G245" s="79">
        <v>21794</v>
      </c>
      <c r="H245" s="80">
        <v>20708</v>
      </c>
      <c r="I245" s="80">
        <v>10339</v>
      </c>
      <c r="J245" s="80">
        <v>5326</v>
      </c>
      <c r="K245" s="80">
        <v>1769</v>
      </c>
      <c r="L245" s="80">
        <v>3274</v>
      </c>
      <c r="M245" s="80">
        <v>0</v>
      </c>
      <c r="N245" s="80">
        <v>175</v>
      </c>
      <c r="O245" s="80">
        <v>126670</v>
      </c>
      <c r="P245" s="80">
        <v>57647</v>
      </c>
      <c r="Q245" s="80">
        <v>44601</v>
      </c>
      <c r="R245" s="80">
        <v>13046</v>
      </c>
      <c r="S245" s="80">
        <v>10627</v>
      </c>
      <c r="T245" s="80">
        <v>2419</v>
      </c>
      <c r="U245" s="80">
        <v>50985</v>
      </c>
      <c r="V245" s="80">
        <v>6204</v>
      </c>
      <c r="W245" s="80">
        <v>7948</v>
      </c>
      <c r="X245" s="80">
        <v>3886</v>
      </c>
      <c r="Y245" s="80">
        <v>-105787</v>
      </c>
      <c r="Z245" s="80">
        <v>85985</v>
      </c>
      <c r="AA245" s="80">
        <v>75302</v>
      </c>
      <c r="AB245" s="80">
        <v>5436</v>
      </c>
      <c r="AC245" s="80">
        <v>5247</v>
      </c>
      <c r="AD245" s="80">
        <v>26224</v>
      </c>
      <c r="AE245" s="80">
        <v>-153</v>
      </c>
      <c r="AF245" s="80">
        <v>34</v>
      </c>
      <c r="AG245" s="80">
        <v>549</v>
      </c>
      <c r="AH245" s="80">
        <v>423</v>
      </c>
      <c r="AI245" s="80">
        <v>735</v>
      </c>
      <c r="AJ245" s="80">
        <v>1</v>
      </c>
      <c r="AK245" s="80">
        <v>6269</v>
      </c>
      <c r="AL245" s="80">
        <v>5894</v>
      </c>
      <c r="AM245" s="80">
        <v>5894</v>
      </c>
      <c r="AN245" s="80">
        <v>0</v>
      </c>
      <c r="AO245" s="80">
        <v>0</v>
      </c>
      <c r="AP245" s="80">
        <v>0</v>
      </c>
      <c r="AQ245" s="80">
        <v>0</v>
      </c>
      <c r="AR245" s="80">
        <v>375</v>
      </c>
      <c r="AS245" s="80">
        <v>0</v>
      </c>
      <c r="AT245" s="80">
        <v>0</v>
      </c>
      <c r="AU245" s="80">
        <v>28</v>
      </c>
      <c r="AV245" s="80">
        <v>403</v>
      </c>
      <c r="AW245" s="81"/>
      <c r="AX245" s="80">
        <v>5617</v>
      </c>
      <c r="AY245" s="80">
        <v>6269</v>
      </c>
      <c r="AZ245" s="80">
        <v>0</v>
      </c>
      <c r="BA245" s="80">
        <v>-652</v>
      </c>
      <c r="BB245" s="80">
        <v>-6973</v>
      </c>
      <c r="BC245" s="80">
        <v>7872</v>
      </c>
      <c r="BD245" s="80">
        <v>52</v>
      </c>
      <c r="BE245" s="80">
        <v>847</v>
      </c>
      <c r="BF245" s="80">
        <v>-1356</v>
      </c>
      <c r="BG245" s="80">
        <v>1555</v>
      </c>
      <c r="BH245" s="80">
        <v>-158</v>
      </c>
      <c r="BI245" s="80">
        <v>182</v>
      </c>
      <c r="BJ245" s="80">
        <v>24</v>
      </c>
      <c r="BK245" s="80">
        <v>259</v>
      </c>
      <c r="BL245" s="80">
        <v>9000</v>
      </c>
      <c r="BM245" s="80">
        <v>8741</v>
      </c>
      <c r="BN245" s="80">
        <v>0</v>
      </c>
      <c r="BO245" s="80">
        <v>0</v>
      </c>
      <c r="BP245" s="80">
        <v>1454</v>
      </c>
      <c r="BQ245" s="80">
        <v>-21</v>
      </c>
      <c r="BR245" s="80">
        <v>6</v>
      </c>
      <c r="BS245" s="80">
        <v>-282</v>
      </c>
      <c r="BT245" s="80">
        <v>1751</v>
      </c>
      <c r="BU245" s="80">
        <v>199</v>
      </c>
      <c r="BV245" s="80">
        <v>5688</v>
      </c>
      <c r="BW245" s="80">
        <v>5489</v>
      </c>
      <c r="BX245" s="81"/>
      <c r="BY245" s="80">
        <v>133375</v>
      </c>
      <c r="BZ245" s="80">
        <v>257</v>
      </c>
      <c r="CA245" s="80">
        <v>0</v>
      </c>
      <c r="CB245" s="80">
        <v>257</v>
      </c>
      <c r="CC245" s="80">
        <v>0</v>
      </c>
      <c r="CD245" s="80">
        <v>108809</v>
      </c>
      <c r="CE245" s="80">
        <v>24402</v>
      </c>
      <c r="CF245" s="80">
        <v>46788</v>
      </c>
      <c r="CG245" s="80">
        <v>31832</v>
      </c>
      <c r="CH245" s="80">
        <v>2015</v>
      </c>
      <c r="CI245" s="80">
        <v>9</v>
      </c>
      <c r="CJ245" s="80">
        <v>9</v>
      </c>
      <c r="CK245" s="80">
        <v>3763</v>
      </c>
      <c r="CL245" s="80">
        <v>24309</v>
      </c>
      <c r="CM245" s="80">
        <v>18995</v>
      </c>
      <c r="CN245" s="80">
        <v>8618</v>
      </c>
      <c r="CO245" s="80">
        <v>10377</v>
      </c>
      <c r="CP245" s="80">
        <v>0</v>
      </c>
      <c r="CQ245" s="80">
        <v>5071</v>
      </c>
      <c r="CR245" s="80">
        <v>0</v>
      </c>
      <c r="CS245" s="80">
        <v>0</v>
      </c>
      <c r="CT245" s="80">
        <v>5071</v>
      </c>
      <c r="CU245" s="80">
        <v>243</v>
      </c>
      <c r="CV245" s="80">
        <v>22</v>
      </c>
      <c r="CW245" s="80">
        <v>22</v>
      </c>
      <c r="CX245" s="80">
        <v>0</v>
      </c>
      <c r="CY245" s="80">
        <v>0</v>
      </c>
      <c r="CZ245" s="80">
        <v>11001</v>
      </c>
      <c r="DA245" s="80">
        <v>103</v>
      </c>
      <c r="DB245" s="80">
        <v>103</v>
      </c>
      <c r="DC245" s="80">
        <v>0</v>
      </c>
      <c r="DD245" s="80">
        <v>0</v>
      </c>
      <c r="DE245" s="80">
        <v>0</v>
      </c>
      <c r="DF245" s="80">
        <v>0</v>
      </c>
      <c r="DG245" s="80">
        <v>5209</v>
      </c>
      <c r="DH245" s="80">
        <v>129</v>
      </c>
      <c r="DI245" s="80">
        <v>0</v>
      </c>
      <c r="DJ245" s="80">
        <v>0</v>
      </c>
      <c r="DK245" s="80">
        <v>129</v>
      </c>
      <c r="DL245" s="80">
        <v>0</v>
      </c>
      <c r="DM245" s="80">
        <v>5080</v>
      </c>
      <c r="DN245" s="80">
        <v>3302</v>
      </c>
      <c r="DO245" s="80">
        <v>0</v>
      </c>
      <c r="DP245" s="80">
        <v>976</v>
      </c>
      <c r="DQ245" s="80">
        <v>802</v>
      </c>
      <c r="DR245" s="80">
        <v>0</v>
      </c>
      <c r="DS245" s="80">
        <v>0</v>
      </c>
      <c r="DT245" s="80">
        <v>0</v>
      </c>
      <c r="DU245" s="80">
        <v>0</v>
      </c>
      <c r="DV245" s="80">
        <v>0</v>
      </c>
      <c r="DW245" s="80">
        <v>5689</v>
      </c>
      <c r="DX245" s="80">
        <v>144398</v>
      </c>
      <c r="DY245" s="80">
        <v>66736</v>
      </c>
      <c r="DZ245" s="80">
        <v>62575</v>
      </c>
      <c r="EA245" s="80">
        <v>0</v>
      </c>
      <c r="EB245" s="80">
        <v>649</v>
      </c>
      <c r="EC245" s="80">
        <v>3109</v>
      </c>
      <c r="ED245" s="80">
        <v>403</v>
      </c>
      <c r="EE245" s="80">
        <v>0</v>
      </c>
      <c r="EF245" s="80">
        <v>0</v>
      </c>
      <c r="EG245" s="80">
        <v>0</v>
      </c>
      <c r="EH245" s="80">
        <v>0</v>
      </c>
      <c r="EI245" s="80">
        <v>0</v>
      </c>
      <c r="EJ245" s="80">
        <v>0</v>
      </c>
      <c r="EK245" s="80">
        <v>28</v>
      </c>
      <c r="EL245" s="80">
        <v>23</v>
      </c>
      <c r="EM245" s="80">
        <v>2</v>
      </c>
      <c r="EN245" s="80">
        <v>3</v>
      </c>
      <c r="EO245" s="80">
        <v>77634</v>
      </c>
      <c r="EP245" s="80">
        <v>53813</v>
      </c>
      <c r="EQ245" s="80">
        <v>0</v>
      </c>
      <c r="ER245" s="80">
        <v>50062</v>
      </c>
      <c r="ES245" s="80">
        <v>12947</v>
      </c>
      <c r="ET245" s="80">
        <v>37115</v>
      </c>
      <c r="EU245" s="80">
        <v>0</v>
      </c>
      <c r="EV245" s="80">
        <v>0</v>
      </c>
      <c r="EW245" s="80">
        <v>0</v>
      </c>
      <c r="EX245" s="80">
        <v>0</v>
      </c>
      <c r="EY245" s="80">
        <v>0</v>
      </c>
      <c r="EZ245" s="80">
        <v>0</v>
      </c>
      <c r="FA245" s="80">
        <v>3751</v>
      </c>
      <c r="FB245" s="80">
        <v>0</v>
      </c>
      <c r="FC245" s="80">
        <v>0</v>
      </c>
      <c r="FD245" s="80">
        <v>23821</v>
      </c>
      <c r="FE245" s="80">
        <v>0</v>
      </c>
      <c r="FF245" s="80">
        <v>8621</v>
      </c>
      <c r="FG245" s="80">
        <v>2035</v>
      </c>
      <c r="FH245" s="80">
        <v>6586</v>
      </c>
      <c r="FI245" s="80">
        <v>0</v>
      </c>
      <c r="FJ245" s="80">
        <v>0</v>
      </c>
      <c r="FK245" s="80">
        <v>0</v>
      </c>
      <c r="FL245" s="80">
        <v>0</v>
      </c>
      <c r="FM245" s="80">
        <v>14</v>
      </c>
      <c r="FN245" s="80">
        <v>4870</v>
      </c>
      <c r="FO245" s="80">
        <v>2352</v>
      </c>
      <c r="FP245" s="80">
        <v>7964</v>
      </c>
      <c r="FQ245" s="80">
        <v>144398</v>
      </c>
      <c r="FR245" s="80">
        <v>18808</v>
      </c>
      <c r="FS245" s="80">
        <v>688</v>
      </c>
      <c r="FT245" s="100">
        <v>76226.426334543066</v>
      </c>
      <c r="FU245" s="100"/>
      <c r="FV245" s="100">
        <v>32108</v>
      </c>
      <c r="FW245" s="67">
        <v>5588</v>
      </c>
      <c r="FX245" s="100">
        <f t="shared" si="20"/>
        <v>-60072</v>
      </c>
      <c r="FY245" s="100">
        <f t="shared" si="21"/>
        <v>-99893</v>
      </c>
      <c r="FZ245" s="100">
        <v>64387.902791327331</v>
      </c>
      <c r="GA245" s="67">
        <v>39821</v>
      </c>
      <c r="GB245" s="58">
        <f t="shared" si="18"/>
        <v>7713</v>
      </c>
      <c r="GC245" s="67">
        <v>5894</v>
      </c>
      <c r="GD245" s="100">
        <v>5278</v>
      </c>
      <c r="GE245" s="100">
        <v>2039</v>
      </c>
      <c r="GF245" s="58">
        <f t="shared" si="19"/>
        <v>3239</v>
      </c>
      <c r="GG245" s="100">
        <v>-42804.593999999997</v>
      </c>
      <c r="GH245" s="100">
        <v>-1218.8507000000006</v>
      </c>
      <c r="GI245" s="100">
        <v>-20136.945677895914</v>
      </c>
      <c r="GJ245" s="67">
        <f t="shared" si="22"/>
        <v>306</v>
      </c>
      <c r="GK245" s="67"/>
      <c r="GM245" s="96"/>
    </row>
    <row r="246" spans="1:195" ht="13.5" customHeight="1" x14ac:dyDescent="0.2">
      <c r="A246" s="74">
        <v>751</v>
      </c>
      <c r="B246" s="75" t="s">
        <v>169</v>
      </c>
      <c r="C246" s="75" t="s">
        <v>169</v>
      </c>
      <c r="D246" s="76"/>
      <c r="E246" s="77" t="s">
        <v>222</v>
      </c>
      <c r="F246" s="78">
        <v>2</v>
      </c>
      <c r="G246" s="79">
        <v>3238</v>
      </c>
      <c r="H246" s="80">
        <v>2150</v>
      </c>
      <c r="I246" s="80">
        <v>482</v>
      </c>
      <c r="J246" s="80">
        <v>255</v>
      </c>
      <c r="K246" s="80">
        <v>185</v>
      </c>
      <c r="L246" s="80">
        <v>1228</v>
      </c>
      <c r="M246" s="80">
        <v>0</v>
      </c>
      <c r="N246" s="80">
        <v>0</v>
      </c>
      <c r="O246" s="80">
        <v>22108</v>
      </c>
      <c r="P246" s="80">
        <v>5655</v>
      </c>
      <c r="Q246" s="80">
        <v>4130</v>
      </c>
      <c r="R246" s="80">
        <v>1525</v>
      </c>
      <c r="S246" s="80">
        <v>1323</v>
      </c>
      <c r="T246" s="80">
        <v>202</v>
      </c>
      <c r="U246" s="80">
        <v>15140</v>
      </c>
      <c r="V246" s="80">
        <v>869</v>
      </c>
      <c r="W246" s="80">
        <v>234</v>
      </c>
      <c r="X246" s="80">
        <v>210</v>
      </c>
      <c r="Y246" s="80">
        <v>-19958</v>
      </c>
      <c r="Z246" s="80">
        <v>11837</v>
      </c>
      <c r="AA246" s="80">
        <v>10767</v>
      </c>
      <c r="AB246" s="80">
        <v>323</v>
      </c>
      <c r="AC246" s="80">
        <v>747</v>
      </c>
      <c r="AD246" s="80">
        <v>8782</v>
      </c>
      <c r="AE246" s="80">
        <v>-123</v>
      </c>
      <c r="AF246" s="80">
        <v>2</v>
      </c>
      <c r="AG246" s="80">
        <v>3</v>
      </c>
      <c r="AH246" s="80">
        <v>0</v>
      </c>
      <c r="AI246" s="80">
        <v>127</v>
      </c>
      <c r="AJ246" s="80">
        <v>1</v>
      </c>
      <c r="AK246" s="80">
        <v>538</v>
      </c>
      <c r="AL246" s="80">
        <v>817</v>
      </c>
      <c r="AM246" s="80">
        <v>817</v>
      </c>
      <c r="AN246" s="80">
        <v>0</v>
      </c>
      <c r="AO246" s="80">
        <v>0</v>
      </c>
      <c r="AP246" s="80">
        <v>0</v>
      </c>
      <c r="AQ246" s="80">
        <v>0</v>
      </c>
      <c r="AR246" s="80">
        <v>-279</v>
      </c>
      <c r="AS246" s="80">
        <v>0</v>
      </c>
      <c r="AT246" s="80">
        <v>0</v>
      </c>
      <c r="AU246" s="80">
        <v>0</v>
      </c>
      <c r="AV246" s="80">
        <v>-279</v>
      </c>
      <c r="AW246" s="81"/>
      <c r="AX246" s="80">
        <v>538</v>
      </c>
      <c r="AY246" s="80">
        <v>538</v>
      </c>
      <c r="AZ246" s="80">
        <v>0</v>
      </c>
      <c r="BA246" s="80">
        <v>0</v>
      </c>
      <c r="BB246" s="80">
        <v>-554</v>
      </c>
      <c r="BC246" s="80">
        <v>1196</v>
      </c>
      <c r="BD246" s="80">
        <v>642</v>
      </c>
      <c r="BE246" s="80">
        <v>0</v>
      </c>
      <c r="BF246" s="80">
        <v>-16</v>
      </c>
      <c r="BG246" s="80">
        <v>312</v>
      </c>
      <c r="BH246" s="80">
        <v>-50</v>
      </c>
      <c r="BI246" s="80">
        <v>50</v>
      </c>
      <c r="BJ246" s="80">
        <v>0</v>
      </c>
      <c r="BK246" s="80">
        <v>1077</v>
      </c>
      <c r="BL246" s="80">
        <v>2094</v>
      </c>
      <c r="BM246" s="80">
        <v>979</v>
      </c>
      <c r="BN246" s="80">
        <v>-38</v>
      </c>
      <c r="BO246" s="80">
        <v>0</v>
      </c>
      <c r="BP246" s="80">
        <v>-715</v>
      </c>
      <c r="BQ246" s="80">
        <v>-1</v>
      </c>
      <c r="BR246" s="80">
        <v>0</v>
      </c>
      <c r="BS246" s="80">
        <v>46</v>
      </c>
      <c r="BT246" s="80">
        <v>-760</v>
      </c>
      <c r="BU246" s="80">
        <v>297</v>
      </c>
      <c r="BV246" s="80">
        <v>1450</v>
      </c>
      <c r="BW246" s="80">
        <v>1153</v>
      </c>
      <c r="BX246" s="81"/>
      <c r="BY246" s="80">
        <v>15936</v>
      </c>
      <c r="BZ246" s="80">
        <v>139</v>
      </c>
      <c r="CA246" s="80">
        <v>139</v>
      </c>
      <c r="CB246" s="80">
        <v>0</v>
      </c>
      <c r="CC246" s="80">
        <v>0</v>
      </c>
      <c r="CD246" s="80">
        <v>13924</v>
      </c>
      <c r="CE246" s="80">
        <v>1771</v>
      </c>
      <c r="CF246" s="80">
        <v>9030</v>
      </c>
      <c r="CG246" s="80">
        <v>2789</v>
      </c>
      <c r="CH246" s="80">
        <v>170</v>
      </c>
      <c r="CI246" s="80">
        <v>0</v>
      </c>
      <c r="CJ246" s="80">
        <v>0</v>
      </c>
      <c r="CK246" s="80">
        <v>164</v>
      </c>
      <c r="CL246" s="80">
        <v>1873</v>
      </c>
      <c r="CM246" s="80">
        <v>1543</v>
      </c>
      <c r="CN246" s="80">
        <v>816</v>
      </c>
      <c r="CO246" s="80">
        <v>727</v>
      </c>
      <c r="CP246" s="80">
        <v>0</v>
      </c>
      <c r="CQ246" s="80">
        <v>320</v>
      </c>
      <c r="CR246" s="80">
        <v>0</v>
      </c>
      <c r="CS246" s="80">
        <v>0</v>
      </c>
      <c r="CT246" s="80">
        <v>320</v>
      </c>
      <c r="CU246" s="80">
        <v>10</v>
      </c>
      <c r="CV246" s="80">
        <v>0</v>
      </c>
      <c r="CW246" s="80">
        <v>0</v>
      </c>
      <c r="CX246" s="80">
        <v>0</v>
      </c>
      <c r="CY246" s="80">
        <v>0</v>
      </c>
      <c r="CZ246" s="80">
        <v>2063</v>
      </c>
      <c r="DA246" s="80">
        <v>0</v>
      </c>
      <c r="DB246" s="80">
        <v>0</v>
      </c>
      <c r="DC246" s="80">
        <v>0</v>
      </c>
      <c r="DD246" s="80">
        <v>0</v>
      </c>
      <c r="DE246" s="80">
        <v>0</v>
      </c>
      <c r="DF246" s="80">
        <v>0</v>
      </c>
      <c r="DG246" s="80">
        <v>613</v>
      </c>
      <c r="DH246" s="80">
        <v>0</v>
      </c>
      <c r="DI246" s="80">
        <v>0</v>
      </c>
      <c r="DJ246" s="80">
        <v>0</v>
      </c>
      <c r="DK246" s="80">
        <v>0</v>
      </c>
      <c r="DL246" s="80">
        <v>0</v>
      </c>
      <c r="DM246" s="80">
        <v>613</v>
      </c>
      <c r="DN246" s="80">
        <v>135</v>
      </c>
      <c r="DO246" s="80">
        <v>50</v>
      </c>
      <c r="DP246" s="80">
        <v>54</v>
      </c>
      <c r="DQ246" s="80">
        <v>374</v>
      </c>
      <c r="DR246" s="80">
        <v>0</v>
      </c>
      <c r="DS246" s="80">
        <v>0</v>
      </c>
      <c r="DT246" s="80">
        <v>0</v>
      </c>
      <c r="DU246" s="80">
        <v>0</v>
      </c>
      <c r="DV246" s="80">
        <v>0</v>
      </c>
      <c r="DW246" s="80">
        <v>1450</v>
      </c>
      <c r="DX246" s="80">
        <v>17999</v>
      </c>
      <c r="DY246" s="80">
        <v>9693</v>
      </c>
      <c r="DZ246" s="80">
        <v>8304</v>
      </c>
      <c r="EA246" s="80">
        <v>0</v>
      </c>
      <c r="EB246" s="80">
        <v>0</v>
      </c>
      <c r="EC246" s="80">
        <v>1668</v>
      </c>
      <c r="ED246" s="80">
        <v>-279</v>
      </c>
      <c r="EE246" s="80">
        <v>0</v>
      </c>
      <c r="EF246" s="80">
        <v>0</v>
      </c>
      <c r="EG246" s="80">
        <v>0</v>
      </c>
      <c r="EH246" s="80">
        <v>350</v>
      </c>
      <c r="EI246" s="80">
        <v>0</v>
      </c>
      <c r="EJ246" s="80">
        <v>350</v>
      </c>
      <c r="EK246" s="80">
        <v>3</v>
      </c>
      <c r="EL246" s="80">
        <v>0</v>
      </c>
      <c r="EM246" s="80">
        <v>3</v>
      </c>
      <c r="EN246" s="80">
        <v>0</v>
      </c>
      <c r="EO246" s="80">
        <v>7953</v>
      </c>
      <c r="EP246" s="80">
        <v>5542</v>
      </c>
      <c r="EQ246" s="80">
        <v>0</v>
      </c>
      <c r="ER246" s="80">
        <v>5506</v>
      </c>
      <c r="ES246" s="80">
        <v>917</v>
      </c>
      <c r="ET246" s="80">
        <v>4589</v>
      </c>
      <c r="EU246" s="80">
        <v>0</v>
      </c>
      <c r="EV246" s="80">
        <v>0</v>
      </c>
      <c r="EW246" s="80">
        <v>0</v>
      </c>
      <c r="EX246" s="80">
        <v>0</v>
      </c>
      <c r="EY246" s="80">
        <v>0</v>
      </c>
      <c r="EZ246" s="80">
        <v>0</v>
      </c>
      <c r="FA246" s="80">
        <v>36</v>
      </c>
      <c r="FB246" s="80">
        <v>0</v>
      </c>
      <c r="FC246" s="80">
        <v>0</v>
      </c>
      <c r="FD246" s="80">
        <v>2411</v>
      </c>
      <c r="FE246" s="80">
        <v>0</v>
      </c>
      <c r="FF246" s="80">
        <v>978</v>
      </c>
      <c r="FG246" s="80">
        <v>229</v>
      </c>
      <c r="FH246" s="80">
        <v>749</v>
      </c>
      <c r="FI246" s="80">
        <v>0</v>
      </c>
      <c r="FJ246" s="80">
        <v>0</v>
      </c>
      <c r="FK246" s="80">
        <v>0</v>
      </c>
      <c r="FL246" s="80">
        <v>0</v>
      </c>
      <c r="FM246" s="80">
        <v>94</v>
      </c>
      <c r="FN246" s="80">
        <v>457</v>
      </c>
      <c r="FO246" s="80">
        <v>176</v>
      </c>
      <c r="FP246" s="80">
        <v>706</v>
      </c>
      <c r="FQ246" s="80">
        <v>17999</v>
      </c>
      <c r="FR246" s="80">
        <v>1487</v>
      </c>
      <c r="FS246" s="80">
        <v>0</v>
      </c>
      <c r="FT246" s="100">
        <v>11300.618042568065</v>
      </c>
      <c r="FU246" s="100"/>
      <c r="FV246" s="100">
        <v>3983</v>
      </c>
      <c r="FW246" s="67">
        <v>803</v>
      </c>
      <c r="FX246" s="100">
        <f t="shared" si="20"/>
        <v>-15042</v>
      </c>
      <c r="FY246" s="100">
        <f t="shared" si="21"/>
        <v>-19141</v>
      </c>
      <c r="FZ246" s="100">
        <v>12523.188187987018</v>
      </c>
      <c r="GA246" s="67">
        <v>4099</v>
      </c>
      <c r="GB246" s="58">
        <f t="shared" si="18"/>
        <v>116</v>
      </c>
      <c r="GC246" s="67">
        <v>817</v>
      </c>
      <c r="GD246" s="100">
        <v>296</v>
      </c>
      <c r="GE246" s="100">
        <v>296</v>
      </c>
      <c r="GF246" s="58">
        <f t="shared" si="19"/>
        <v>0</v>
      </c>
      <c r="GG246" s="100">
        <v>-5945.4380000000001</v>
      </c>
      <c r="GH246" s="100">
        <v>-101.60910000000004</v>
      </c>
      <c r="GI246" s="100">
        <v>-6690.3633337374285</v>
      </c>
      <c r="GJ246" s="67">
        <f t="shared" si="22"/>
        <v>14</v>
      </c>
      <c r="GK246" s="67"/>
      <c r="GM246" s="96"/>
    </row>
    <row r="247" spans="1:195" ht="13.5" customHeight="1" x14ac:dyDescent="0.2">
      <c r="A247" s="74">
        <v>755</v>
      </c>
      <c r="B247" s="75" t="s">
        <v>305</v>
      </c>
      <c r="C247" s="82" t="s">
        <v>305</v>
      </c>
      <c r="D247" s="76"/>
      <c r="E247" s="77" t="s">
        <v>218</v>
      </c>
      <c r="F247" s="78">
        <v>3</v>
      </c>
      <c r="G247" s="79">
        <v>6182</v>
      </c>
      <c r="H247" s="80">
        <v>4576</v>
      </c>
      <c r="I247" s="80">
        <v>1436</v>
      </c>
      <c r="J247" s="80">
        <v>1810</v>
      </c>
      <c r="K247" s="80">
        <v>554</v>
      </c>
      <c r="L247" s="80">
        <v>776</v>
      </c>
      <c r="M247" s="80">
        <v>0</v>
      </c>
      <c r="N247" s="80">
        <v>0</v>
      </c>
      <c r="O247" s="80">
        <v>35636</v>
      </c>
      <c r="P247" s="80">
        <v>14556</v>
      </c>
      <c r="Q247" s="80">
        <v>11319</v>
      </c>
      <c r="R247" s="80">
        <v>3237</v>
      </c>
      <c r="S247" s="80">
        <v>2665</v>
      </c>
      <c r="T247" s="80">
        <v>572</v>
      </c>
      <c r="U247" s="80">
        <v>16726</v>
      </c>
      <c r="V247" s="80">
        <v>2051</v>
      </c>
      <c r="W247" s="80">
        <v>1789</v>
      </c>
      <c r="X247" s="80">
        <v>514</v>
      </c>
      <c r="Y247" s="80">
        <v>-31060</v>
      </c>
      <c r="Z247" s="80">
        <v>27833</v>
      </c>
      <c r="AA247" s="80">
        <v>25158</v>
      </c>
      <c r="AB247" s="80">
        <v>558</v>
      </c>
      <c r="AC247" s="80">
        <v>2117</v>
      </c>
      <c r="AD247" s="80">
        <v>4219</v>
      </c>
      <c r="AE247" s="80">
        <v>-424</v>
      </c>
      <c r="AF247" s="80">
        <v>4</v>
      </c>
      <c r="AG247" s="80">
        <v>63</v>
      </c>
      <c r="AH247" s="80">
        <v>4</v>
      </c>
      <c r="AI247" s="80">
        <v>489</v>
      </c>
      <c r="AJ247" s="80">
        <v>2</v>
      </c>
      <c r="AK247" s="80">
        <v>568</v>
      </c>
      <c r="AL247" s="80">
        <v>1921</v>
      </c>
      <c r="AM247" s="80">
        <v>1921</v>
      </c>
      <c r="AN247" s="80">
        <v>0</v>
      </c>
      <c r="AO247" s="80">
        <v>0</v>
      </c>
      <c r="AP247" s="80">
        <v>0</v>
      </c>
      <c r="AQ247" s="80">
        <v>0</v>
      </c>
      <c r="AR247" s="80">
        <v>-1353</v>
      </c>
      <c r="AS247" s="80">
        <v>0</v>
      </c>
      <c r="AT247" s="80">
        <v>0</v>
      </c>
      <c r="AU247" s="80">
        <v>0</v>
      </c>
      <c r="AV247" s="80">
        <v>-1353</v>
      </c>
      <c r="AW247" s="81"/>
      <c r="AX247" s="80">
        <v>136</v>
      </c>
      <c r="AY247" s="80">
        <v>568</v>
      </c>
      <c r="AZ247" s="80">
        <v>0</v>
      </c>
      <c r="BA247" s="80">
        <v>-432</v>
      </c>
      <c r="BB247" s="80">
        <v>-1011</v>
      </c>
      <c r="BC247" s="80">
        <v>1471</v>
      </c>
      <c r="BD247" s="80">
        <v>0</v>
      </c>
      <c r="BE247" s="80">
        <v>460</v>
      </c>
      <c r="BF247" s="80">
        <v>-875</v>
      </c>
      <c r="BG247" s="80">
        <v>681</v>
      </c>
      <c r="BH247" s="80">
        <v>0</v>
      </c>
      <c r="BI247" s="80">
        <v>0</v>
      </c>
      <c r="BJ247" s="80">
        <v>0</v>
      </c>
      <c r="BK247" s="80">
        <v>66</v>
      </c>
      <c r="BL247" s="80">
        <v>3000</v>
      </c>
      <c r="BM247" s="80">
        <v>3184</v>
      </c>
      <c r="BN247" s="80">
        <v>250</v>
      </c>
      <c r="BO247" s="80">
        <v>0</v>
      </c>
      <c r="BP247" s="80">
        <v>615</v>
      </c>
      <c r="BQ247" s="80">
        <v>0</v>
      </c>
      <c r="BR247" s="80">
        <v>0</v>
      </c>
      <c r="BS247" s="80">
        <v>437</v>
      </c>
      <c r="BT247" s="80">
        <v>178</v>
      </c>
      <c r="BU247" s="80">
        <v>-195</v>
      </c>
      <c r="BV247" s="80">
        <v>45</v>
      </c>
      <c r="BW247" s="80">
        <v>240</v>
      </c>
      <c r="BX247" s="81"/>
      <c r="BY247" s="80">
        <v>32558</v>
      </c>
      <c r="BZ247" s="80">
        <v>55</v>
      </c>
      <c r="CA247" s="80">
        <v>30</v>
      </c>
      <c r="CB247" s="80">
        <v>25</v>
      </c>
      <c r="CC247" s="80">
        <v>0</v>
      </c>
      <c r="CD247" s="80">
        <v>29338</v>
      </c>
      <c r="CE247" s="80">
        <v>3721</v>
      </c>
      <c r="CF247" s="80">
        <v>14311</v>
      </c>
      <c r="CG247" s="80">
        <v>10723</v>
      </c>
      <c r="CH247" s="80">
        <v>167</v>
      </c>
      <c r="CI247" s="80">
        <v>0</v>
      </c>
      <c r="CJ247" s="80">
        <v>0</v>
      </c>
      <c r="CK247" s="80">
        <v>416</v>
      </c>
      <c r="CL247" s="80">
        <v>3165</v>
      </c>
      <c r="CM247" s="80">
        <v>3165</v>
      </c>
      <c r="CN247" s="80">
        <v>1928</v>
      </c>
      <c r="CO247" s="80">
        <v>1237</v>
      </c>
      <c r="CP247" s="80">
        <v>0</v>
      </c>
      <c r="CQ247" s="80">
        <v>0</v>
      </c>
      <c r="CR247" s="80">
        <v>0</v>
      </c>
      <c r="CS247" s="80">
        <v>0</v>
      </c>
      <c r="CT247" s="80">
        <v>0</v>
      </c>
      <c r="CU247" s="80">
        <v>0</v>
      </c>
      <c r="CV247" s="80">
        <v>19</v>
      </c>
      <c r="CW247" s="80">
        <v>0</v>
      </c>
      <c r="CX247" s="80">
        <v>19</v>
      </c>
      <c r="CY247" s="80">
        <v>0</v>
      </c>
      <c r="CZ247" s="80">
        <v>1240</v>
      </c>
      <c r="DA247" s="80">
        <v>0</v>
      </c>
      <c r="DB247" s="80">
        <v>0</v>
      </c>
      <c r="DC247" s="80">
        <v>0</v>
      </c>
      <c r="DD247" s="80">
        <v>0</v>
      </c>
      <c r="DE247" s="80">
        <v>0</v>
      </c>
      <c r="DF247" s="80">
        <v>0</v>
      </c>
      <c r="DG247" s="80">
        <v>1184</v>
      </c>
      <c r="DH247" s="80">
        <v>0</v>
      </c>
      <c r="DI247" s="80">
        <v>0</v>
      </c>
      <c r="DJ247" s="80">
        <v>0</v>
      </c>
      <c r="DK247" s="80">
        <v>0</v>
      </c>
      <c r="DL247" s="80">
        <v>0</v>
      </c>
      <c r="DM247" s="80">
        <v>1184</v>
      </c>
      <c r="DN247" s="80">
        <v>605</v>
      </c>
      <c r="DO247" s="80">
        <v>0</v>
      </c>
      <c r="DP247" s="80">
        <v>395</v>
      </c>
      <c r="DQ247" s="80">
        <v>184</v>
      </c>
      <c r="DR247" s="80">
        <v>11</v>
      </c>
      <c r="DS247" s="80">
        <v>11</v>
      </c>
      <c r="DT247" s="80">
        <v>0</v>
      </c>
      <c r="DU247" s="80">
        <v>0</v>
      </c>
      <c r="DV247" s="80">
        <v>0</v>
      </c>
      <c r="DW247" s="80">
        <v>45</v>
      </c>
      <c r="DX247" s="80">
        <v>33817</v>
      </c>
      <c r="DY247" s="80">
        <v>7093</v>
      </c>
      <c r="DZ247" s="80">
        <v>9352</v>
      </c>
      <c r="EA247" s="80">
        <v>0</v>
      </c>
      <c r="EB247" s="80">
        <v>0</v>
      </c>
      <c r="EC247" s="80">
        <v>-905</v>
      </c>
      <c r="ED247" s="80">
        <v>-1354</v>
      </c>
      <c r="EE247" s="80">
        <v>0</v>
      </c>
      <c r="EF247" s="80">
        <v>0</v>
      </c>
      <c r="EG247" s="80">
        <v>0</v>
      </c>
      <c r="EH247" s="80">
        <v>0</v>
      </c>
      <c r="EI247" s="80">
        <v>0</v>
      </c>
      <c r="EJ247" s="80">
        <v>0</v>
      </c>
      <c r="EK247" s="80">
        <v>127</v>
      </c>
      <c r="EL247" s="80">
        <v>0</v>
      </c>
      <c r="EM247" s="80">
        <v>127</v>
      </c>
      <c r="EN247" s="80">
        <v>0</v>
      </c>
      <c r="EO247" s="80">
        <v>26597</v>
      </c>
      <c r="EP247" s="80">
        <v>16395</v>
      </c>
      <c r="EQ247" s="80">
        <v>0</v>
      </c>
      <c r="ER247" s="80">
        <v>15870</v>
      </c>
      <c r="ES247" s="80">
        <v>2740</v>
      </c>
      <c r="ET247" s="80">
        <v>13130</v>
      </c>
      <c r="EU247" s="80">
        <v>0</v>
      </c>
      <c r="EV247" s="80">
        <v>0</v>
      </c>
      <c r="EW247" s="80">
        <v>525</v>
      </c>
      <c r="EX247" s="80">
        <v>0</v>
      </c>
      <c r="EY247" s="80">
        <v>0</v>
      </c>
      <c r="EZ247" s="80">
        <v>0</v>
      </c>
      <c r="FA247" s="80">
        <v>0</v>
      </c>
      <c r="FB247" s="80">
        <v>0</v>
      </c>
      <c r="FC247" s="80">
        <v>0</v>
      </c>
      <c r="FD247" s="80">
        <v>10202</v>
      </c>
      <c r="FE247" s="80">
        <v>0</v>
      </c>
      <c r="FF247" s="80">
        <v>5585</v>
      </c>
      <c r="FG247" s="80">
        <v>3109</v>
      </c>
      <c r="FH247" s="80">
        <v>2476</v>
      </c>
      <c r="FI247" s="80">
        <v>0</v>
      </c>
      <c r="FJ247" s="80">
        <v>0</v>
      </c>
      <c r="FK247" s="80">
        <v>400</v>
      </c>
      <c r="FL247" s="80">
        <v>0</v>
      </c>
      <c r="FM247" s="80">
        <v>27</v>
      </c>
      <c r="FN247" s="80">
        <v>1605</v>
      </c>
      <c r="FO247" s="80">
        <v>306</v>
      </c>
      <c r="FP247" s="80">
        <v>2279</v>
      </c>
      <c r="FQ247" s="80">
        <v>33817</v>
      </c>
      <c r="FR247" s="80">
        <v>0</v>
      </c>
      <c r="FS247" s="80">
        <v>771</v>
      </c>
      <c r="FT247" s="100">
        <v>22067.270571698533</v>
      </c>
      <c r="FU247" s="100"/>
      <c r="FV247" s="100">
        <v>7641</v>
      </c>
      <c r="FW247" s="67">
        <v>1894</v>
      </c>
      <c r="FX247" s="100">
        <f t="shared" si="20"/>
        <v>-20044</v>
      </c>
      <c r="FY247" s="100">
        <f t="shared" si="21"/>
        <v>-29139</v>
      </c>
      <c r="FZ247" s="100">
        <v>16749.436803292905</v>
      </c>
      <c r="GA247" s="67">
        <v>9095</v>
      </c>
      <c r="GB247" s="58">
        <f t="shared" si="18"/>
        <v>1454</v>
      </c>
      <c r="GC247" s="67">
        <v>1921</v>
      </c>
      <c r="GD247" s="100">
        <v>1811</v>
      </c>
      <c r="GE247" s="100">
        <v>954</v>
      </c>
      <c r="GF247" s="58">
        <f t="shared" si="19"/>
        <v>857</v>
      </c>
      <c r="GG247" s="100">
        <v>-14500.549000000003</v>
      </c>
      <c r="GH247" s="100">
        <v>-139.98645000000008</v>
      </c>
      <c r="GI247" s="100">
        <v>-2142.3273474699918</v>
      </c>
      <c r="GJ247" s="67">
        <f t="shared" si="22"/>
        <v>27</v>
      </c>
      <c r="GK247" s="67"/>
      <c r="GM247" s="96"/>
    </row>
    <row r="248" spans="1:195" ht="13.5" customHeight="1" x14ac:dyDescent="0.2">
      <c r="A248" s="74">
        <v>758</v>
      </c>
      <c r="B248" s="75" t="s">
        <v>170</v>
      </c>
      <c r="C248" s="75" t="s">
        <v>170</v>
      </c>
      <c r="D248" s="76"/>
      <c r="E248" s="77" t="s">
        <v>222</v>
      </c>
      <c r="F248" s="78">
        <v>3</v>
      </c>
      <c r="G248" s="79">
        <v>8782</v>
      </c>
      <c r="H248" s="80">
        <v>10400</v>
      </c>
      <c r="I248" s="80">
        <v>4157</v>
      </c>
      <c r="J248" s="80">
        <v>2803</v>
      </c>
      <c r="K248" s="80">
        <v>1718</v>
      </c>
      <c r="L248" s="80">
        <v>1722</v>
      </c>
      <c r="M248" s="80">
        <v>0</v>
      </c>
      <c r="N248" s="80">
        <v>0</v>
      </c>
      <c r="O248" s="80">
        <v>68136</v>
      </c>
      <c r="P248" s="80">
        <v>34591</v>
      </c>
      <c r="Q248" s="80">
        <v>26035</v>
      </c>
      <c r="R248" s="80">
        <v>8556</v>
      </c>
      <c r="S248" s="80">
        <v>7193</v>
      </c>
      <c r="T248" s="80">
        <v>1363</v>
      </c>
      <c r="U248" s="80">
        <v>23667</v>
      </c>
      <c r="V248" s="80">
        <v>4452</v>
      </c>
      <c r="W248" s="80">
        <v>4280</v>
      </c>
      <c r="X248" s="80">
        <v>1146</v>
      </c>
      <c r="Y248" s="80">
        <v>-57736</v>
      </c>
      <c r="Z248" s="80">
        <v>36540</v>
      </c>
      <c r="AA248" s="80">
        <v>27403</v>
      </c>
      <c r="AB248" s="80">
        <v>2324</v>
      </c>
      <c r="AC248" s="80">
        <v>6813</v>
      </c>
      <c r="AD248" s="80">
        <v>25365</v>
      </c>
      <c r="AE248" s="80">
        <v>1073</v>
      </c>
      <c r="AF248" s="80">
        <v>197</v>
      </c>
      <c r="AG248" s="80">
        <v>1282</v>
      </c>
      <c r="AH248" s="80">
        <v>366</v>
      </c>
      <c r="AI248" s="80">
        <v>406</v>
      </c>
      <c r="AJ248" s="80">
        <v>0</v>
      </c>
      <c r="AK248" s="80">
        <v>5242</v>
      </c>
      <c r="AL248" s="80">
        <v>3291</v>
      </c>
      <c r="AM248" s="80">
        <v>3291</v>
      </c>
      <c r="AN248" s="80">
        <v>0</v>
      </c>
      <c r="AO248" s="80">
        <v>-486</v>
      </c>
      <c r="AP248" s="80">
        <v>0</v>
      </c>
      <c r="AQ248" s="80">
        <v>486</v>
      </c>
      <c r="AR248" s="80">
        <v>1465</v>
      </c>
      <c r="AS248" s="80">
        <v>72</v>
      </c>
      <c r="AT248" s="80">
        <v>-1000</v>
      </c>
      <c r="AU248" s="80">
        <v>-174</v>
      </c>
      <c r="AV248" s="80">
        <v>363</v>
      </c>
      <c r="AW248" s="81"/>
      <c r="AX248" s="80">
        <v>4756</v>
      </c>
      <c r="AY248" s="80">
        <v>5242</v>
      </c>
      <c r="AZ248" s="80">
        <v>-486</v>
      </c>
      <c r="BA248" s="80">
        <v>0</v>
      </c>
      <c r="BB248" s="80">
        <v>-2424</v>
      </c>
      <c r="BC248" s="80">
        <v>2816</v>
      </c>
      <c r="BD248" s="80">
        <v>368</v>
      </c>
      <c r="BE248" s="80">
        <v>24</v>
      </c>
      <c r="BF248" s="80">
        <v>2332</v>
      </c>
      <c r="BG248" s="80">
        <v>-1094</v>
      </c>
      <c r="BH248" s="80">
        <v>-3790</v>
      </c>
      <c r="BI248" s="80">
        <v>4001</v>
      </c>
      <c r="BJ248" s="80">
        <v>211</v>
      </c>
      <c r="BK248" s="80">
        <v>2067</v>
      </c>
      <c r="BL248" s="80">
        <v>5000</v>
      </c>
      <c r="BM248" s="80">
        <v>6933</v>
      </c>
      <c r="BN248" s="80">
        <v>4000</v>
      </c>
      <c r="BO248" s="80">
        <v>0</v>
      </c>
      <c r="BP248" s="80">
        <v>629</v>
      </c>
      <c r="BQ248" s="80">
        <v>2</v>
      </c>
      <c r="BR248" s="80">
        <v>13</v>
      </c>
      <c r="BS248" s="80">
        <v>602</v>
      </c>
      <c r="BT248" s="80">
        <v>12</v>
      </c>
      <c r="BU248" s="80">
        <v>1239</v>
      </c>
      <c r="BV248" s="80">
        <v>5029</v>
      </c>
      <c r="BW248" s="80">
        <v>3790</v>
      </c>
      <c r="BX248" s="81"/>
      <c r="BY248" s="80">
        <v>64786</v>
      </c>
      <c r="BZ248" s="80">
        <v>1478</v>
      </c>
      <c r="CA248" s="80">
        <v>151</v>
      </c>
      <c r="CB248" s="80">
        <v>1327</v>
      </c>
      <c r="CC248" s="80">
        <v>0</v>
      </c>
      <c r="CD248" s="80">
        <v>41511</v>
      </c>
      <c r="CE248" s="80">
        <v>4259</v>
      </c>
      <c r="CF248" s="80">
        <v>30462</v>
      </c>
      <c r="CG248" s="80">
        <v>4657</v>
      </c>
      <c r="CH248" s="80">
        <v>2133</v>
      </c>
      <c r="CI248" s="80">
        <v>0</v>
      </c>
      <c r="CJ248" s="80">
        <v>0</v>
      </c>
      <c r="CK248" s="80">
        <v>0</v>
      </c>
      <c r="CL248" s="80">
        <v>21797</v>
      </c>
      <c r="CM248" s="80">
        <v>13000</v>
      </c>
      <c r="CN248" s="80">
        <v>2708</v>
      </c>
      <c r="CO248" s="80">
        <v>10292</v>
      </c>
      <c r="CP248" s="80">
        <v>0</v>
      </c>
      <c r="CQ248" s="80">
        <v>8797</v>
      </c>
      <c r="CR248" s="80">
        <v>0</v>
      </c>
      <c r="CS248" s="80">
        <v>0</v>
      </c>
      <c r="CT248" s="80">
        <v>8797</v>
      </c>
      <c r="CU248" s="80">
        <v>0</v>
      </c>
      <c r="CV248" s="80">
        <v>95</v>
      </c>
      <c r="CW248" s="80">
        <v>95</v>
      </c>
      <c r="CX248" s="80">
        <v>0</v>
      </c>
      <c r="CY248" s="80">
        <v>0</v>
      </c>
      <c r="CZ248" s="80">
        <v>7543</v>
      </c>
      <c r="DA248" s="80">
        <v>129</v>
      </c>
      <c r="DB248" s="80">
        <v>129</v>
      </c>
      <c r="DC248" s="80">
        <v>0</v>
      </c>
      <c r="DD248" s="80">
        <v>0</v>
      </c>
      <c r="DE248" s="80">
        <v>0</v>
      </c>
      <c r="DF248" s="80">
        <v>0</v>
      </c>
      <c r="DG248" s="80">
        <v>2385</v>
      </c>
      <c r="DH248" s="80">
        <v>0</v>
      </c>
      <c r="DI248" s="80">
        <v>0</v>
      </c>
      <c r="DJ248" s="80">
        <v>0</v>
      </c>
      <c r="DK248" s="80">
        <v>0</v>
      </c>
      <c r="DL248" s="80">
        <v>0</v>
      </c>
      <c r="DM248" s="80">
        <v>2385</v>
      </c>
      <c r="DN248" s="80">
        <v>874</v>
      </c>
      <c r="DO248" s="80">
        <v>542</v>
      </c>
      <c r="DP248" s="80">
        <v>969</v>
      </c>
      <c r="DQ248" s="80">
        <v>0</v>
      </c>
      <c r="DR248" s="80">
        <v>0</v>
      </c>
      <c r="DS248" s="80">
        <v>0</v>
      </c>
      <c r="DT248" s="80">
        <v>0</v>
      </c>
      <c r="DU248" s="80">
        <v>0</v>
      </c>
      <c r="DV248" s="80">
        <v>0</v>
      </c>
      <c r="DW248" s="80">
        <v>5029</v>
      </c>
      <c r="DX248" s="80">
        <v>72424</v>
      </c>
      <c r="DY248" s="80">
        <v>31942</v>
      </c>
      <c r="DZ248" s="80">
        <v>28305</v>
      </c>
      <c r="EA248" s="80">
        <v>0</v>
      </c>
      <c r="EB248" s="80">
        <v>1061</v>
      </c>
      <c r="EC248" s="80">
        <v>2213</v>
      </c>
      <c r="ED248" s="80">
        <v>363</v>
      </c>
      <c r="EE248" s="80">
        <v>3355</v>
      </c>
      <c r="EF248" s="80">
        <v>1878</v>
      </c>
      <c r="EG248" s="80">
        <v>1477</v>
      </c>
      <c r="EH248" s="80">
        <v>161</v>
      </c>
      <c r="EI248" s="80">
        <v>0</v>
      </c>
      <c r="EJ248" s="80">
        <v>161</v>
      </c>
      <c r="EK248" s="80">
        <v>35</v>
      </c>
      <c r="EL248" s="80">
        <v>18</v>
      </c>
      <c r="EM248" s="80">
        <v>17</v>
      </c>
      <c r="EN248" s="80">
        <v>0</v>
      </c>
      <c r="EO248" s="80">
        <v>36931</v>
      </c>
      <c r="EP248" s="80">
        <v>25666</v>
      </c>
      <c r="EQ248" s="80">
        <v>0</v>
      </c>
      <c r="ER248" s="80">
        <v>25453</v>
      </c>
      <c r="ES248" s="80">
        <v>7847</v>
      </c>
      <c r="ET248" s="80">
        <v>17456</v>
      </c>
      <c r="EU248" s="80">
        <v>150</v>
      </c>
      <c r="EV248" s="80">
        <v>0</v>
      </c>
      <c r="EW248" s="80">
        <v>0</v>
      </c>
      <c r="EX248" s="80">
        <v>0</v>
      </c>
      <c r="EY248" s="80">
        <v>189</v>
      </c>
      <c r="EZ248" s="80">
        <v>0</v>
      </c>
      <c r="FA248" s="80">
        <v>24</v>
      </c>
      <c r="FB248" s="80">
        <v>0</v>
      </c>
      <c r="FC248" s="80">
        <v>0</v>
      </c>
      <c r="FD248" s="80">
        <v>11265</v>
      </c>
      <c r="FE248" s="80">
        <v>0</v>
      </c>
      <c r="FF248" s="80">
        <v>2996</v>
      </c>
      <c r="FG248" s="80">
        <v>1103</v>
      </c>
      <c r="FH248" s="80">
        <v>1743</v>
      </c>
      <c r="FI248" s="80">
        <v>150</v>
      </c>
      <c r="FJ248" s="80">
        <v>0</v>
      </c>
      <c r="FK248" s="80">
        <v>0</v>
      </c>
      <c r="FL248" s="80">
        <v>0</v>
      </c>
      <c r="FM248" s="80">
        <v>0</v>
      </c>
      <c r="FN248" s="80">
        <v>3439</v>
      </c>
      <c r="FO248" s="80">
        <v>982</v>
      </c>
      <c r="FP248" s="80">
        <v>3848</v>
      </c>
      <c r="FQ248" s="80">
        <v>72424</v>
      </c>
      <c r="FR248" s="80">
        <v>4519</v>
      </c>
      <c r="FS248" s="80">
        <v>1948</v>
      </c>
      <c r="FT248" s="100">
        <v>35069.841038559687</v>
      </c>
      <c r="FU248" s="100"/>
      <c r="FV248" s="100">
        <v>11981</v>
      </c>
      <c r="FW248" s="67">
        <v>3407</v>
      </c>
      <c r="FX248" s="100">
        <f t="shared" si="20"/>
        <v>-37599</v>
      </c>
      <c r="FY248" s="100">
        <f t="shared" si="21"/>
        <v>-54445</v>
      </c>
      <c r="FZ248" s="100">
        <v>33701.12102063834</v>
      </c>
      <c r="GA248" s="67">
        <v>16846</v>
      </c>
      <c r="GB248" s="58">
        <f t="shared" si="18"/>
        <v>4865</v>
      </c>
      <c r="GC248" s="67">
        <v>3660</v>
      </c>
      <c r="GD248" s="100">
        <v>2732</v>
      </c>
      <c r="GE248" s="100">
        <v>834</v>
      </c>
      <c r="GF248" s="58">
        <f t="shared" si="19"/>
        <v>1898</v>
      </c>
      <c r="GG248" s="100">
        <v>-16650.561000000002</v>
      </c>
      <c r="GH248" s="100">
        <v>-802.37215000000037</v>
      </c>
      <c r="GI248" s="100">
        <v>-17032.208271376861</v>
      </c>
      <c r="GJ248" s="67">
        <f t="shared" si="22"/>
        <v>253</v>
      </c>
      <c r="GK248" s="67"/>
      <c r="GM248" s="96"/>
    </row>
    <row r="249" spans="1:195" ht="13.5" customHeight="1" x14ac:dyDescent="0.2">
      <c r="A249" s="74">
        <v>759</v>
      </c>
      <c r="B249" s="75" t="s">
        <v>171</v>
      </c>
      <c r="C249" s="75" t="s">
        <v>171</v>
      </c>
      <c r="D249" s="76"/>
      <c r="E249" s="77" t="s">
        <v>215</v>
      </c>
      <c r="F249" s="78">
        <v>2</v>
      </c>
      <c r="G249" s="79">
        <v>2224</v>
      </c>
      <c r="H249" s="80">
        <v>15340</v>
      </c>
      <c r="I249" s="80">
        <v>14372</v>
      </c>
      <c r="J249" s="80">
        <v>88</v>
      </c>
      <c r="K249" s="80">
        <v>254</v>
      </c>
      <c r="L249" s="80">
        <v>626</v>
      </c>
      <c r="M249" s="80">
        <v>0</v>
      </c>
      <c r="N249" s="80">
        <v>0</v>
      </c>
      <c r="O249" s="80">
        <v>28420</v>
      </c>
      <c r="P249" s="80">
        <v>8385</v>
      </c>
      <c r="Q249" s="80">
        <v>6207</v>
      </c>
      <c r="R249" s="80">
        <v>2178</v>
      </c>
      <c r="S249" s="80">
        <v>1823</v>
      </c>
      <c r="T249" s="80">
        <v>355</v>
      </c>
      <c r="U249" s="80">
        <v>14367</v>
      </c>
      <c r="V249" s="80">
        <v>4312</v>
      </c>
      <c r="W249" s="80">
        <v>606</v>
      </c>
      <c r="X249" s="80">
        <v>750</v>
      </c>
      <c r="Y249" s="80">
        <v>-13080</v>
      </c>
      <c r="Z249" s="80">
        <v>6126</v>
      </c>
      <c r="AA249" s="80">
        <v>5121</v>
      </c>
      <c r="AB249" s="80">
        <v>488</v>
      </c>
      <c r="AC249" s="80">
        <v>517</v>
      </c>
      <c r="AD249" s="80">
        <v>8080</v>
      </c>
      <c r="AE249" s="80">
        <v>-37</v>
      </c>
      <c r="AF249" s="80">
        <v>8</v>
      </c>
      <c r="AG249" s="80">
        <v>219</v>
      </c>
      <c r="AH249" s="80">
        <v>26</v>
      </c>
      <c r="AI249" s="80">
        <v>170</v>
      </c>
      <c r="AJ249" s="80">
        <v>94</v>
      </c>
      <c r="AK249" s="80">
        <v>1089</v>
      </c>
      <c r="AL249" s="80">
        <v>507</v>
      </c>
      <c r="AM249" s="80">
        <v>507</v>
      </c>
      <c r="AN249" s="80">
        <v>0</v>
      </c>
      <c r="AO249" s="80">
        <v>3</v>
      </c>
      <c r="AP249" s="80">
        <v>3</v>
      </c>
      <c r="AQ249" s="80">
        <v>0</v>
      </c>
      <c r="AR249" s="80">
        <v>585</v>
      </c>
      <c r="AS249" s="80">
        <v>0</v>
      </c>
      <c r="AT249" s="80">
        <v>0</v>
      </c>
      <c r="AU249" s="80">
        <v>0</v>
      </c>
      <c r="AV249" s="80">
        <v>585</v>
      </c>
      <c r="AW249" s="81"/>
      <c r="AX249" s="80">
        <v>1085</v>
      </c>
      <c r="AY249" s="80">
        <v>1089</v>
      </c>
      <c r="AZ249" s="80">
        <v>3</v>
      </c>
      <c r="BA249" s="80">
        <v>-7</v>
      </c>
      <c r="BB249" s="80">
        <v>-837</v>
      </c>
      <c r="BC249" s="80">
        <v>847</v>
      </c>
      <c r="BD249" s="80">
        <v>0</v>
      </c>
      <c r="BE249" s="80">
        <v>10</v>
      </c>
      <c r="BF249" s="80">
        <v>248</v>
      </c>
      <c r="BG249" s="80">
        <v>-522</v>
      </c>
      <c r="BH249" s="80">
        <v>46</v>
      </c>
      <c r="BI249" s="80">
        <v>0</v>
      </c>
      <c r="BJ249" s="80">
        <v>46</v>
      </c>
      <c r="BK249" s="80">
        <v>-237</v>
      </c>
      <c r="BL249" s="80">
        <v>2301</v>
      </c>
      <c r="BM249" s="80">
        <v>1738</v>
      </c>
      <c r="BN249" s="80">
        <v>-800</v>
      </c>
      <c r="BO249" s="80">
        <v>0</v>
      </c>
      <c r="BP249" s="80">
        <v>-331</v>
      </c>
      <c r="BQ249" s="80">
        <v>2</v>
      </c>
      <c r="BR249" s="80">
        <v>0</v>
      </c>
      <c r="BS249" s="80">
        <v>266</v>
      </c>
      <c r="BT249" s="80">
        <v>-599</v>
      </c>
      <c r="BU249" s="80">
        <v>-275</v>
      </c>
      <c r="BV249" s="80">
        <v>564</v>
      </c>
      <c r="BW249" s="80">
        <v>839</v>
      </c>
      <c r="BX249" s="81"/>
      <c r="BY249" s="80">
        <v>17126</v>
      </c>
      <c r="BZ249" s="80">
        <v>15</v>
      </c>
      <c r="CA249" s="80">
        <v>4</v>
      </c>
      <c r="CB249" s="80">
        <v>11</v>
      </c>
      <c r="CC249" s="80">
        <v>0</v>
      </c>
      <c r="CD249" s="80">
        <v>9573</v>
      </c>
      <c r="CE249" s="80">
        <v>1170</v>
      </c>
      <c r="CF249" s="80">
        <v>6279</v>
      </c>
      <c r="CG249" s="80">
        <v>1834</v>
      </c>
      <c r="CH249" s="80">
        <v>282</v>
      </c>
      <c r="CI249" s="80">
        <v>8</v>
      </c>
      <c r="CJ249" s="80">
        <v>8</v>
      </c>
      <c r="CK249" s="80">
        <v>0</v>
      </c>
      <c r="CL249" s="80">
        <v>7538</v>
      </c>
      <c r="CM249" s="80">
        <v>6529</v>
      </c>
      <c r="CN249" s="80">
        <v>1300</v>
      </c>
      <c r="CO249" s="80">
        <v>5229</v>
      </c>
      <c r="CP249" s="80">
        <v>0</v>
      </c>
      <c r="CQ249" s="80">
        <v>1009</v>
      </c>
      <c r="CR249" s="80">
        <v>0</v>
      </c>
      <c r="CS249" s="80">
        <v>0</v>
      </c>
      <c r="CT249" s="80">
        <v>1009</v>
      </c>
      <c r="CU249" s="80">
        <v>0</v>
      </c>
      <c r="CV249" s="80">
        <v>54</v>
      </c>
      <c r="CW249" s="80">
        <v>15</v>
      </c>
      <c r="CX249" s="80">
        <v>0</v>
      </c>
      <c r="CY249" s="80">
        <v>39</v>
      </c>
      <c r="CZ249" s="80">
        <v>2075</v>
      </c>
      <c r="DA249" s="80">
        <v>0</v>
      </c>
      <c r="DB249" s="80">
        <v>0</v>
      </c>
      <c r="DC249" s="80">
        <v>0</v>
      </c>
      <c r="DD249" s="80">
        <v>0</v>
      </c>
      <c r="DE249" s="80">
        <v>0</v>
      </c>
      <c r="DF249" s="80">
        <v>0</v>
      </c>
      <c r="DG249" s="80">
        <v>1511</v>
      </c>
      <c r="DH249" s="80">
        <v>32</v>
      </c>
      <c r="DI249" s="80">
        <v>0</v>
      </c>
      <c r="DJ249" s="80">
        <v>0</v>
      </c>
      <c r="DK249" s="80">
        <v>32</v>
      </c>
      <c r="DL249" s="80">
        <v>0</v>
      </c>
      <c r="DM249" s="80">
        <v>1479</v>
      </c>
      <c r="DN249" s="80">
        <v>570</v>
      </c>
      <c r="DO249" s="80">
        <v>0</v>
      </c>
      <c r="DP249" s="80">
        <v>388</v>
      </c>
      <c r="DQ249" s="80">
        <v>521</v>
      </c>
      <c r="DR249" s="80">
        <v>315</v>
      </c>
      <c r="DS249" s="80">
        <v>315</v>
      </c>
      <c r="DT249" s="80">
        <v>0</v>
      </c>
      <c r="DU249" s="80">
        <v>0</v>
      </c>
      <c r="DV249" s="80">
        <v>0</v>
      </c>
      <c r="DW249" s="80">
        <v>249</v>
      </c>
      <c r="DX249" s="80">
        <v>19255</v>
      </c>
      <c r="DY249" s="80">
        <v>7365</v>
      </c>
      <c r="DZ249" s="80">
        <v>6161</v>
      </c>
      <c r="EA249" s="80">
        <v>0</v>
      </c>
      <c r="EB249" s="80">
        <v>16</v>
      </c>
      <c r="EC249" s="80">
        <v>603</v>
      </c>
      <c r="ED249" s="80">
        <v>585</v>
      </c>
      <c r="EE249" s="80">
        <v>0</v>
      </c>
      <c r="EF249" s="80">
        <v>0</v>
      </c>
      <c r="EG249" s="80">
        <v>0</v>
      </c>
      <c r="EH249" s="80">
        <v>0</v>
      </c>
      <c r="EI249" s="80">
        <v>0</v>
      </c>
      <c r="EJ249" s="80">
        <v>0</v>
      </c>
      <c r="EK249" s="80">
        <v>45</v>
      </c>
      <c r="EL249" s="80">
        <v>5</v>
      </c>
      <c r="EM249" s="80">
        <v>0</v>
      </c>
      <c r="EN249" s="80">
        <v>40</v>
      </c>
      <c r="EO249" s="80">
        <v>11845</v>
      </c>
      <c r="EP249" s="80">
        <v>7746</v>
      </c>
      <c r="EQ249" s="80">
        <v>0</v>
      </c>
      <c r="ER249" s="80">
        <v>7071</v>
      </c>
      <c r="ES249" s="80">
        <v>386</v>
      </c>
      <c r="ET249" s="80">
        <v>6685</v>
      </c>
      <c r="EU249" s="80">
        <v>0</v>
      </c>
      <c r="EV249" s="80">
        <v>0</v>
      </c>
      <c r="EW249" s="80">
        <v>257</v>
      </c>
      <c r="EX249" s="80">
        <v>0</v>
      </c>
      <c r="EY249" s="80">
        <v>0</v>
      </c>
      <c r="EZ249" s="80">
        <v>0</v>
      </c>
      <c r="FA249" s="80">
        <v>418</v>
      </c>
      <c r="FB249" s="80">
        <v>0</v>
      </c>
      <c r="FC249" s="80">
        <v>0</v>
      </c>
      <c r="FD249" s="80">
        <v>4099</v>
      </c>
      <c r="FE249" s="80">
        <v>0</v>
      </c>
      <c r="FF249" s="80">
        <v>1787</v>
      </c>
      <c r="FG249" s="80">
        <v>0</v>
      </c>
      <c r="FH249" s="80">
        <v>0</v>
      </c>
      <c r="FI249" s="80">
        <v>1787</v>
      </c>
      <c r="FJ249" s="80">
        <v>0</v>
      </c>
      <c r="FK249" s="80">
        <v>59</v>
      </c>
      <c r="FL249" s="80">
        <v>0</v>
      </c>
      <c r="FM249" s="80">
        <v>17</v>
      </c>
      <c r="FN249" s="80">
        <v>985</v>
      </c>
      <c r="FO249" s="80">
        <v>146</v>
      </c>
      <c r="FP249" s="80">
        <v>1105</v>
      </c>
      <c r="FQ249" s="80">
        <v>19255</v>
      </c>
      <c r="FR249" s="80">
        <v>764</v>
      </c>
      <c r="FS249" s="80">
        <v>692</v>
      </c>
      <c r="FT249" s="100">
        <v>19810.872899802573</v>
      </c>
      <c r="FU249" s="100"/>
      <c r="FV249" s="100">
        <v>15632</v>
      </c>
      <c r="FW249" s="67">
        <v>507</v>
      </c>
      <c r="FX249" s="100">
        <f t="shared" si="20"/>
        <v>3070</v>
      </c>
      <c r="FY249" s="100">
        <f t="shared" si="21"/>
        <v>-12573</v>
      </c>
      <c r="FZ249" s="100">
        <v>8770.8545541173735</v>
      </c>
      <c r="GA249" s="67">
        <v>15643</v>
      </c>
      <c r="GB249" s="58">
        <f t="shared" si="18"/>
        <v>11</v>
      </c>
      <c r="GC249" s="67">
        <v>507</v>
      </c>
      <c r="GD249" s="100">
        <v>87</v>
      </c>
      <c r="GE249" s="100">
        <v>87</v>
      </c>
      <c r="GF249" s="58">
        <f t="shared" si="19"/>
        <v>0</v>
      </c>
      <c r="GG249" s="100">
        <v>-2748.585</v>
      </c>
      <c r="GH249" s="100">
        <v>-169.79110000000009</v>
      </c>
      <c r="GI249" s="100">
        <v>-6029.525113727198</v>
      </c>
      <c r="GJ249" s="67">
        <f t="shared" si="22"/>
        <v>0</v>
      </c>
      <c r="GK249" s="67"/>
      <c r="GM249" s="96"/>
    </row>
    <row r="250" spans="1:195" ht="13.5" customHeight="1" x14ac:dyDescent="0.2">
      <c r="A250" s="74">
        <v>761</v>
      </c>
      <c r="B250" s="75" t="s">
        <v>172</v>
      </c>
      <c r="C250" s="75" t="s">
        <v>172</v>
      </c>
      <c r="D250" s="76"/>
      <c r="E250" s="77" t="s">
        <v>219</v>
      </c>
      <c r="F250" s="78">
        <v>3</v>
      </c>
      <c r="G250" s="79">
        <v>9093</v>
      </c>
      <c r="H250" s="80">
        <v>8637</v>
      </c>
      <c r="I250" s="80">
        <v>1925</v>
      </c>
      <c r="J250" s="80">
        <v>3826</v>
      </c>
      <c r="K250" s="80">
        <v>587</v>
      </c>
      <c r="L250" s="80">
        <v>2299</v>
      </c>
      <c r="M250" s="80">
        <v>0</v>
      </c>
      <c r="N250" s="80">
        <v>0</v>
      </c>
      <c r="O250" s="80">
        <v>57116</v>
      </c>
      <c r="P250" s="80">
        <v>25470</v>
      </c>
      <c r="Q250" s="80">
        <v>19430</v>
      </c>
      <c r="R250" s="80">
        <v>6040</v>
      </c>
      <c r="S250" s="80">
        <v>4855</v>
      </c>
      <c r="T250" s="80">
        <v>1185</v>
      </c>
      <c r="U250" s="80">
        <v>24006</v>
      </c>
      <c r="V250" s="80">
        <v>3675</v>
      </c>
      <c r="W250" s="80">
        <v>3119</v>
      </c>
      <c r="X250" s="80">
        <v>846</v>
      </c>
      <c r="Y250" s="80">
        <v>-48479</v>
      </c>
      <c r="Z250" s="80">
        <v>27249</v>
      </c>
      <c r="AA250" s="80">
        <v>24378</v>
      </c>
      <c r="AB250" s="80">
        <v>1242</v>
      </c>
      <c r="AC250" s="80">
        <v>1629</v>
      </c>
      <c r="AD250" s="80">
        <v>24761</v>
      </c>
      <c r="AE250" s="80">
        <v>31</v>
      </c>
      <c r="AF250" s="80">
        <v>7</v>
      </c>
      <c r="AG250" s="80">
        <v>159</v>
      </c>
      <c r="AH250" s="80">
        <v>99</v>
      </c>
      <c r="AI250" s="80">
        <v>122</v>
      </c>
      <c r="AJ250" s="80">
        <v>13</v>
      </c>
      <c r="AK250" s="80">
        <v>3562</v>
      </c>
      <c r="AL250" s="80">
        <v>2445</v>
      </c>
      <c r="AM250" s="80">
        <v>2445</v>
      </c>
      <c r="AN250" s="80">
        <v>0</v>
      </c>
      <c r="AO250" s="80">
        <v>0</v>
      </c>
      <c r="AP250" s="80">
        <v>0</v>
      </c>
      <c r="AQ250" s="80">
        <v>0</v>
      </c>
      <c r="AR250" s="80">
        <v>1117</v>
      </c>
      <c r="AS250" s="80">
        <v>0</v>
      </c>
      <c r="AT250" s="80">
        <v>0</v>
      </c>
      <c r="AU250" s="80">
        <v>0</v>
      </c>
      <c r="AV250" s="80">
        <v>1117</v>
      </c>
      <c r="AW250" s="81"/>
      <c r="AX250" s="80">
        <v>3517</v>
      </c>
      <c r="AY250" s="80">
        <v>3562</v>
      </c>
      <c r="AZ250" s="80">
        <v>0</v>
      </c>
      <c r="BA250" s="80">
        <v>-45</v>
      </c>
      <c r="BB250" s="80">
        <v>-4560</v>
      </c>
      <c r="BC250" s="80">
        <v>4722</v>
      </c>
      <c r="BD250" s="80">
        <v>5</v>
      </c>
      <c r="BE250" s="80">
        <v>157</v>
      </c>
      <c r="BF250" s="80">
        <v>-1043</v>
      </c>
      <c r="BG250" s="80">
        <v>1020</v>
      </c>
      <c r="BH250" s="80">
        <v>187</v>
      </c>
      <c r="BI250" s="80">
        <v>0</v>
      </c>
      <c r="BJ250" s="80">
        <v>187</v>
      </c>
      <c r="BK250" s="80">
        <v>-1041</v>
      </c>
      <c r="BL250" s="80">
        <v>0</v>
      </c>
      <c r="BM250" s="80">
        <v>1041</v>
      </c>
      <c r="BN250" s="80">
        <v>0</v>
      </c>
      <c r="BO250" s="80">
        <v>0</v>
      </c>
      <c r="BP250" s="80">
        <v>1874</v>
      </c>
      <c r="BQ250" s="80">
        <v>686</v>
      </c>
      <c r="BR250" s="80">
        <v>-6</v>
      </c>
      <c r="BS250" s="80">
        <v>1167</v>
      </c>
      <c r="BT250" s="80">
        <v>27</v>
      </c>
      <c r="BU250" s="80">
        <v>-24</v>
      </c>
      <c r="BV250" s="80">
        <v>2602</v>
      </c>
      <c r="BW250" s="80">
        <v>2626</v>
      </c>
      <c r="BX250" s="81"/>
      <c r="BY250" s="80">
        <v>64610</v>
      </c>
      <c r="BZ250" s="80">
        <v>149</v>
      </c>
      <c r="CA250" s="80">
        <v>149</v>
      </c>
      <c r="CB250" s="80">
        <v>0</v>
      </c>
      <c r="CC250" s="80">
        <v>0</v>
      </c>
      <c r="CD250" s="80">
        <v>54958</v>
      </c>
      <c r="CE250" s="80">
        <v>6186</v>
      </c>
      <c r="CF250" s="80">
        <v>42395</v>
      </c>
      <c r="CG250" s="80">
        <v>3984</v>
      </c>
      <c r="CH250" s="80">
        <v>470</v>
      </c>
      <c r="CI250" s="80">
        <v>0</v>
      </c>
      <c r="CJ250" s="80">
        <v>0</v>
      </c>
      <c r="CK250" s="80">
        <v>1923</v>
      </c>
      <c r="CL250" s="80">
        <v>9503</v>
      </c>
      <c r="CM250" s="80">
        <v>8789</v>
      </c>
      <c r="CN250" s="80">
        <v>4675</v>
      </c>
      <c r="CO250" s="80">
        <v>4114</v>
      </c>
      <c r="CP250" s="80">
        <v>0</v>
      </c>
      <c r="CQ250" s="80">
        <v>587</v>
      </c>
      <c r="CR250" s="80">
        <v>0</v>
      </c>
      <c r="CS250" s="80">
        <v>0</v>
      </c>
      <c r="CT250" s="80">
        <v>587</v>
      </c>
      <c r="CU250" s="80">
        <v>127</v>
      </c>
      <c r="CV250" s="80">
        <v>480</v>
      </c>
      <c r="CW250" s="80">
        <v>8</v>
      </c>
      <c r="CX250" s="80">
        <v>472</v>
      </c>
      <c r="CY250" s="80">
        <v>0</v>
      </c>
      <c r="CZ250" s="80">
        <v>6105</v>
      </c>
      <c r="DA250" s="80">
        <v>12</v>
      </c>
      <c r="DB250" s="80">
        <v>12</v>
      </c>
      <c r="DC250" s="80">
        <v>0</v>
      </c>
      <c r="DD250" s="80">
        <v>0</v>
      </c>
      <c r="DE250" s="80">
        <v>0</v>
      </c>
      <c r="DF250" s="80">
        <v>0</v>
      </c>
      <c r="DG250" s="80">
        <v>3491</v>
      </c>
      <c r="DH250" s="80">
        <v>1831</v>
      </c>
      <c r="DI250" s="80">
        <v>0</v>
      </c>
      <c r="DJ250" s="80">
        <v>0</v>
      </c>
      <c r="DK250" s="80">
        <v>1831</v>
      </c>
      <c r="DL250" s="80">
        <v>0</v>
      </c>
      <c r="DM250" s="80">
        <v>1660</v>
      </c>
      <c r="DN250" s="80">
        <v>1173</v>
      </c>
      <c r="DO250" s="80">
        <v>0</v>
      </c>
      <c r="DP250" s="80">
        <v>367</v>
      </c>
      <c r="DQ250" s="80">
        <v>120</v>
      </c>
      <c r="DR250" s="80">
        <v>0</v>
      </c>
      <c r="DS250" s="80">
        <v>0</v>
      </c>
      <c r="DT250" s="80">
        <v>0</v>
      </c>
      <c r="DU250" s="80">
        <v>0</v>
      </c>
      <c r="DV250" s="80">
        <v>0</v>
      </c>
      <c r="DW250" s="80">
        <v>2602</v>
      </c>
      <c r="DX250" s="80">
        <v>71195</v>
      </c>
      <c r="DY250" s="80">
        <v>52681</v>
      </c>
      <c r="DZ250" s="80">
        <v>27947</v>
      </c>
      <c r="EA250" s="80">
        <v>0</v>
      </c>
      <c r="EB250" s="80">
        <v>0</v>
      </c>
      <c r="EC250" s="80">
        <v>23617</v>
      </c>
      <c r="ED250" s="80">
        <v>1117</v>
      </c>
      <c r="EE250" s="80">
        <v>0</v>
      </c>
      <c r="EF250" s="80">
        <v>0</v>
      </c>
      <c r="EG250" s="80">
        <v>0</v>
      </c>
      <c r="EH250" s="80">
        <v>0</v>
      </c>
      <c r="EI250" s="80">
        <v>0</v>
      </c>
      <c r="EJ250" s="80">
        <v>0</v>
      </c>
      <c r="EK250" s="80">
        <v>1525</v>
      </c>
      <c r="EL250" s="80">
        <v>14</v>
      </c>
      <c r="EM250" s="80">
        <v>1495</v>
      </c>
      <c r="EN250" s="80">
        <v>16</v>
      </c>
      <c r="EO250" s="80">
        <v>16989</v>
      </c>
      <c r="EP250" s="80">
        <v>10163</v>
      </c>
      <c r="EQ250" s="80">
        <v>0</v>
      </c>
      <c r="ER250" s="80">
        <v>8999</v>
      </c>
      <c r="ES250" s="80">
        <v>0</v>
      </c>
      <c r="ET250" s="80">
        <v>3261</v>
      </c>
      <c r="EU250" s="80">
        <v>5738</v>
      </c>
      <c r="EV250" s="80">
        <v>0</v>
      </c>
      <c r="EW250" s="80">
        <v>1164</v>
      </c>
      <c r="EX250" s="80">
        <v>0</v>
      </c>
      <c r="EY250" s="80">
        <v>0</v>
      </c>
      <c r="EZ250" s="80">
        <v>0</v>
      </c>
      <c r="FA250" s="80">
        <v>0</v>
      </c>
      <c r="FB250" s="80">
        <v>0</v>
      </c>
      <c r="FC250" s="80">
        <v>0</v>
      </c>
      <c r="FD250" s="80">
        <v>6826</v>
      </c>
      <c r="FE250" s="80">
        <v>0</v>
      </c>
      <c r="FF250" s="80">
        <v>1054</v>
      </c>
      <c r="FG250" s="80">
        <v>0</v>
      </c>
      <c r="FH250" s="80">
        <v>435</v>
      </c>
      <c r="FI250" s="80">
        <v>619</v>
      </c>
      <c r="FJ250" s="80">
        <v>0</v>
      </c>
      <c r="FK250" s="80">
        <v>46</v>
      </c>
      <c r="FL250" s="80">
        <v>0</v>
      </c>
      <c r="FM250" s="80">
        <v>203</v>
      </c>
      <c r="FN250" s="80">
        <v>2088</v>
      </c>
      <c r="FO250" s="80">
        <v>446</v>
      </c>
      <c r="FP250" s="80">
        <v>2989</v>
      </c>
      <c r="FQ250" s="80">
        <v>71195</v>
      </c>
      <c r="FR250" s="80">
        <v>6252</v>
      </c>
      <c r="FS250" s="80">
        <v>1051</v>
      </c>
      <c r="FT250" s="100">
        <v>29244.376692850328</v>
      </c>
      <c r="FU250" s="100"/>
      <c r="FV250" s="100">
        <v>12431</v>
      </c>
      <c r="FW250" s="67">
        <v>2348</v>
      </c>
      <c r="FX250" s="100">
        <f t="shared" si="20"/>
        <v>-28582</v>
      </c>
      <c r="FY250" s="100">
        <f t="shared" si="21"/>
        <v>-46034</v>
      </c>
      <c r="FZ250" s="100">
        <v>32648.827174832863</v>
      </c>
      <c r="GA250" s="67">
        <v>17452</v>
      </c>
      <c r="GB250" s="58">
        <f t="shared" si="18"/>
        <v>5021</v>
      </c>
      <c r="GC250" s="67">
        <v>2442</v>
      </c>
      <c r="GD250" s="100">
        <v>3970</v>
      </c>
      <c r="GE250" s="100">
        <v>612</v>
      </c>
      <c r="GF250" s="58">
        <f t="shared" si="19"/>
        <v>3358</v>
      </c>
      <c r="GG250" s="100">
        <v>-14647.505000000003</v>
      </c>
      <c r="GH250" s="100">
        <v>-388.59805000000017</v>
      </c>
      <c r="GI250" s="100">
        <v>-17927.25734409134</v>
      </c>
      <c r="GJ250" s="67">
        <f t="shared" si="22"/>
        <v>94</v>
      </c>
      <c r="GK250" s="67"/>
      <c r="GM250" s="96"/>
    </row>
    <row r="251" spans="1:195" ht="13.5" customHeight="1" x14ac:dyDescent="0.2">
      <c r="A251" s="74">
        <v>762</v>
      </c>
      <c r="B251" s="75" t="s">
        <v>173</v>
      </c>
      <c r="C251" s="75" t="s">
        <v>173</v>
      </c>
      <c r="D251" s="76"/>
      <c r="E251" s="77" t="s">
        <v>239</v>
      </c>
      <c r="F251" s="78">
        <v>2</v>
      </c>
      <c r="G251" s="79">
        <v>4278</v>
      </c>
      <c r="H251" s="80">
        <v>3532</v>
      </c>
      <c r="I251" s="80">
        <v>1701</v>
      </c>
      <c r="J251" s="80">
        <v>261</v>
      </c>
      <c r="K251" s="80">
        <v>430</v>
      </c>
      <c r="L251" s="80">
        <v>1140</v>
      </c>
      <c r="M251" s="80">
        <v>0</v>
      </c>
      <c r="N251" s="80">
        <v>29</v>
      </c>
      <c r="O251" s="80">
        <v>29808</v>
      </c>
      <c r="P251" s="80">
        <v>7502</v>
      </c>
      <c r="Q251" s="80">
        <v>5324</v>
      </c>
      <c r="R251" s="80">
        <v>2178</v>
      </c>
      <c r="S251" s="80">
        <v>1917</v>
      </c>
      <c r="T251" s="80">
        <v>261</v>
      </c>
      <c r="U251" s="80">
        <v>19926</v>
      </c>
      <c r="V251" s="80">
        <v>1611</v>
      </c>
      <c r="W251" s="80">
        <v>562</v>
      </c>
      <c r="X251" s="80">
        <v>207</v>
      </c>
      <c r="Y251" s="80">
        <v>-26247</v>
      </c>
      <c r="Z251" s="80">
        <v>13243</v>
      </c>
      <c r="AA251" s="80">
        <v>10624</v>
      </c>
      <c r="AB251" s="80">
        <v>1846</v>
      </c>
      <c r="AC251" s="80">
        <v>773</v>
      </c>
      <c r="AD251" s="80">
        <v>14670</v>
      </c>
      <c r="AE251" s="80">
        <v>265</v>
      </c>
      <c r="AF251" s="80">
        <v>9</v>
      </c>
      <c r="AG251" s="80">
        <v>363</v>
      </c>
      <c r="AH251" s="80">
        <v>314</v>
      </c>
      <c r="AI251" s="80">
        <v>105</v>
      </c>
      <c r="AJ251" s="80">
        <v>2</v>
      </c>
      <c r="AK251" s="80">
        <v>1931</v>
      </c>
      <c r="AL251" s="80">
        <v>1804</v>
      </c>
      <c r="AM251" s="80">
        <v>1140</v>
      </c>
      <c r="AN251" s="80">
        <v>664</v>
      </c>
      <c r="AO251" s="80">
        <v>0</v>
      </c>
      <c r="AP251" s="80">
        <v>0</v>
      </c>
      <c r="AQ251" s="80">
        <v>0</v>
      </c>
      <c r="AR251" s="80">
        <v>127</v>
      </c>
      <c r="AS251" s="80">
        <v>73</v>
      </c>
      <c r="AT251" s="80">
        <v>0</v>
      </c>
      <c r="AU251" s="80">
        <v>0</v>
      </c>
      <c r="AV251" s="80">
        <v>200</v>
      </c>
      <c r="AW251" s="81"/>
      <c r="AX251" s="80">
        <v>1861</v>
      </c>
      <c r="AY251" s="80">
        <v>1931</v>
      </c>
      <c r="AZ251" s="80">
        <v>0</v>
      </c>
      <c r="BA251" s="80">
        <v>-70</v>
      </c>
      <c r="BB251" s="80">
        <v>-1581</v>
      </c>
      <c r="BC251" s="80">
        <v>1738</v>
      </c>
      <c r="BD251" s="80">
        <v>32</v>
      </c>
      <c r="BE251" s="80">
        <v>125</v>
      </c>
      <c r="BF251" s="80">
        <v>280</v>
      </c>
      <c r="BG251" s="80">
        <v>29</v>
      </c>
      <c r="BH251" s="80">
        <v>12</v>
      </c>
      <c r="BI251" s="80">
        <v>3</v>
      </c>
      <c r="BJ251" s="80">
        <v>15</v>
      </c>
      <c r="BK251" s="80">
        <v>-760</v>
      </c>
      <c r="BL251" s="80">
        <v>0</v>
      </c>
      <c r="BM251" s="80">
        <v>760</v>
      </c>
      <c r="BN251" s="80">
        <v>0</v>
      </c>
      <c r="BO251" s="80">
        <v>0</v>
      </c>
      <c r="BP251" s="80">
        <v>777</v>
      </c>
      <c r="BQ251" s="80">
        <v>1</v>
      </c>
      <c r="BR251" s="80">
        <v>0</v>
      </c>
      <c r="BS251" s="80">
        <v>120</v>
      </c>
      <c r="BT251" s="80">
        <v>656</v>
      </c>
      <c r="BU251" s="80">
        <v>308</v>
      </c>
      <c r="BV251" s="80">
        <v>863</v>
      </c>
      <c r="BW251" s="80">
        <v>555</v>
      </c>
      <c r="BX251" s="81"/>
      <c r="BY251" s="80">
        <v>22959</v>
      </c>
      <c r="BZ251" s="80">
        <v>514</v>
      </c>
      <c r="CA251" s="80">
        <v>0</v>
      </c>
      <c r="CB251" s="80">
        <v>514</v>
      </c>
      <c r="CC251" s="80">
        <v>0</v>
      </c>
      <c r="CD251" s="80">
        <v>16998</v>
      </c>
      <c r="CE251" s="80">
        <v>1592</v>
      </c>
      <c r="CF251" s="80">
        <v>10574</v>
      </c>
      <c r="CG251" s="80">
        <v>3796</v>
      </c>
      <c r="CH251" s="80">
        <v>61</v>
      </c>
      <c r="CI251" s="80">
        <v>8</v>
      </c>
      <c r="CJ251" s="80">
        <v>8</v>
      </c>
      <c r="CK251" s="80">
        <v>967</v>
      </c>
      <c r="CL251" s="80">
        <v>5447</v>
      </c>
      <c r="CM251" s="80">
        <v>5000</v>
      </c>
      <c r="CN251" s="80">
        <v>2701</v>
      </c>
      <c r="CO251" s="80">
        <v>2299</v>
      </c>
      <c r="CP251" s="80">
        <v>0</v>
      </c>
      <c r="CQ251" s="80">
        <v>318</v>
      </c>
      <c r="CR251" s="80">
        <v>0</v>
      </c>
      <c r="CS251" s="80">
        <v>0</v>
      </c>
      <c r="CT251" s="80">
        <v>318</v>
      </c>
      <c r="CU251" s="80">
        <v>129</v>
      </c>
      <c r="CV251" s="80">
        <v>571</v>
      </c>
      <c r="CW251" s="80">
        <v>374</v>
      </c>
      <c r="CX251" s="80">
        <v>197</v>
      </c>
      <c r="CY251" s="80">
        <v>0</v>
      </c>
      <c r="CZ251" s="80">
        <v>1517</v>
      </c>
      <c r="DA251" s="80">
        <v>0</v>
      </c>
      <c r="DB251" s="80">
        <v>0</v>
      </c>
      <c r="DC251" s="80">
        <v>0</v>
      </c>
      <c r="DD251" s="80">
        <v>0</v>
      </c>
      <c r="DE251" s="80">
        <v>0</v>
      </c>
      <c r="DF251" s="80">
        <v>0</v>
      </c>
      <c r="DG251" s="80">
        <v>654</v>
      </c>
      <c r="DH251" s="80">
        <v>28</v>
      </c>
      <c r="DI251" s="80">
        <v>0</v>
      </c>
      <c r="DJ251" s="80">
        <v>0</v>
      </c>
      <c r="DK251" s="80">
        <v>28</v>
      </c>
      <c r="DL251" s="80">
        <v>0</v>
      </c>
      <c r="DM251" s="80">
        <v>626</v>
      </c>
      <c r="DN251" s="80">
        <v>278</v>
      </c>
      <c r="DO251" s="80">
        <v>2</v>
      </c>
      <c r="DP251" s="80">
        <v>195</v>
      </c>
      <c r="DQ251" s="80">
        <v>151</v>
      </c>
      <c r="DR251" s="80">
        <v>0</v>
      </c>
      <c r="DS251" s="80">
        <v>0</v>
      </c>
      <c r="DT251" s="80">
        <v>0</v>
      </c>
      <c r="DU251" s="80">
        <v>0</v>
      </c>
      <c r="DV251" s="80">
        <v>0</v>
      </c>
      <c r="DW251" s="80">
        <v>863</v>
      </c>
      <c r="DX251" s="80">
        <v>25047</v>
      </c>
      <c r="DY251" s="80">
        <v>11838</v>
      </c>
      <c r="DZ251" s="80">
        <v>9934</v>
      </c>
      <c r="EA251" s="80">
        <v>0</v>
      </c>
      <c r="EB251" s="80">
        <v>44</v>
      </c>
      <c r="EC251" s="80">
        <v>1660</v>
      </c>
      <c r="ED251" s="80">
        <v>200</v>
      </c>
      <c r="EE251" s="80">
        <v>1146</v>
      </c>
      <c r="EF251" s="80">
        <v>1146</v>
      </c>
      <c r="EG251" s="80">
        <v>0</v>
      </c>
      <c r="EH251" s="80">
        <v>0</v>
      </c>
      <c r="EI251" s="80">
        <v>0</v>
      </c>
      <c r="EJ251" s="80">
        <v>0</v>
      </c>
      <c r="EK251" s="80">
        <v>569</v>
      </c>
      <c r="EL251" s="80">
        <v>372</v>
      </c>
      <c r="EM251" s="80">
        <v>197</v>
      </c>
      <c r="EN251" s="80">
        <v>0</v>
      </c>
      <c r="EO251" s="80">
        <v>11494</v>
      </c>
      <c r="EP251" s="80">
        <v>5292</v>
      </c>
      <c r="EQ251" s="80">
        <v>0</v>
      </c>
      <c r="ER251" s="80">
        <v>4109</v>
      </c>
      <c r="ES251" s="80">
        <v>0</v>
      </c>
      <c r="ET251" s="80">
        <v>4109</v>
      </c>
      <c r="EU251" s="80">
        <v>0</v>
      </c>
      <c r="EV251" s="80">
        <v>0</v>
      </c>
      <c r="EW251" s="80">
        <v>1183</v>
      </c>
      <c r="EX251" s="80">
        <v>0</v>
      </c>
      <c r="EY251" s="80">
        <v>0</v>
      </c>
      <c r="EZ251" s="80">
        <v>0</v>
      </c>
      <c r="FA251" s="80">
        <v>0</v>
      </c>
      <c r="FB251" s="80">
        <v>0</v>
      </c>
      <c r="FC251" s="80">
        <v>0</v>
      </c>
      <c r="FD251" s="80">
        <v>6202</v>
      </c>
      <c r="FE251" s="80">
        <v>3000</v>
      </c>
      <c r="FF251" s="80">
        <v>608</v>
      </c>
      <c r="FG251" s="80">
        <v>0</v>
      </c>
      <c r="FH251" s="80">
        <v>608</v>
      </c>
      <c r="FI251" s="80">
        <v>0</v>
      </c>
      <c r="FJ251" s="80">
        <v>0</v>
      </c>
      <c r="FK251" s="80">
        <v>158</v>
      </c>
      <c r="FL251" s="80">
        <v>0</v>
      </c>
      <c r="FM251" s="80">
        <v>3</v>
      </c>
      <c r="FN251" s="80">
        <v>1279</v>
      </c>
      <c r="FO251" s="80">
        <v>144</v>
      </c>
      <c r="FP251" s="80">
        <v>1010</v>
      </c>
      <c r="FQ251" s="80">
        <v>25047</v>
      </c>
      <c r="FR251" s="80">
        <v>1023</v>
      </c>
      <c r="FS251" s="80">
        <v>1675</v>
      </c>
      <c r="FT251" s="100">
        <v>14112.679340699127</v>
      </c>
      <c r="FU251" s="100"/>
      <c r="FV251" s="100">
        <v>5626</v>
      </c>
      <c r="FW251" s="67">
        <v>1804</v>
      </c>
      <c r="FX251" s="100">
        <f t="shared" si="20"/>
        <v>-18682</v>
      </c>
      <c r="FY251" s="100">
        <f t="shared" si="21"/>
        <v>-24443</v>
      </c>
      <c r="FZ251" s="100">
        <v>17516.552809749573</v>
      </c>
      <c r="GA251" s="67">
        <v>5761</v>
      </c>
      <c r="GB251" s="58">
        <f t="shared" si="18"/>
        <v>135</v>
      </c>
      <c r="GC251" s="67">
        <v>1804</v>
      </c>
      <c r="GD251" s="100">
        <v>260</v>
      </c>
      <c r="GE251" s="100">
        <v>260</v>
      </c>
      <c r="GF251" s="58">
        <f t="shared" si="19"/>
        <v>0</v>
      </c>
      <c r="GG251" s="100">
        <v>-6203.41</v>
      </c>
      <c r="GH251" s="100">
        <v>-588.38735000000008</v>
      </c>
      <c r="GI251" s="100">
        <v>-10946.890231695081</v>
      </c>
      <c r="GJ251" s="67">
        <f t="shared" si="22"/>
        <v>0</v>
      </c>
      <c r="GK251" s="67"/>
      <c r="GM251" s="96"/>
    </row>
    <row r="252" spans="1:195" ht="13.5" customHeight="1" x14ac:dyDescent="0.2">
      <c r="A252" s="74">
        <v>765</v>
      </c>
      <c r="B252" s="75" t="s">
        <v>174</v>
      </c>
      <c r="C252" s="75" t="s">
        <v>174</v>
      </c>
      <c r="D252" s="76"/>
      <c r="E252" s="77" t="s">
        <v>234</v>
      </c>
      <c r="F252" s="78">
        <v>4</v>
      </c>
      <c r="G252" s="79">
        <v>10523</v>
      </c>
      <c r="H252" s="80">
        <v>15671</v>
      </c>
      <c r="I252" s="80">
        <v>10689</v>
      </c>
      <c r="J252" s="80">
        <v>1267</v>
      </c>
      <c r="K252" s="80">
        <v>1030</v>
      </c>
      <c r="L252" s="80">
        <v>2685</v>
      </c>
      <c r="M252" s="80">
        <v>0</v>
      </c>
      <c r="N252" s="80">
        <v>0</v>
      </c>
      <c r="O252" s="80">
        <v>81080</v>
      </c>
      <c r="P252" s="80">
        <v>23668</v>
      </c>
      <c r="Q252" s="80">
        <v>17594</v>
      </c>
      <c r="R252" s="80">
        <v>6074</v>
      </c>
      <c r="S252" s="80">
        <v>5006</v>
      </c>
      <c r="T252" s="80">
        <v>1068</v>
      </c>
      <c r="U252" s="80">
        <v>50666</v>
      </c>
      <c r="V252" s="80">
        <v>4028</v>
      </c>
      <c r="W252" s="80">
        <v>1615</v>
      </c>
      <c r="X252" s="80">
        <v>1103</v>
      </c>
      <c r="Y252" s="80">
        <v>-65409</v>
      </c>
      <c r="Z252" s="80">
        <v>38178</v>
      </c>
      <c r="AA252" s="80">
        <v>31788</v>
      </c>
      <c r="AB252" s="80">
        <v>2686</v>
      </c>
      <c r="AC252" s="80">
        <v>3704</v>
      </c>
      <c r="AD252" s="80">
        <v>24846</v>
      </c>
      <c r="AE252" s="80">
        <v>1187</v>
      </c>
      <c r="AF252" s="80">
        <v>1453</v>
      </c>
      <c r="AG252" s="80">
        <v>178</v>
      </c>
      <c r="AH252" s="80">
        <v>1</v>
      </c>
      <c r="AI252" s="80">
        <v>293</v>
      </c>
      <c r="AJ252" s="80">
        <v>151</v>
      </c>
      <c r="AK252" s="80">
        <v>-1198</v>
      </c>
      <c r="AL252" s="80">
        <v>2583</v>
      </c>
      <c r="AM252" s="80">
        <v>2583</v>
      </c>
      <c r="AN252" s="80">
        <v>0</v>
      </c>
      <c r="AO252" s="80">
        <v>0</v>
      </c>
      <c r="AP252" s="80">
        <v>0</v>
      </c>
      <c r="AQ252" s="80">
        <v>0</v>
      </c>
      <c r="AR252" s="80">
        <v>-3781</v>
      </c>
      <c r="AS252" s="80">
        <v>207</v>
      </c>
      <c r="AT252" s="80">
        <v>0</v>
      </c>
      <c r="AU252" s="80">
        <v>0</v>
      </c>
      <c r="AV252" s="80">
        <v>-3574</v>
      </c>
      <c r="AW252" s="81"/>
      <c r="AX252" s="80">
        <v>-1374</v>
      </c>
      <c r="AY252" s="80">
        <v>-1198</v>
      </c>
      <c r="AZ252" s="80">
        <v>0</v>
      </c>
      <c r="BA252" s="80">
        <v>-176</v>
      </c>
      <c r="BB252" s="80">
        <v>-6598</v>
      </c>
      <c r="BC252" s="80">
        <v>6985</v>
      </c>
      <c r="BD252" s="80">
        <v>156</v>
      </c>
      <c r="BE252" s="80">
        <v>231</v>
      </c>
      <c r="BF252" s="80">
        <v>-7972</v>
      </c>
      <c r="BG252" s="80">
        <v>6887</v>
      </c>
      <c r="BH252" s="80">
        <v>-460</v>
      </c>
      <c r="BI252" s="80">
        <v>460</v>
      </c>
      <c r="BJ252" s="80">
        <v>0</v>
      </c>
      <c r="BK252" s="80">
        <v>3966</v>
      </c>
      <c r="BL252" s="80">
        <v>5500</v>
      </c>
      <c r="BM252" s="80">
        <v>2639</v>
      </c>
      <c r="BN252" s="80">
        <v>1105</v>
      </c>
      <c r="BO252" s="80">
        <v>104</v>
      </c>
      <c r="BP252" s="80">
        <v>3277</v>
      </c>
      <c r="BQ252" s="80">
        <v>0</v>
      </c>
      <c r="BR252" s="80">
        <v>0</v>
      </c>
      <c r="BS252" s="80">
        <v>1808</v>
      </c>
      <c r="BT252" s="80">
        <v>1469</v>
      </c>
      <c r="BU252" s="80">
        <v>-1084</v>
      </c>
      <c r="BV252" s="80">
        <v>96</v>
      </c>
      <c r="BW252" s="80">
        <v>1180</v>
      </c>
      <c r="BX252" s="81"/>
      <c r="BY252" s="80">
        <v>78442</v>
      </c>
      <c r="BZ252" s="80">
        <v>0</v>
      </c>
      <c r="CA252" s="80">
        <v>0</v>
      </c>
      <c r="CB252" s="80">
        <v>0</v>
      </c>
      <c r="CC252" s="80">
        <v>0</v>
      </c>
      <c r="CD252" s="80">
        <v>48032</v>
      </c>
      <c r="CE252" s="80">
        <v>10803</v>
      </c>
      <c r="CF252" s="80">
        <v>19640</v>
      </c>
      <c r="CG252" s="80">
        <v>11743</v>
      </c>
      <c r="CH252" s="80">
        <v>591</v>
      </c>
      <c r="CI252" s="80">
        <v>96</v>
      </c>
      <c r="CJ252" s="80">
        <v>96</v>
      </c>
      <c r="CK252" s="80">
        <v>5159</v>
      </c>
      <c r="CL252" s="80">
        <v>30410</v>
      </c>
      <c r="CM252" s="80">
        <v>9867</v>
      </c>
      <c r="CN252" s="80">
        <v>1702</v>
      </c>
      <c r="CO252" s="80">
        <v>8165</v>
      </c>
      <c r="CP252" s="80">
        <v>0</v>
      </c>
      <c r="CQ252" s="80">
        <v>20444</v>
      </c>
      <c r="CR252" s="80">
        <v>0</v>
      </c>
      <c r="CS252" s="80">
        <v>0</v>
      </c>
      <c r="CT252" s="80">
        <v>20444</v>
      </c>
      <c r="CU252" s="80">
        <v>99</v>
      </c>
      <c r="CV252" s="80">
        <v>0</v>
      </c>
      <c r="CW252" s="80">
        <v>0</v>
      </c>
      <c r="CX252" s="80">
        <v>0</v>
      </c>
      <c r="CY252" s="80">
        <v>0</v>
      </c>
      <c r="CZ252" s="80">
        <v>2298</v>
      </c>
      <c r="DA252" s="80">
        <v>0</v>
      </c>
      <c r="DB252" s="80">
        <v>0</v>
      </c>
      <c r="DC252" s="80">
        <v>0</v>
      </c>
      <c r="DD252" s="80">
        <v>0</v>
      </c>
      <c r="DE252" s="80">
        <v>0</v>
      </c>
      <c r="DF252" s="80">
        <v>0</v>
      </c>
      <c r="DG252" s="80">
        <v>2202</v>
      </c>
      <c r="DH252" s="80">
        <v>386</v>
      </c>
      <c r="DI252" s="80">
        <v>0</v>
      </c>
      <c r="DJ252" s="80">
        <v>386</v>
      </c>
      <c r="DK252" s="80">
        <v>0</v>
      </c>
      <c r="DL252" s="80">
        <v>0</v>
      </c>
      <c r="DM252" s="80">
        <v>1816</v>
      </c>
      <c r="DN252" s="80">
        <v>661</v>
      </c>
      <c r="DO252" s="80">
        <v>43</v>
      </c>
      <c r="DP252" s="80">
        <v>442</v>
      </c>
      <c r="DQ252" s="80">
        <v>670</v>
      </c>
      <c r="DR252" s="80">
        <v>0</v>
      </c>
      <c r="DS252" s="80">
        <v>0</v>
      </c>
      <c r="DT252" s="80">
        <v>0</v>
      </c>
      <c r="DU252" s="80">
        <v>0</v>
      </c>
      <c r="DV252" s="80">
        <v>0</v>
      </c>
      <c r="DW252" s="80">
        <v>96</v>
      </c>
      <c r="DX252" s="80">
        <v>80740</v>
      </c>
      <c r="DY252" s="80">
        <v>48558</v>
      </c>
      <c r="DZ252" s="80">
        <v>33833</v>
      </c>
      <c r="EA252" s="80">
        <v>437</v>
      </c>
      <c r="EB252" s="80">
        <v>0</v>
      </c>
      <c r="EC252" s="80">
        <v>17862</v>
      </c>
      <c r="ED252" s="80">
        <v>-3574</v>
      </c>
      <c r="EE252" s="80">
        <v>1554</v>
      </c>
      <c r="EF252" s="80">
        <v>1554</v>
      </c>
      <c r="EG252" s="80">
        <v>0</v>
      </c>
      <c r="EH252" s="80">
        <v>0</v>
      </c>
      <c r="EI252" s="80">
        <v>0</v>
      </c>
      <c r="EJ252" s="80">
        <v>0</v>
      </c>
      <c r="EK252" s="80">
        <v>0</v>
      </c>
      <c r="EL252" s="80">
        <v>0</v>
      </c>
      <c r="EM252" s="80">
        <v>0</v>
      </c>
      <c r="EN252" s="80">
        <v>0</v>
      </c>
      <c r="EO252" s="80">
        <v>30628</v>
      </c>
      <c r="EP252" s="80">
        <v>20915</v>
      </c>
      <c r="EQ252" s="80">
        <v>0</v>
      </c>
      <c r="ER252" s="80">
        <v>19740</v>
      </c>
      <c r="ES252" s="80">
        <v>3957</v>
      </c>
      <c r="ET252" s="80">
        <v>15783</v>
      </c>
      <c r="EU252" s="80">
        <v>0</v>
      </c>
      <c r="EV252" s="80">
        <v>0</v>
      </c>
      <c r="EW252" s="80">
        <v>0</v>
      </c>
      <c r="EX252" s="80">
        <v>0</v>
      </c>
      <c r="EY252" s="80">
        <v>23</v>
      </c>
      <c r="EZ252" s="80">
        <v>0</v>
      </c>
      <c r="FA252" s="80">
        <v>1152</v>
      </c>
      <c r="FB252" s="80">
        <v>0</v>
      </c>
      <c r="FC252" s="80">
        <v>0</v>
      </c>
      <c r="FD252" s="80">
        <v>9713</v>
      </c>
      <c r="FE252" s="80">
        <v>0</v>
      </c>
      <c r="FF252" s="80">
        <v>3778</v>
      </c>
      <c r="FG252" s="80">
        <v>1772</v>
      </c>
      <c r="FH252" s="80">
        <v>2006</v>
      </c>
      <c r="FI252" s="80">
        <v>0</v>
      </c>
      <c r="FJ252" s="80">
        <v>0</v>
      </c>
      <c r="FK252" s="80">
        <v>0</v>
      </c>
      <c r="FL252" s="80">
        <v>0</v>
      </c>
      <c r="FM252" s="80">
        <v>27</v>
      </c>
      <c r="FN252" s="80">
        <v>2207</v>
      </c>
      <c r="FO252" s="80">
        <v>394</v>
      </c>
      <c r="FP252" s="80">
        <v>3307</v>
      </c>
      <c r="FQ252" s="80">
        <v>80740</v>
      </c>
      <c r="FR252" s="80">
        <v>0</v>
      </c>
      <c r="FS252" s="80">
        <v>0</v>
      </c>
      <c r="FT252" s="100">
        <v>43352.885460432663</v>
      </c>
      <c r="FU252" s="100"/>
      <c r="FV252" s="100">
        <v>15652</v>
      </c>
      <c r="FW252" s="67">
        <v>2583</v>
      </c>
      <c r="FX252" s="100">
        <f t="shared" si="20"/>
        <v>-47155</v>
      </c>
      <c r="FY252" s="100">
        <f t="shared" si="21"/>
        <v>-62826</v>
      </c>
      <c r="FZ252" s="100">
        <v>37648.087290621726</v>
      </c>
      <c r="GA252" s="67">
        <v>15671</v>
      </c>
      <c r="GB252" s="58">
        <f t="shared" si="18"/>
        <v>19</v>
      </c>
      <c r="GC252" s="67">
        <v>2583</v>
      </c>
      <c r="GD252" s="100">
        <v>1267</v>
      </c>
      <c r="GE252" s="100">
        <v>1267</v>
      </c>
      <c r="GF252" s="58">
        <f t="shared" si="19"/>
        <v>0</v>
      </c>
      <c r="GG252" s="100">
        <v>-17953.129000000001</v>
      </c>
      <c r="GH252" s="100">
        <v>-731.87080000000026</v>
      </c>
      <c r="GI252" s="100">
        <v>-19172.669174577393</v>
      </c>
      <c r="GJ252" s="67">
        <f t="shared" si="22"/>
        <v>0</v>
      </c>
      <c r="GK252" s="67"/>
      <c r="GM252" s="96"/>
    </row>
    <row r="253" spans="1:195" ht="13.5" customHeight="1" x14ac:dyDescent="0.2">
      <c r="A253" s="74">
        <v>152</v>
      </c>
      <c r="B253" s="75" t="s">
        <v>247</v>
      </c>
      <c r="C253" s="82" t="s">
        <v>247</v>
      </c>
      <c r="D253" s="76"/>
      <c r="E253" s="77" t="s">
        <v>248</v>
      </c>
      <c r="F253" s="78">
        <v>2</v>
      </c>
      <c r="G253" s="79">
        <v>4785</v>
      </c>
      <c r="H253" s="80">
        <v>3786</v>
      </c>
      <c r="I253" s="80">
        <v>1512</v>
      </c>
      <c r="J253" s="80">
        <v>1535</v>
      </c>
      <c r="K253" s="80">
        <v>383</v>
      </c>
      <c r="L253" s="80">
        <v>356</v>
      </c>
      <c r="M253" s="80">
        <v>0</v>
      </c>
      <c r="N253" s="80">
        <v>0</v>
      </c>
      <c r="O253" s="80">
        <v>29320</v>
      </c>
      <c r="P253" s="80">
        <v>11739</v>
      </c>
      <c r="Q253" s="80">
        <v>8855</v>
      </c>
      <c r="R253" s="80">
        <v>2884</v>
      </c>
      <c r="S253" s="80">
        <v>2180</v>
      </c>
      <c r="T253" s="80">
        <v>704</v>
      </c>
      <c r="U253" s="80">
        <v>14310</v>
      </c>
      <c r="V253" s="80">
        <v>1632</v>
      </c>
      <c r="W253" s="80">
        <v>1504</v>
      </c>
      <c r="X253" s="80">
        <v>135</v>
      </c>
      <c r="Y253" s="80">
        <v>-25534</v>
      </c>
      <c r="Z253" s="80">
        <v>15738</v>
      </c>
      <c r="AA253" s="80">
        <v>14296</v>
      </c>
      <c r="AB253" s="80">
        <v>550</v>
      </c>
      <c r="AC253" s="80">
        <v>892</v>
      </c>
      <c r="AD253" s="80">
        <v>12063</v>
      </c>
      <c r="AE253" s="80">
        <v>-39</v>
      </c>
      <c r="AF253" s="80">
        <v>7</v>
      </c>
      <c r="AG253" s="80">
        <v>35</v>
      </c>
      <c r="AH253" s="80">
        <v>0</v>
      </c>
      <c r="AI253" s="80">
        <v>81</v>
      </c>
      <c r="AJ253" s="80">
        <v>0</v>
      </c>
      <c r="AK253" s="80">
        <v>2228</v>
      </c>
      <c r="AL253" s="80">
        <v>1128</v>
      </c>
      <c r="AM253" s="80">
        <v>1128</v>
      </c>
      <c r="AN253" s="80">
        <v>0</v>
      </c>
      <c r="AO253" s="80">
        <v>0</v>
      </c>
      <c r="AP253" s="80">
        <v>0</v>
      </c>
      <c r="AQ253" s="80">
        <v>0</v>
      </c>
      <c r="AR253" s="80">
        <v>1100</v>
      </c>
      <c r="AS253" s="80">
        <v>0</v>
      </c>
      <c r="AT253" s="80">
        <v>0</v>
      </c>
      <c r="AU253" s="80">
        <v>0</v>
      </c>
      <c r="AV253" s="80">
        <v>1100</v>
      </c>
      <c r="AW253" s="81"/>
      <c r="AX253" s="80">
        <v>2207</v>
      </c>
      <c r="AY253" s="80">
        <v>2228</v>
      </c>
      <c r="AZ253" s="80">
        <v>0</v>
      </c>
      <c r="BA253" s="80">
        <v>-21</v>
      </c>
      <c r="BB253" s="80">
        <v>-861</v>
      </c>
      <c r="BC253" s="80">
        <v>911</v>
      </c>
      <c r="BD253" s="80">
        <v>0</v>
      </c>
      <c r="BE253" s="80">
        <v>50</v>
      </c>
      <c r="BF253" s="80">
        <v>1346</v>
      </c>
      <c r="BG253" s="80">
        <v>-367</v>
      </c>
      <c r="BH253" s="80">
        <v>0</v>
      </c>
      <c r="BI253" s="80">
        <v>0</v>
      </c>
      <c r="BJ253" s="80">
        <v>0</v>
      </c>
      <c r="BK253" s="80">
        <v>-1220</v>
      </c>
      <c r="BL253" s="80">
        <v>0</v>
      </c>
      <c r="BM253" s="80">
        <v>1220</v>
      </c>
      <c r="BN253" s="80">
        <v>0</v>
      </c>
      <c r="BO253" s="80">
        <v>60</v>
      </c>
      <c r="BP253" s="80">
        <v>793</v>
      </c>
      <c r="BQ253" s="80">
        <v>0</v>
      </c>
      <c r="BR253" s="80">
        <v>0</v>
      </c>
      <c r="BS253" s="80">
        <v>286</v>
      </c>
      <c r="BT253" s="80">
        <v>507</v>
      </c>
      <c r="BU253" s="80">
        <v>980</v>
      </c>
      <c r="BV253" s="80">
        <v>2857</v>
      </c>
      <c r="BW253" s="80">
        <v>1877</v>
      </c>
      <c r="BX253" s="81"/>
      <c r="BY253" s="80">
        <v>22639</v>
      </c>
      <c r="BZ253" s="80">
        <v>53</v>
      </c>
      <c r="CA253" s="80">
        <v>0</v>
      </c>
      <c r="CB253" s="80">
        <v>53</v>
      </c>
      <c r="CC253" s="80">
        <v>0</v>
      </c>
      <c r="CD253" s="80">
        <v>18924</v>
      </c>
      <c r="CE253" s="80">
        <v>3959</v>
      </c>
      <c r="CF253" s="80">
        <v>9937</v>
      </c>
      <c r="CG253" s="80">
        <v>5025</v>
      </c>
      <c r="CH253" s="80">
        <v>3</v>
      </c>
      <c r="CI253" s="80">
        <v>0</v>
      </c>
      <c r="CJ253" s="80">
        <v>0</v>
      </c>
      <c r="CK253" s="80">
        <v>0</v>
      </c>
      <c r="CL253" s="80">
        <v>3662</v>
      </c>
      <c r="CM253" s="80">
        <v>3231</v>
      </c>
      <c r="CN253" s="80">
        <v>1790</v>
      </c>
      <c r="CO253" s="80">
        <v>1441</v>
      </c>
      <c r="CP253" s="80">
        <v>0</v>
      </c>
      <c r="CQ253" s="80">
        <v>431</v>
      </c>
      <c r="CR253" s="80">
        <v>0</v>
      </c>
      <c r="CS253" s="80">
        <v>0</v>
      </c>
      <c r="CT253" s="80">
        <v>431</v>
      </c>
      <c r="CU253" s="80">
        <v>0</v>
      </c>
      <c r="CV253" s="80">
        <v>19</v>
      </c>
      <c r="CW253" s="80">
        <v>4</v>
      </c>
      <c r="CX253" s="80">
        <v>15</v>
      </c>
      <c r="CY253" s="80">
        <v>0</v>
      </c>
      <c r="CZ253" s="80">
        <v>4151</v>
      </c>
      <c r="DA253" s="80">
        <v>79</v>
      </c>
      <c r="DB253" s="80">
        <v>0</v>
      </c>
      <c r="DC253" s="80">
        <v>79</v>
      </c>
      <c r="DD253" s="80">
        <v>0</v>
      </c>
      <c r="DE253" s="80">
        <v>0</v>
      </c>
      <c r="DF253" s="80">
        <v>0</v>
      </c>
      <c r="DG253" s="80">
        <v>1215</v>
      </c>
      <c r="DH253" s="80">
        <v>0</v>
      </c>
      <c r="DI253" s="80">
        <v>0</v>
      </c>
      <c r="DJ253" s="80">
        <v>0</v>
      </c>
      <c r="DK253" s="80">
        <v>0</v>
      </c>
      <c r="DL253" s="80">
        <v>0</v>
      </c>
      <c r="DM253" s="80">
        <v>1215</v>
      </c>
      <c r="DN253" s="80">
        <v>438</v>
      </c>
      <c r="DO253" s="80">
        <v>0</v>
      </c>
      <c r="DP253" s="80">
        <v>777</v>
      </c>
      <c r="DQ253" s="80">
        <v>0</v>
      </c>
      <c r="DR253" s="80">
        <v>0</v>
      </c>
      <c r="DS253" s="80">
        <v>0</v>
      </c>
      <c r="DT253" s="80">
        <v>0</v>
      </c>
      <c r="DU253" s="80">
        <v>0</v>
      </c>
      <c r="DV253" s="80">
        <v>0</v>
      </c>
      <c r="DW253" s="80">
        <v>2857</v>
      </c>
      <c r="DX253" s="80">
        <v>26809</v>
      </c>
      <c r="DY253" s="80">
        <v>17718</v>
      </c>
      <c r="DZ253" s="80">
        <v>11167</v>
      </c>
      <c r="EA253" s="80">
        <v>0</v>
      </c>
      <c r="EB253" s="80">
        <v>20</v>
      </c>
      <c r="EC253" s="80">
        <v>5431</v>
      </c>
      <c r="ED253" s="80">
        <v>1100</v>
      </c>
      <c r="EE253" s="80">
        <v>0</v>
      </c>
      <c r="EF253" s="80">
        <v>0</v>
      </c>
      <c r="EG253" s="80">
        <v>0</v>
      </c>
      <c r="EH253" s="80">
        <v>0</v>
      </c>
      <c r="EI253" s="80">
        <v>0</v>
      </c>
      <c r="EJ253" s="80">
        <v>0</v>
      </c>
      <c r="EK253" s="80">
        <v>22</v>
      </c>
      <c r="EL253" s="80">
        <v>0</v>
      </c>
      <c r="EM253" s="80">
        <v>22</v>
      </c>
      <c r="EN253" s="80">
        <v>0</v>
      </c>
      <c r="EO253" s="80">
        <v>9070</v>
      </c>
      <c r="EP253" s="80">
        <v>4419</v>
      </c>
      <c r="EQ253" s="80">
        <v>0</v>
      </c>
      <c r="ER253" s="80">
        <v>3225</v>
      </c>
      <c r="ES253" s="80">
        <v>0</v>
      </c>
      <c r="ET253" s="80">
        <v>3225</v>
      </c>
      <c r="EU253" s="80">
        <v>0</v>
      </c>
      <c r="EV253" s="80">
        <v>0</v>
      </c>
      <c r="EW253" s="80">
        <v>0</v>
      </c>
      <c r="EX253" s="80">
        <v>0</v>
      </c>
      <c r="EY253" s="80">
        <v>0</v>
      </c>
      <c r="EZ253" s="80">
        <v>0</v>
      </c>
      <c r="FA253" s="80">
        <v>1194</v>
      </c>
      <c r="FB253" s="80">
        <v>0</v>
      </c>
      <c r="FC253" s="80">
        <v>0</v>
      </c>
      <c r="FD253" s="80">
        <v>4651</v>
      </c>
      <c r="FE253" s="80">
        <v>0</v>
      </c>
      <c r="FF253" s="80">
        <v>1030</v>
      </c>
      <c r="FG253" s="80">
        <v>0</v>
      </c>
      <c r="FH253" s="80">
        <v>1030</v>
      </c>
      <c r="FI253" s="80">
        <v>0</v>
      </c>
      <c r="FJ253" s="80">
        <v>0</v>
      </c>
      <c r="FK253" s="80">
        <v>0</v>
      </c>
      <c r="FL253" s="80">
        <v>0</v>
      </c>
      <c r="FM253" s="80">
        <v>0</v>
      </c>
      <c r="FN253" s="80">
        <v>1928</v>
      </c>
      <c r="FO253" s="80">
        <v>360</v>
      </c>
      <c r="FP253" s="80">
        <v>1333</v>
      </c>
      <c r="FQ253" s="80">
        <v>26810</v>
      </c>
      <c r="FR253" s="80">
        <v>5975</v>
      </c>
      <c r="FS253" s="80">
        <v>756</v>
      </c>
      <c r="FT253" s="100">
        <v>15546.632933772178</v>
      </c>
      <c r="FU253" s="100"/>
      <c r="FV253" s="100">
        <v>6166</v>
      </c>
      <c r="FW253" s="67">
        <v>1125</v>
      </c>
      <c r="FX253" s="100">
        <f t="shared" si="20"/>
        <v>-16680</v>
      </c>
      <c r="FY253" s="100">
        <f t="shared" si="21"/>
        <v>-24406</v>
      </c>
      <c r="FZ253" s="100">
        <v>16298.412612775535</v>
      </c>
      <c r="GA253" s="67">
        <v>7726</v>
      </c>
      <c r="GB253" s="58">
        <f t="shared" si="18"/>
        <v>1560</v>
      </c>
      <c r="GC253" s="67">
        <v>1129</v>
      </c>
      <c r="GD253" s="100">
        <v>1698</v>
      </c>
      <c r="GE253" s="100">
        <v>641</v>
      </c>
      <c r="GF253" s="58">
        <f t="shared" si="19"/>
        <v>1057</v>
      </c>
      <c r="GG253" s="100">
        <v>-7937.6559999999999</v>
      </c>
      <c r="GH253" s="100">
        <v>-172.26200000000011</v>
      </c>
      <c r="GI253" s="100">
        <v>-8351.012535259888</v>
      </c>
      <c r="GJ253" s="67">
        <f t="shared" si="22"/>
        <v>4</v>
      </c>
      <c r="GK253" s="67"/>
      <c r="GM253" s="96"/>
    </row>
    <row r="254" spans="1:195" ht="13.5" customHeight="1" x14ac:dyDescent="0.2">
      <c r="A254" s="74">
        <v>151</v>
      </c>
      <c r="B254" s="75" t="s">
        <v>246</v>
      </c>
      <c r="C254" s="82" t="s">
        <v>246</v>
      </c>
      <c r="D254" s="76"/>
      <c r="E254" s="77" t="s">
        <v>215</v>
      </c>
      <c r="F254" s="78">
        <v>2</v>
      </c>
      <c r="G254" s="79">
        <v>2123</v>
      </c>
      <c r="H254" s="80">
        <v>1981</v>
      </c>
      <c r="I254" s="80">
        <v>841</v>
      </c>
      <c r="J254" s="80">
        <v>113</v>
      </c>
      <c r="K254" s="80">
        <v>131</v>
      </c>
      <c r="L254" s="80">
        <v>896</v>
      </c>
      <c r="M254" s="80">
        <v>0</v>
      </c>
      <c r="N254" s="80">
        <v>0</v>
      </c>
      <c r="O254" s="80">
        <v>15928</v>
      </c>
      <c r="P254" s="80">
        <v>3472</v>
      </c>
      <c r="Q254" s="80">
        <v>2471</v>
      </c>
      <c r="R254" s="80">
        <v>1001</v>
      </c>
      <c r="S254" s="80">
        <v>884</v>
      </c>
      <c r="T254" s="80">
        <v>117</v>
      </c>
      <c r="U254" s="80">
        <v>11252</v>
      </c>
      <c r="V254" s="80">
        <v>716</v>
      </c>
      <c r="W254" s="80">
        <v>214</v>
      </c>
      <c r="X254" s="80">
        <v>274</v>
      </c>
      <c r="Y254" s="80">
        <v>-13947</v>
      </c>
      <c r="Z254" s="80">
        <v>6470</v>
      </c>
      <c r="AA254" s="80">
        <v>5513</v>
      </c>
      <c r="AB254" s="80">
        <v>556</v>
      </c>
      <c r="AC254" s="80">
        <v>401</v>
      </c>
      <c r="AD254" s="80">
        <v>8423</v>
      </c>
      <c r="AE254" s="80">
        <v>-12</v>
      </c>
      <c r="AF254" s="80">
        <v>0</v>
      </c>
      <c r="AG254" s="80">
        <v>42</v>
      </c>
      <c r="AH254" s="80">
        <v>10</v>
      </c>
      <c r="AI254" s="80">
        <v>38</v>
      </c>
      <c r="AJ254" s="80">
        <v>16</v>
      </c>
      <c r="AK254" s="80">
        <v>934</v>
      </c>
      <c r="AL254" s="80">
        <v>530</v>
      </c>
      <c r="AM254" s="80">
        <v>530</v>
      </c>
      <c r="AN254" s="80">
        <v>0</v>
      </c>
      <c r="AO254" s="80">
        <v>0</v>
      </c>
      <c r="AP254" s="80">
        <v>0</v>
      </c>
      <c r="AQ254" s="80">
        <v>0</v>
      </c>
      <c r="AR254" s="80">
        <v>404</v>
      </c>
      <c r="AS254" s="80">
        <v>2</v>
      </c>
      <c r="AT254" s="80">
        <v>0</v>
      </c>
      <c r="AU254" s="80">
        <v>0</v>
      </c>
      <c r="AV254" s="80">
        <v>406</v>
      </c>
      <c r="AW254" s="81"/>
      <c r="AX254" s="80">
        <v>917</v>
      </c>
      <c r="AY254" s="80">
        <v>934</v>
      </c>
      <c r="AZ254" s="80">
        <v>0</v>
      </c>
      <c r="BA254" s="80">
        <v>-17</v>
      </c>
      <c r="BB254" s="80">
        <v>-75</v>
      </c>
      <c r="BC254" s="80">
        <v>114</v>
      </c>
      <c r="BD254" s="80">
        <v>0</v>
      </c>
      <c r="BE254" s="80">
        <v>39</v>
      </c>
      <c r="BF254" s="80">
        <v>842</v>
      </c>
      <c r="BG254" s="80">
        <v>-315</v>
      </c>
      <c r="BH254" s="80">
        <v>-176</v>
      </c>
      <c r="BI254" s="80">
        <v>180</v>
      </c>
      <c r="BJ254" s="80">
        <v>4</v>
      </c>
      <c r="BK254" s="80">
        <v>-575</v>
      </c>
      <c r="BL254" s="80">
        <v>0</v>
      </c>
      <c r="BM254" s="80">
        <v>275</v>
      </c>
      <c r="BN254" s="80">
        <v>-300</v>
      </c>
      <c r="BO254" s="80">
        <v>0</v>
      </c>
      <c r="BP254" s="80">
        <v>436</v>
      </c>
      <c r="BQ254" s="80">
        <v>79</v>
      </c>
      <c r="BR254" s="80">
        <v>2</v>
      </c>
      <c r="BS254" s="80">
        <v>227</v>
      </c>
      <c r="BT254" s="80">
        <v>128</v>
      </c>
      <c r="BU254" s="80">
        <v>527</v>
      </c>
      <c r="BV254" s="80">
        <v>1094</v>
      </c>
      <c r="BW254" s="80">
        <v>567</v>
      </c>
      <c r="BX254" s="81"/>
      <c r="BY254" s="80">
        <v>12974</v>
      </c>
      <c r="BZ254" s="80">
        <v>0</v>
      </c>
      <c r="CA254" s="80">
        <v>0</v>
      </c>
      <c r="CB254" s="80">
        <v>0</v>
      </c>
      <c r="CC254" s="80">
        <v>0</v>
      </c>
      <c r="CD254" s="80">
        <v>9614</v>
      </c>
      <c r="CE254" s="80">
        <v>1168</v>
      </c>
      <c r="CF254" s="80">
        <v>7572</v>
      </c>
      <c r="CG254" s="80">
        <v>776</v>
      </c>
      <c r="CH254" s="80">
        <v>98</v>
      </c>
      <c r="CI254" s="80">
        <v>0</v>
      </c>
      <c r="CJ254" s="80">
        <v>0</v>
      </c>
      <c r="CK254" s="80">
        <v>0</v>
      </c>
      <c r="CL254" s="80">
        <v>3360</v>
      </c>
      <c r="CM254" s="80">
        <v>3164</v>
      </c>
      <c r="CN254" s="80">
        <v>1356</v>
      </c>
      <c r="CO254" s="80">
        <v>1808</v>
      </c>
      <c r="CP254" s="80">
        <v>0</v>
      </c>
      <c r="CQ254" s="80">
        <v>196</v>
      </c>
      <c r="CR254" s="80">
        <v>0</v>
      </c>
      <c r="CS254" s="80">
        <v>0</v>
      </c>
      <c r="CT254" s="80">
        <v>196</v>
      </c>
      <c r="CU254" s="80">
        <v>0</v>
      </c>
      <c r="CV254" s="80">
        <v>7</v>
      </c>
      <c r="CW254" s="80">
        <v>0</v>
      </c>
      <c r="CX254" s="80">
        <v>0</v>
      </c>
      <c r="CY254" s="80">
        <v>7</v>
      </c>
      <c r="CZ254" s="80">
        <v>1411</v>
      </c>
      <c r="DA254" s="80">
        <v>25</v>
      </c>
      <c r="DB254" s="80">
        <v>9</v>
      </c>
      <c r="DC254" s="80">
        <v>0</v>
      </c>
      <c r="DD254" s="80">
        <v>16</v>
      </c>
      <c r="DE254" s="80">
        <v>0</v>
      </c>
      <c r="DF254" s="80">
        <v>0</v>
      </c>
      <c r="DG254" s="80">
        <v>292</v>
      </c>
      <c r="DH254" s="80">
        <v>4</v>
      </c>
      <c r="DI254" s="80">
        <v>4</v>
      </c>
      <c r="DJ254" s="80">
        <v>0</v>
      </c>
      <c r="DK254" s="80">
        <v>0</v>
      </c>
      <c r="DL254" s="80">
        <v>0</v>
      </c>
      <c r="DM254" s="80">
        <v>288</v>
      </c>
      <c r="DN254" s="80">
        <v>181</v>
      </c>
      <c r="DO254" s="80">
        <v>0</v>
      </c>
      <c r="DP254" s="80">
        <v>27</v>
      </c>
      <c r="DQ254" s="80">
        <v>80</v>
      </c>
      <c r="DR254" s="80">
        <v>0</v>
      </c>
      <c r="DS254" s="80">
        <v>0</v>
      </c>
      <c r="DT254" s="80">
        <v>0</v>
      </c>
      <c r="DU254" s="80">
        <v>0</v>
      </c>
      <c r="DV254" s="80">
        <v>0</v>
      </c>
      <c r="DW254" s="80">
        <v>1094</v>
      </c>
      <c r="DX254" s="80">
        <v>14392</v>
      </c>
      <c r="DY254" s="80">
        <v>10583</v>
      </c>
      <c r="DZ254" s="80">
        <v>9391</v>
      </c>
      <c r="EA254" s="80">
        <v>0</v>
      </c>
      <c r="EB254" s="80">
        <v>0</v>
      </c>
      <c r="EC254" s="80">
        <v>787</v>
      </c>
      <c r="ED254" s="80">
        <v>405</v>
      </c>
      <c r="EE254" s="80">
        <v>76</v>
      </c>
      <c r="EF254" s="80">
        <v>76</v>
      </c>
      <c r="EG254" s="80">
        <v>0</v>
      </c>
      <c r="EH254" s="80">
        <v>0</v>
      </c>
      <c r="EI254" s="80">
        <v>0</v>
      </c>
      <c r="EJ254" s="80">
        <v>0</v>
      </c>
      <c r="EK254" s="80">
        <v>87</v>
      </c>
      <c r="EL254" s="80">
        <v>0</v>
      </c>
      <c r="EM254" s="80">
        <v>7</v>
      </c>
      <c r="EN254" s="80">
        <v>80</v>
      </c>
      <c r="EO254" s="80">
        <v>3646</v>
      </c>
      <c r="EP254" s="80">
        <v>1863</v>
      </c>
      <c r="EQ254" s="80">
        <v>0</v>
      </c>
      <c r="ER254" s="80">
        <v>1838</v>
      </c>
      <c r="ES254" s="80">
        <v>325</v>
      </c>
      <c r="ET254" s="80">
        <v>1513</v>
      </c>
      <c r="EU254" s="80">
        <v>0</v>
      </c>
      <c r="EV254" s="80">
        <v>0</v>
      </c>
      <c r="EW254" s="80">
        <v>25</v>
      </c>
      <c r="EX254" s="80">
        <v>0</v>
      </c>
      <c r="EY254" s="80">
        <v>0</v>
      </c>
      <c r="EZ254" s="80">
        <v>0</v>
      </c>
      <c r="FA254" s="80">
        <v>0</v>
      </c>
      <c r="FB254" s="80">
        <v>0</v>
      </c>
      <c r="FC254" s="80">
        <v>0</v>
      </c>
      <c r="FD254" s="80">
        <v>1783</v>
      </c>
      <c r="FE254" s="80">
        <v>0</v>
      </c>
      <c r="FF254" s="80">
        <v>275</v>
      </c>
      <c r="FG254" s="80">
        <v>25</v>
      </c>
      <c r="FH254" s="80">
        <v>225</v>
      </c>
      <c r="FI254" s="80">
        <v>25</v>
      </c>
      <c r="FJ254" s="80">
        <v>0</v>
      </c>
      <c r="FK254" s="80">
        <v>0</v>
      </c>
      <c r="FL254" s="80">
        <v>0</v>
      </c>
      <c r="FM254" s="80">
        <v>1</v>
      </c>
      <c r="FN254" s="80">
        <v>837</v>
      </c>
      <c r="FO254" s="80">
        <v>85</v>
      </c>
      <c r="FP254" s="80">
        <v>585</v>
      </c>
      <c r="FQ254" s="80">
        <v>14392</v>
      </c>
      <c r="FR254" s="80">
        <v>190</v>
      </c>
      <c r="FS254" s="80">
        <v>549</v>
      </c>
      <c r="FT254" s="100">
        <v>6698.0981417994763</v>
      </c>
      <c r="FU254" s="100"/>
      <c r="FV254" s="100">
        <v>2807</v>
      </c>
      <c r="FW254" s="67">
        <v>529</v>
      </c>
      <c r="FX254" s="100">
        <f t="shared" si="20"/>
        <v>-10573</v>
      </c>
      <c r="FY254" s="100">
        <f t="shared" si="21"/>
        <v>-13417</v>
      </c>
      <c r="FZ254" s="100">
        <v>9294.1510354747516</v>
      </c>
      <c r="GA254" s="67">
        <v>2844</v>
      </c>
      <c r="GB254" s="58">
        <f t="shared" si="18"/>
        <v>37</v>
      </c>
      <c r="GC254" s="67">
        <v>529</v>
      </c>
      <c r="GD254" s="100">
        <v>111</v>
      </c>
      <c r="GE254" s="100">
        <v>111</v>
      </c>
      <c r="GF254" s="58">
        <f t="shared" si="19"/>
        <v>0</v>
      </c>
      <c r="GG254" s="100">
        <v>-2980.3510000000006</v>
      </c>
      <c r="GH254" s="100">
        <v>-179.8210500000001</v>
      </c>
      <c r="GI254" s="100">
        <v>-6446.0583880010645</v>
      </c>
      <c r="GJ254" s="67">
        <f t="shared" si="22"/>
        <v>0</v>
      </c>
      <c r="GK254" s="67"/>
      <c r="GM254" s="96"/>
    </row>
    <row r="255" spans="1:195" ht="13.5" customHeight="1" x14ac:dyDescent="0.2">
      <c r="A255" s="74">
        <v>768</v>
      </c>
      <c r="B255" s="75" t="s">
        <v>175</v>
      </c>
      <c r="C255" s="75" t="s">
        <v>175</v>
      </c>
      <c r="D255" s="76"/>
      <c r="E255" s="77" t="s">
        <v>220</v>
      </c>
      <c r="F255" s="78">
        <v>2</v>
      </c>
      <c r="G255" s="79">
        <v>2724</v>
      </c>
      <c r="H255" s="80">
        <v>2882</v>
      </c>
      <c r="I255" s="80">
        <v>831</v>
      </c>
      <c r="J255" s="80">
        <v>990</v>
      </c>
      <c r="K255" s="80">
        <v>279</v>
      </c>
      <c r="L255" s="80">
        <v>782</v>
      </c>
      <c r="M255" s="80">
        <v>0</v>
      </c>
      <c r="N255" s="80">
        <v>0</v>
      </c>
      <c r="O255" s="80">
        <v>22048</v>
      </c>
      <c r="P255" s="80">
        <v>6506</v>
      </c>
      <c r="Q255" s="80">
        <v>4857</v>
      </c>
      <c r="R255" s="80">
        <v>1649</v>
      </c>
      <c r="S255" s="80">
        <v>1467</v>
      </c>
      <c r="T255" s="80">
        <v>182</v>
      </c>
      <c r="U255" s="80">
        <v>13335</v>
      </c>
      <c r="V255" s="80">
        <v>247</v>
      </c>
      <c r="W255" s="80">
        <v>755</v>
      </c>
      <c r="X255" s="80">
        <v>1205</v>
      </c>
      <c r="Y255" s="80">
        <v>-19166</v>
      </c>
      <c r="Z255" s="80">
        <v>8826</v>
      </c>
      <c r="AA255" s="80">
        <v>6722</v>
      </c>
      <c r="AB255" s="80">
        <v>936</v>
      </c>
      <c r="AC255" s="80">
        <v>1168</v>
      </c>
      <c r="AD255" s="80">
        <v>10762</v>
      </c>
      <c r="AE255" s="80">
        <v>56</v>
      </c>
      <c r="AF255" s="80">
        <v>6</v>
      </c>
      <c r="AG255" s="80">
        <v>101</v>
      </c>
      <c r="AH255" s="80">
        <v>100</v>
      </c>
      <c r="AI255" s="80">
        <v>51</v>
      </c>
      <c r="AJ255" s="80">
        <v>0</v>
      </c>
      <c r="AK255" s="80">
        <v>478</v>
      </c>
      <c r="AL255" s="80">
        <v>416</v>
      </c>
      <c r="AM255" s="80">
        <v>416</v>
      </c>
      <c r="AN255" s="80">
        <v>0</v>
      </c>
      <c r="AO255" s="80">
        <v>0</v>
      </c>
      <c r="AP255" s="80">
        <v>0</v>
      </c>
      <c r="AQ255" s="80">
        <v>0</v>
      </c>
      <c r="AR255" s="80">
        <v>62</v>
      </c>
      <c r="AS255" s="80">
        <v>5</v>
      </c>
      <c r="AT255" s="80">
        <v>0</v>
      </c>
      <c r="AU255" s="80">
        <v>0</v>
      </c>
      <c r="AV255" s="80">
        <v>67</v>
      </c>
      <c r="AW255" s="81"/>
      <c r="AX255" s="80">
        <v>478</v>
      </c>
      <c r="AY255" s="80">
        <v>478</v>
      </c>
      <c r="AZ255" s="80">
        <v>0</v>
      </c>
      <c r="BA255" s="80">
        <v>0</v>
      </c>
      <c r="BB255" s="80">
        <v>-322</v>
      </c>
      <c r="BC255" s="80">
        <v>414</v>
      </c>
      <c r="BD255" s="80">
        <v>0</v>
      </c>
      <c r="BE255" s="80">
        <v>92</v>
      </c>
      <c r="BF255" s="80">
        <v>156</v>
      </c>
      <c r="BG255" s="80">
        <v>-820</v>
      </c>
      <c r="BH255" s="80">
        <v>0</v>
      </c>
      <c r="BI255" s="80">
        <v>0</v>
      </c>
      <c r="BJ255" s="80">
        <v>0</v>
      </c>
      <c r="BK255" s="80">
        <v>-617</v>
      </c>
      <c r="BL255" s="80">
        <v>0</v>
      </c>
      <c r="BM255" s="80">
        <v>617</v>
      </c>
      <c r="BN255" s="80">
        <v>0</v>
      </c>
      <c r="BO255" s="80">
        <v>0</v>
      </c>
      <c r="BP255" s="80">
        <v>-203</v>
      </c>
      <c r="BQ255" s="80">
        <v>4</v>
      </c>
      <c r="BR255" s="80">
        <v>0</v>
      </c>
      <c r="BS255" s="80">
        <v>580</v>
      </c>
      <c r="BT255" s="80">
        <v>-787</v>
      </c>
      <c r="BU255" s="80">
        <v>-665</v>
      </c>
      <c r="BV255" s="80">
        <v>99</v>
      </c>
      <c r="BW255" s="80">
        <v>764</v>
      </c>
      <c r="BX255" s="81"/>
      <c r="BY255" s="80">
        <v>16392</v>
      </c>
      <c r="BZ255" s="80">
        <v>120</v>
      </c>
      <c r="CA255" s="80">
        <v>15</v>
      </c>
      <c r="CB255" s="80">
        <v>105</v>
      </c>
      <c r="CC255" s="80">
        <v>0</v>
      </c>
      <c r="CD255" s="80">
        <v>11223</v>
      </c>
      <c r="CE255" s="80">
        <v>1609</v>
      </c>
      <c r="CF255" s="80">
        <v>7905</v>
      </c>
      <c r="CG255" s="80">
        <v>1504</v>
      </c>
      <c r="CH255" s="80">
        <v>88</v>
      </c>
      <c r="CI255" s="80">
        <v>0</v>
      </c>
      <c r="CJ255" s="80">
        <v>0</v>
      </c>
      <c r="CK255" s="80">
        <v>117</v>
      </c>
      <c r="CL255" s="80">
        <v>5049</v>
      </c>
      <c r="CM255" s="80">
        <v>4966</v>
      </c>
      <c r="CN255" s="80">
        <v>1555</v>
      </c>
      <c r="CO255" s="80">
        <v>3411</v>
      </c>
      <c r="CP255" s="80">
        <v>0</v>
      </c>
      <c r="CQ255" s="80">
        <v>83</v>
      </c>
      <c r="CR255" s="80">
        <v>0</v>
      </c>
      <c r="CS255" s="80">
        <v>0</v>
      </c>
      <c r="CT255" s="80">
        <v>83</v>
      </c>
      <c r="CU255" s="80">
        <v>0</v>
      </c>
      <c r="CV255" s="80">
        <v>25</v>
      </c>
      <c r="CW255" s="80">
        <v>0</v>
      </c>
      <c r="CX255" s="80">
        <v>22</v>
      </c>
      <c r="CY255" s="80">
        <v>3</v>
      </c>
      <c r="CZ255" s="80">
        <v>672</v>
      </c>
      <c r="DA255" s="80">
        <v>8</v>
      </c>
      <c r="DB255" s="80">
        <v>0</v>
      </c>
      <c r="DC255" s="80">
        <v>0</v>
      </c>
      <c r="DD255" s="80">
        <v>8</v>
      </c>
      <c r="DE255" s="80">
        <v>0</v>
      </c>
      <c r="DF255" s="80">
        <v>0</v>
      </c>
      <c r="DG255" s="80">
        <v>565</v>
      </c>
      <c r="DH255" s="80">
        <v>0</v>
      </c>
      <c r="DI255" s="80">
        <v>0</v>
      </c>
      <c r="DJ255" s="80">
        <v>0</v>
      </c>
      <c r="DK255" s="80">
        <v>0</v>
      </c>
      <c r="DL255" s="80">
        <v>0</v>
      </c>
      <c r="DM255" s="80">
        <v>565</v>
      </c>
      <c r="DN255" s="80">
        <v>177</v>
      </c>
      <c r="DO255" s="80">
        <v>0</v>
      </c>
      <c r="DP255" s="80">
        <v>384</v>
      </c>
      <c r="DQ255" s="80">
        <v>4</v>
      </c>
      <c r="DR255" s="80">
        <v>0</v>
      </c>
      <c r="DS255" s="80">
        <v>0</v>
      </c>
      <c r="DT255" s="80">
        <v>0</v>
      </c>
      <c r="DU255" s="80">
        <v>0</v>
      </c>
      <c r="DV255" s="80">
        <v>0</v>
      </c>
      <c r="DW255" s="80">
        <v>99</v>
      </c>
      <c r="DX255" s="80">
        <v>17089</v>
      </c>
      <c r="DY255" s="80">
        <v>10170</v>
      </c>
      <c r="DZ255" s="80">
        <v>9397</v>
      </c>
      <c r="EA255" s="80">
        <v>0</v>
      </c>
      <c r="EB255" s="80">
        <v>0</v>
      </c>
      <c r="EC255" s="80">
        <v>706</v>
      </c>
      <c r="ED255" s="80">
        <v>67</v>
      </c>
      <c r="EE255" s="80">
        <v>115</v>
      </c>
      <c r="EF255" s="80">
        <v>115</v>
      </c>
      <c r="EG255" s="80">
        <v>0</v>
      </c>
      <c r="EH255" s="80">
        <v>0</v>
      </c>
      <c r="EI255" s="80">
        <v>0</v>
      </c>
      <c r="EJ255" s="80">
        <v>0</v>
      </c>
      <c r="EK255" s="80">
        <v>42</v>
      </c>
      <c r="EL255" s="80">
        <v>0</v>
      </c>
      <c r="EM255" s="80">
        <v>21</v>
      </c>
      <c r="EN255" s="80">
        <v>21</v>
      </c>
      <c r="EO255" s="80">
        <v>6762</v>
      </c>
      <c r="EP255" s="80">
        <v>3666</v>
      </c>
      <c r="EQ255" s="80">
        <v>0</v>
      </c>
      <c r="ER255" s="80">
        <v>3652</v>
      </c>
      <c r="ES255" s="80">
        <v>0</v>
      </c>
      <c r="ET255" s="80">
        <v>3652</v>
      </c>
      <c r="EU255" s="80">
        <v>0</v>
      </c>
      <c r="EV255" s="80">
        <v>0</v>
      </c>
      <c r="EW255" s="80">
        <v>0</v>
      </c>
      <c r="EX255" s="80">
        <v>0</v>
      </c>
      <c r="EY255" s="80">
        <v>0</v>
      </c>
      <c r="EZ255" s="80">
        <v>0</v>
      </c>
      <c r="FA255" s="80">
        <v>14</v>
      </c>
      <c r="FB255" s="80">
        <v>0</v>
      </c>
      <c r="FC255" s="80">
        <v>0</v>
      </c>
      <c r="FD255" s="80">
        <v>3096</v>
      </c>
      <c r="FE255" s="80">
        <v>0</v>
      </c>
      <c r="FF255" s="80">
        <v>617</v>
      </c>
      <c r="FG255" s="80">
        <v>0</v>
      </c>
      <c r="FH255" s="80">
        <v>617</v>
      </c>
      <c r="FI255" s="80">
        <v>0</v>
      </c>
      <c r="FJ255" s="80">
        <v>0</v>
      </c>
      <c r="FK255" s="80">
        <v>0</v>
      </c>
      <c r="FL255" s="80">
        <v>0</v>
      </c>
      <c r="FM255" s="80">
        <v>104</v>
      </c>
      <c r="FN255" s="80">
        <v>1482</v>
      </c>
      <c r="FO255" s="80">
        <v>185</v>
      </c>
      <c r="FP255" s="80">
        <v>708</v>
      </c>
      <c r="FQ255" s="80">
        <v>17089</v>
      </c>
      <c r="FR255" s="80">
        <v>714</v>
      </c>
      <c r="FS255" s="80">
        <v>652</v>
      </c>
      <c r="FT255" s="100">
        <v>8039.2486459412657</v>
      </c>
      <c r="FU255" s="100"/>
      <c r="FV255" s="100">
        <v>2041</v>
      </c>
      <c r="FW255" s="67">
        <v>337</v>
      </c>
      <c r="FX255" s="100">
        <f t="shared" si="20"/>
        <v>-15724</v>
      </c>
      <c r="FY255" s="100">
        <f t="shared" si="21"/>
        <v>-18750</v>
      </c>
      <c r="FZ255" s="100">
        <v>13370.540056129235</v>
      </c>
      <c r="GA255" s="67">
        <v>3026</v>
      </c>
      <c r="GB255" s="58">
        <f t="shared" si="18"/>
        <v>985</v>
      </c>
      <c r="GC255" s="67">
        <v>416</v>
      </c>
      <c r="GD255" s="100">
        <v>928</v>
      </c>
      <c r="GE255" s="100">
        <v>294</v>
      </c>
      <c r="GF255" s="58">
        <f t="shared" si="19"/>
        <v>634</v>
      </c>
      <c r="GG255" s="100">
        <v>-3686.8839999999996</v>
      </c>
      <c r="GH255" s="100">
        <v>-352.58935000000008</v>
      </c>
      <c r="GI255" s="100">
        <v>-9710.4849616687879</v>
      </c>
      <c r="GJ255" s="67">
        <f t="shared" si="22"/>
        <v>79</v>
      </c>
      <c r="GK255" s="67"/>
      <c r="GM255" s="96"/>
    </row>
    <row r="256" spans="1:195" ht="13.5" customHeight="1" x14ac:dyDescent="0.2">
      <c r="A256" s="74">
        <v>777</v>
      </c>
      <c r="B256" s="75" t="s">
        <v>176</v>
      </c>
      <c r="C256" s="75" t="s">
        <v>176</v>
      </c>
      <c r="D256" s="76"/>
      <c r="E256" s="77" t="s">
        <v>234</v>
      </c>
      <c r="F256" s="78">
        <v>3</v>
      </c>
      <c r="G256" s="79">
        <v>8336</v>
      </c>
      <c r="H256" s="80">
        <v>8680</v>
      </c>
      <c r="I256" s="80">
        <v>3404</v>
      </c>
      <c r="J256" s="80">
        <v>803</v>
      </c>
      <c r="K256" s="80">
        <v>853</v>
      </c>
      <c r="L256" s="80">
        <v>3620</v>
      </c>
      <c r="M256" s="80">
        <v>0</v>
      </c>
      <c r="N256" s="80">
        <v>0</v>
      </c>
      <c r="O256" s="80">
        <v>65847</v>
      </c>
      <c r="P256" s="80">
        <v>16276</v>
      </c>
      <c r="Q256" s="80">
        <v>11479</v>
      </c>
      <c r="R256" s="80">
        <v>4797</v>
      </c>
      <c r="S256" s="80">
        <v>4218</v>
      </c>
      <c r="T256" s="80">
        <v>579</v>
      </c>
      <c r="U256" s="80">
        <v>44130</v>
      </c>
      <c r="V256" s="80">
        <v>3651</v>
      </c>
      <c r="W256" s="80">
        <v>1258</v>
      </c>
      <c r="X256" s="80">
        <v>532</v>
      </c>
      <c r="Y256" s="80">
        <v>-57167</v>
      </c>
      <c r="Z256" s="80">
        <v>27383</v>
      </c>
      <c r="AA256" s="80">
        <v>21961</v>
      </c>
      <c r="AB256" s="80">
        <v>2942</v>
      </c>
      <c r="AC256" s="80">
        <v>2480</v>
      </c>
      <c r="AD256" s="80">
        <v>32947</v>
      </c>
      <c r="AE256" s="80">
        <v>1067</v>
      </c>
      <c r="AF256" s="80">
        <v>28</v>
      </c>
      <c r="AG256" s="80">
        <v>1683</v>
      </c>
      <c r="AH256" s="80">
        <v>0</v>
      </c>
      <c r="AI256" s="80">
        <v>137</v>
      </c>
      <c r="AJ256" s="80">
        <v>507</v>
      </c>
      <c r="AK256" s="80">
        <v>4230</v>
      </c>
      <c r="AL256" s="80">
        <v>3220</v>
      </c>
      <c r="AM256" s="80">
        <v>3220</v>
      </c>
      <c r="AN256" s="80">
        <v>0</v>
      </c>
      <c r="AO256" s="80">
        <v>0</v>
      </c>
      <c r="AP256" s="80">
        <v>0</v>
      </c>
      <c r="AQ256" s="80">
        <v>0</v>
      </c>
      <c r="AR256" s="80">
        <v>1010</v>
      </c>
      <c r="AS256" s="80">
        <v>0</v>
      </c>
      <c r="AT256" s="80">
        <v>0</v>
      </c>
      <c r="AU256" s="80">
        <v>8</v>
      </c>
      <c r="AV256" s="80">
        <v>1018</v>
      </c>
      <c r="AW256" s="81"/>
      <c r="AX256" s="80">
        <v>4197</v>
      </c>
      <c r="AY256" s="80">
        <v>4230</v>
      </c>
      <c r="AZ256" s="80">
        <v>0</v>
      </c>
      <c r="BA256" s="80">
        <v>-33</v>
      </c>
      <c r="BB256" s="80">
        <v>-7416</v>
      </c>
      <c r="BC256" s="80">
        <v>7523</v>
      </c>
      <c r="BD256" s="80">
        <v>49</v>
      </c>
      <c r="BE256" s="80">
        <v>58</v>
      </c>
      <c r="BF256" s="80">
        <v>-3219</v>
      </c>
      <c r="BG256" s="80">
        <v>1294</v>
      </c>
      <c r="BH256" s="80">
        <v>0</v>
      </c>
      <c r="BI256" s="80">
        <v>0</v>
      </c>
      <c r="BJ256" s="80">
        <v>0</v>
      </c>
      <c r="BK256" s="80">
        <v>-1339</v>
      </c>
      <c r="BL256" s="80">
        <v>0</v>
      </c>
      <c r="BM256" s="80">
        <v>1339</v>
      </c>
      <c r="BN256" s="80">
        <v>0</v>
      </c>
      <c r="BO256" s="80">
        <v>0</v>
      </c>
      <c r="BP256" s="80">
        <v>2633</v>
      </c>
      <c r="BQ256" s="80">
        <v>1</v>
      </c>
      <c r="BR256" s="80">
        <v>-40</v>
      </c>
      <c r="BS256" s="80">
        <v>2164</v>
      </c>
      <c r="BT256" s="80">
        <v>508</v>
      </c>
      <c r="BU256" s="80">
        <v>-1924</v>
      </c>
      <c r="BV256" s="80">
        <v>11412</v>
      </c>
      <c r="BW256" s="80">
        <v>13336</v>
      </c>
      <c r="BX256" s="81"/>
      <c r="BY256" s="80">
        <v>61356</v>
      </c>
      <c r="BZ256" s="80">
        <v>33</v>
      </c>
      <c r="CA256" s="80">
        <v>10</v>
      </c>
      <c r="CB256" s="80">
        <v>23</v>
      </c>
      <c r="CC256" s="80">
        <v>0</v>
      </c>
      <c r="CD256" s="80">
        <v>51145</v>
      </c>
      <c r="CE256" s="80">
        <v>6382</v>
      </c>
      <c r="CF256" s="80">
        <v>34544</v>
      </c>
      <c r="CG256" s="80">
        <v>8552</v>
      </c>
      <c r="CH256" s="80">
        <v>671</v>
      </c>
      <c r="CI256" s="80">
        <v>0</v>
      </c>
      <c r="CJ256" s="80">
        <v>0</v>
      </c>
      <c r="CK256" s="80">
        <v>996</v>
      </c>
      <c r="CL256" s="80">
        <v>10178</v>
      </c>
      <c r="CM256" s="80">
        <v>9295</v>
      </c>
      <c r="CN256" s="80">
        <v>1824</v>
      </c>
      <c r="CO256" s="80">
        <v>7471</v>
      </c>
      <c r="CP256" s="80">
        <v>0</v>
      </c>
      <c r="CQ256" s="80">
        <v>883</v>
      </c>
      <c r="CR256" s="80">
        <v>0</v>
      </c>
      <c r="CS256" s="80">
        <v>0</v>
      </c>
      <c r="CT256" s="80">
        <v>883</v>
      </c>
      <c r="CU256" s="80">
        <v>0</v>
      </c>
      <c r="CV256" s="80">
        <v>0</v>
      </c>
      <c r="CW256" s="80">
        <v>0</v>
      </c>
      <c r="CX256" s="80">
        <v>0</v>
      </c>
      <c r="CY256" s="80">
        <v>0</v>
      </c>
      <c r="CZ256" s="80">
        <v>14294</v>
      </c>
      <c r="DA256" s="80">
        <v>40</v>
      </c>
      <c r="DB256" s="80">
        <v>40</v>
      </c>
      <c r="DC256" s="80">
        <v>0</v>
      </c>
      <c r="DD256" s="80">
        <v>0</v>
      </c>
      <c r="DE256" s="80">
        <v>0</v>
      </c>
      <c r="DF256" s="80">
        <v>0</v>
      </c>
      <c r="DG256" s="80">
        <v>2842</v>
      </c>
      <c r="DH256" s="80">
        <v>1434</v>
      </c>
      <c r="DI256" s="80">
        <v>554</v>
      </c>
      <c r="DJ256" s="80">
        <v>880</v>
      </c>
      <c r="DK256" s="80">
        <v>0</v>
      </c>
      <c r="DL256" s="80">
        <v>0</v>
      </c>
      <c r="DM256" s="80">
        <v>1408</v>
      </c>
      <c r="DN256" s="80">
        <v>777</v>
      </c>
      <c r="DO256" s="80">
        <v>0</v>
      </c>
      <c r="DP256" s="80">
        <v>378</v>
      </c>
      <c r="DQ256" s="80">
        <v>253</v>
      </c>
      <c r="DR256" s="80">
        <v>9325</v>
      </c>
      <c r="DS256" s="80">
        <v>0</v>
      </c>
      <c r="DT256" s="80">
        <v>9325</v>
      </c>
      <c r="DU256" s="80">
        <v>0</v>
      </c>
      <c r="DV256" s="80">
        <v>0</v>
      </c>
      <c r="DW256" s="80">
        <v>2087</v>
      </c>
      <c r="DX256" s="80">
        <v>75650</v>
      </c>
      <c r="DY256" s="80">
        <v>59025</v>
      </c>
      <c r="DZ256" s="80">
        <v>37224</v>
      </c>
      <c r="EA256" s="80">
        <v>0</v>
      </c>
      <c r="EB256" s="80">
        <v>4314</v>
      </c>
      <c r="EC256" s="80">
        <v>16469</v>
      </c>
      <c r="ED256" s="80">
        <v>1018</v>
      </c>
      <c r="EE256" s="80">
        <v>0</v>
      </c>
      <c r="EF256" s="80">
        <v>0</v>
      </c>
      <c r="EG256" s="80">
        <v>0</v>
      </c>
      <c r="EH256" s="80">
        <v>0</v>
      </c>
      <c r="EI256" s="80">
        <v>0</v>
      </c>
      <c r="EJ256" s="80">
        <v>0</v>
      </c>
      <c r="EK256" s="80">
        <v>32</v>
      </c>
      <c r="EL256" s="80">
        <v>0</v>
      </c>
      <c r="EM256" s="80">
        <v>32</v>
      </c>
      <c r="EN256" s="80">
        <v>0</v>
      </c>
      <c r="EO256" s="80">
        <v>16593</v>
      </c>
      <c r="EP256" s="80">
        <v>10763</v>
      </c>
      <c r="EQ256" s="80">
        <v>0</v>
      </c>
      <c r="ER256" s="80">
        <v>9312</v>
      </c>
      <c r="ES256" s="80">
        <v>0</v>
      </c>
      <c r="ET256" s="80">
        <v>9312</v>
      </c>
      <c r="EU256" s="80">
        <v>0</v>
      </c>
      <c r="EV256" s="80">
        <v>0</v>
      </c>
      <c r="EW256" s="80">
        <v>720</v>
      </c>
      <c r="EX256" s="80">
        <v>0</v>
      </c>
      <c r="EY256" s="80">
        <v>0</v>
      </c>
      <c r="EZ256" s="80">
        <v>0</v>
      </c>
      <c r="FA256" s="80">
        <v>731</v>
      </c>
      <c r="FB256" s="80">
        <v>0</v>
      </c>
      <c r="FC256" s="80">
        <v>0</v>
      </c>
      <c r="FD256" s="80">
        <v>5830</v>
      </c>
      <c r="FE256" s="80">
        <v>0</v>
      </c>
      <c r="FF256" s="80">
        <v>909</v>
      </c>
      <c r="FG256" s="80">
        <v>0</v>
      </c>
      <c r="FH256" s="80">
        <v>909</v>
      </c>
      <c r="FI256" s="80">
        <v>0</v>
      </c>
      <c r="FJ256" s="80">
        <v>0</v>
      </c>
      <c r="FK256" s="80">
        <v>118</v>
      </c>
      <c r="FL256" s="80">
        <v>0</v>
      </c>
      <c r="FM256" s="80">
        <v>98</v>
      </c>
      <c r="FN256" s="80">
        <v>1655</v>
      </c>
      <c r="FO256" s="80">
        <v>212</v>
      </c>
      <c r="FP256" s="80">
        <v>2838</v>
      </c>
      <c r="FQ256" s="80">
        <v>75650</v>
      </c>
      <c r="FR256" s="80">
        <v>1461</v>
      </c>
      <c r="FS256" s="80">
        <v>1285</v>
      </c>
      <c r="FT256" s="100">
        <v>30220.759094946028</v>
      </c>
      <c r="FU256" s="100"/>
      <c r="FV256" s="100">
        <v>12834</v>
      </c>
      <c r="FW256" s="67">
        <v>3220</v>
      </c>
      <c r="FX256" s="100">
        <f t="shared" si="20"/>
        <v>-40846</v>
      </c>
      <c r="FY256" s="100">
        <f t="shared" si="21"/>
        <v>-53947</v>
      </c>
      <c r="FZ256" s="100">
        <v>38051.970197259565</v>
      </c>
      <c r="GA256" s="67">
        <v>13101</v>
      </c>
      <c r="GB256" s="58">
        <f t="shared" si="18"/>
        <v>267</v>
      </c>
      <c r="GC256" s="67">
        <v>3220</v>
      </c>
      <c r="GD256" s="100">
        <v>1036</v>
      </c>
      <c r="GE256" s="100">
        <v>828</v>
      </c>
      <c r="GF256" s="58">
        <f t="shared" si="19"/>
        <v>208</v>
      </c>
      <c r="GG256" s="100">
        <v>-12853.578</v>
      </c>
      <c r="GH256" s="100">
        <v>-828.78515000000039</v>
      </c>
      <c r="GI256" s="100">
        <v>-25129.768277869891</v>
      </c>
      <c r="GJ256" s="67">
        <f t="shared" si="22"/>
        <v>0</v>
      </c>
      <c r="GK256" s="67"/>
      <c r="GM256" s="96"/>
    </row>
    <row r="257" spans="1:195" ht="13.5" customHeight="1" x14ac:dyDescent="0.2">
      <c r="A257" s="74">
        <v>778</v>
      </c>
      <c r="B257" s="75" t="s">
        <v>177</v>
      </c>
      <c r="C257" s="75" t="s">
        <v>177</v>
      </c>
      <c r="D257" s="76"/>
      <c r="E257" s="77" t="s">
        <v>239</v>
      </c>
      <c r="F257" s="78">
        <v>3</v>
      </c>
      <c r="G257" s="79">
        <v>7390</v>
      </c>
      <c r="H257" s="80">
        <v>7801</v>
      </c>
      <c r="I257" s="80">
        <v>1841</v>
      </c>
      <c r="J257" s="80">
        <v>2400</v>
      </c>
      <c r="K257" s="80">
        <v>724</v>
      </c>
      <c r="L257" s="80">
        <v>2836</v>
      </c>
      <c r="M257" s="80">
        <v>0</v>
      </c>
      <c r="N257" s="80">
        <v>67</v>
      </c>
      <c r="O257" s="80">
        <v>51459</v>
      </c>
      <c r="P257" s="80">
        <v>17188</v>
      </c>
      <c r="Q257" s="80">
        <v>13012</v>
      </c>
      <c r="R257" s="80">
        <v>4176</v>
      </c>
      <c r="S257" s="80">
        <v>3412</v>
      </c>
      <c r="T257" s="80">
        <v>764</v>
      </c>
      <c r="U257" s="80">
        <v>28587</v>
      </c>
      <c r="V257" s="80">
        <v>2388</v>
      </c>
      <c r="W257" s="80">
        <v>2653</v>
      </c>
      <c r="X257" s="80">
        <v>643</v>
      </c>
      <c r="Y257" s="80">
        <v>-43591</v>
      </c>
      <c r="Z257" s="80">
        <v>24717</v>
      </c>
      <c r="AA257" s="80">
        <v>21377</v>
      </c>
      <c r="AB257" s="80">
        <v>1666</v>
      </c>
      <c r="AC257" s="80">
        <v>1674</v>
      </c>
      <c r="AD257" s="80">
        <v>22979</v>
      </c>
      <c r="AE257" s="80">
        <v>163</v>
      </c>
      <c r="AF257" s="80">
        <v>199</v>
      </c>
      <c r="AG257" s="80">
        <v>596</v>
      </c>
      <c r="AH257" s="80">
        <v>490</v>
      </c>
      <c r="AI257" s="80">
        <v>632</v>
      </c>
      <c r="AJ257" s="80">
        <v>0</v>
      </c>
      <c r="AK257" s="80">
        <v>4268</v>
      </c>
      <c r="AL257" s="80">
        <v>3061</v>
      </c>
      <c r="AM257" s="80">
        <v>3061</v>
      </c>
      <c r="AN257" s="80">
        <v>0</v>
      </c>
      <c r="AO257" s="80">
        <v>298</v>
      </c>
      <c r="AP257" s="80">
        <v>298</v>
      </c>
      <c r="AQ257" s="80">
        <v>0</v>
      </c>
      <c r="AR257" s="80">
        <v>1505</v>
      </c>
      <c r="AS257" s="80">
        <v>0</v>
      </c>
      <c r="AT257" s="80">
        <v>0</v>
      </c>
      <c r="AU257" s="80">
        <v>0</v>
      </c>
      <c r="AV257" s="80">
        <v>1505</v>
      </c>
      <c r="AW257" s="81"/>
      <c r="AX257" s="80">
        <v>4205</v>
      </c>
      <c r="AY257" s="80">
        <v>4268</v>
      </c>
      <c r="AZ257" s="80">
        <v>298</v>
      </c>
      <c r="BA257" s="80">
        <v>-361</v>
      </c>
      <c r="BB257" s="80">
        <v>31</v>
      </c>
      <c r="BC257" s="80">
        <v>1656</v>
      </c>
      <c r="BD257" s="80">
        <v>151</v>
      </c>
      <c r="BE257" s="80">
        <v>1536</v>
      </c>
      <c r="BF257" s="80">
        <v>4236</v>
      </c>
      <c r="BG257" s="80">
        <v>-4346</v>
      </c>
      <c r="BH257" s="80">
        <v>72</v>
      </c>
      <c r="BI257" s="80">
        <v>0</v>
      </c>
      <c r="BJ257" s="80">
        <v>72</v>
      </c>
      <c r="BK257" s="80">
        <v>-2461</v>
      </c>
      <c r="BL257" s="80">
        <v>0</v>
      </c>
      <c r="BM257" s="80">
        <v>2461</v>
      </c>
      <c r="BN257" s="80">
        <v>0</v>
      </c>
      <c r="BO257" s="80">
        <v>0</v>
      </c>
      <c r="BP257" s="80">
        <v>-1957</v>
      </c>
      <c r="BQ257" s="80">
        <v>1</v>
      </c>
      <c r="BR257" s="80">
        <v>9</v>
      </c>
      <c r="BS257" s="80">
        <v>426</v>
      </c>
      <c r="BT257" s="80">
        <v>-2393</v>
      </c>
      <c r="BU257" s="80">
        <v>-109</v>
      </c>
      <c r="BV257" s="80">
        <v>1770</v>
      </c>
      <c r="BW257" s="80">
        <v>1879</v>
      </c>
      <c r="BX257" s="81"/>
      <c r="BY257" s="80">
        <v>59562</v>
      </c>
      <c r="BZ257" s="80">
        <v>716</v>
      </c>
      <c r="CA257" s="80">
        <v>86</v>
      </c>
      <c r="CB257" s="80">
        <v>630</v>
      </c>
      <c r="CC257" s="80">
        <v>0</v>
      </c>
      <c r="CD257" s="80">
        <v>43919</v>
      </c>
      <c r="CE257" s="80">
        <v>7343</v>
      </c>
      <c r="CF257" s="80">
        <v>31339</v>
      </c>
      <c r="CG257" s="80">
        <v>4305</v>
      </c>
      <c r="CH257" s="80">
        <v>470</v>
      </c>
      <c r="CI257" s="80">
        <v>93</v>
      </c>
      <c r="CJ257" s="80">
        <v>11</v>
      </c>
      <c r="CK257" s="80">
        <v>369</v>
      </c>
      <c r="CL257" s="80">
        <v>14927</v>
      </c>
      <c r="CM257" s="80">
        <v>9892</v>
      </c>
      <c r="CN257" s="80">
        <v>4678</v>
      </c>
      <c r="CO257" s="80">
        <v>5214</v>
      </c>
      <c r="CP257" s="80">
        <v>0</v>
      </c>
      <c r="CQ257" s="80">
        <v>4921</v>
      </c>
      <c r="CR257" s="80">
        <v>0</v>
      </c>
      <c r="CS257" s="80">
        <v>0</v>
      </c>
      <c r="CT257" s="80">
        <v>4921</v>
      </c>
      <c r="CU257" s="80">
        <v>114</v>
      </c>
      <c r="CV257" s="80">
        <v>2</v>
      </c>
      <c r="CW257" s="80">
        <v>2</v>
      </c>
      <c r="CX257" s="80">
        <v>0</v>
      </c>
      <c r="CY257" s="80">
        <v>0</v>
      </c>
      <c r="CZ257" s="80">
        <v>4764</v>
      </c>
      <c r="DA257" s="80">
        <v>0</v>
      </c>
      <c r="DB257" s="80">
        <v>0</v>
      </c>
      <c r="DC257" s="80">
        <v>0</v>
      </c>
      <c r="DD257" s="80">
        <v>0</v>
      </c>
      <c r="DE257" s="80">
        <v>0</v>
      </c>
      <c r="DF257" s="80">
        <v>0</v>
      </c>
      <c r="DG257" s="80">
        <v>2994</v>
      </c>
      <c r="DH257" s="80">
        <v>1326</v>
      </c>
      <c r="DI257" s="80">
        <v>0</v>
      </c>
      <c r="DJ257" s="80">
        <v>0</v>
      </c>
      <c r="DK257" s="80">
        <v>1326</v>
      </c>
      <c r="DL257" s="80">
        <v>0</v>
      </c>
      <c r="DM257" s="80">
        <v>1668</v>
      </c>
      <c r="DN257" s="80">
        <v>504</v>
      </c>
      <c r="DO257" s="80">
        <v>0</v>
      </c>
      <c r="DP257" s="80">
        <v>1082</v>
      </c>
      <c r="DQ257" s="80">
        <v>82</v>
      </c>
      <c r="DR257" s="80">
        <v>0</v>
      </c>
      <c r="DS257" s="80">
        <v>0</v>
      </c>
      <c r="DT257" s="80">
        <v>0</v>
      </c>
      <c r="DU257" s="80">
        <v>0</v>
      </c>
      <c r="DV257" s="80">
        <v>0</v>
      </c>
      <c r="DW257" s="80">
        <v>1770</v>
      </c>
      <c r="DX257" s="80">
        <v>64328</v>
      </c>
      <c r="DY257" s="80">
        <v>27193</v>
      </c>
      <c r="DZ257" s="80">
        <v>26731</v>
      </c>
      <c r="EA257" s="80">
        <v>127</v>
      </c>
      <c r="EB257" s="80">
        <v>0</v>
      </c>
      <c r="EC257" s="80">
        <v>-1170</v>
      </c>
      <c r="ED257" s="80">
        <v>1505</v>
      </c>
      <c r="EE257" s="80">
        <v>0</v>
      </c>
      <c r="EF257" s="80">
        <v>0</v>
      </c>
      <c r="EG257" s="80">
        <v>0</v>
      </c>
      <c r="EH257" s="80">
        <v>0</v>
      </c>
      <c r="EI257" s="80">
        <v>0</v>
      </c>
      <c r="EJ257" s="80">
        <v>0</v>
      </c>
      <c r="EK257" s="80">
        <v>14</v>
      </c>
      <c r="EL257" s="80">
        <v>2</v>
      </c>
      <c r="EM257" s="80">
        <v>0</v>
      </c>
      <c r="EN257" s="80">
        <v>12</v>
      </c>
      <c r="EO257" s="80">
        <v>37121</v>
      </c>
      <c r="EP257" s="80">
        <v>30361</v>
      </c>
      <c r="EQ257" s="80">
        <v>0</v>
      </c>
      <c r="ER257" s="80">
        <v>30008</v>
      </c>
      <c r="ES257" s="80">
        <v>0</v>
      </c>
      <c r="ET257" s="80">
        <v>28328</v>
      </c>
      <c r="EU257" s="80">
        <v>1680</v>
      </c>
      <c r="EV257" s="80">
        <v>0</v>
      </c>
      <c r="EW257" s="80">
        <v>104</v>
      </c>
      <c r="EX257" s="80">
        <v>0</v>
      </c>
      <c r="EY257" s="80">
        <v>0</v>
      </c>
      <c r="EZ257" s="80">
        <v>0</v>
      </c>
      <c r="FA257" s="80">
        <v>249</v>
      </c>
      <c r="FB257" s="80">
        <v>0</v>
      </c>
      <c r="FC257" s="80">
        <v>0</v>
      </c>
      <c r="FD257" s="80">
        <v>6760</v>
      </c>
      <c r="FE257" s="80">
        <v>0</v>
      </c>
      <c r="FF257" s="80">
        <v>2526</v>
      </c>
      <c r="FG257" s="80">
        <v>0</v>
      </c>
      <c r="FH257" s="80">
        <v>2291</v>
      </c>
      <c r="FI257" s="80">
        <v>235</v>
      </c>
      <c r="FJ257" s="80">
        <v>0</v>
      </c>
      <c r="FK257" s="80">
        <v>104</v>
      </c>
      <c r="FL257" s="80">
        <v>0</v>
      </c>
      <c r="FM257" s="80">
        <v>0</v>
      </c>
      <c r="FN257" s="80">
        <v>1541</v>
      </c>
      <c r="FO257" s="80">
        <v>297</v>
      </c>
      <c r="FP257" s="80">
        <v>2292</v>
      </c>
      <c r="FQ257" s="80">
        <v>64328</v>
      </c>
      <c r="FR257" s="80">
        <v>20037</v>
      </c>
      <c r="FS257" s="80">
        <v>905</v>
      </c>
      <c r="FT257" s="100">
        <v>21124.994535648941</v>
      </c>
      <c r="FU257" s="100"/>
      <c r="FV257" s="100">
        <v>8167</v>
      </c>
      <c r="FW257" s="67">
        <v>2902</v>
      </c>
      <c r="FX257" s="100">
        <f t="shared" si="20"/>
        <v>-29416</v>
      </c>
      <c r="FY257" s="100">
        <f t="shared" si="21"/>
        <v>-40530</v>
      </c>
      <c r="FZ257" s="100">
        <v>31070.226113655295</v>
      </c>
      <c r="GA257" s="67">
        <v>11114</v>
      </c>
      <c r="GB257" s="58">
        <f t="shared" si="18"/>
        <v>2947</v>
      </c>
      <c r="GC257" s="67">
        <v>3060</v>
      </c>
      <c r="GD257" s="100">
        <v>2400</v>
      </c>
      <c r="GE257" s="100">
        <v>558</v>
      </c>
      <c r="GF257" s="58">
        <f t="shared" si="19"/>
        <v>1842</v>
      </c>
      <c r="GG257" s="100">
        <v>-11479.198</v>
      </c>
      <c r="GH257" s="100">
        <v>-512.17520000000025</v>
      </c>
      <c r="GI257" s="100">
        <v>-19304.708271764845</v>
      </c>
      <c r="GJ257" s="67">
        <f t="shared" si="22"/>
        <v>158</v>
      </c>
      <c r="GK257" s="67"/>
      <c r="GM257" s="96"/>
    </row>
    <row r="258" spans="1:195" ht="13.5" customHeight="1" x14ac:dyDescent="0.2">
      <c r="A258" s="74">
        <v>781</v>
      </c>
      <c r="B258" s="75" t="s">
        <v>178</v>
      </c>
      <c r="C258" s="75" t="s">
        <v>178</v>
      </c>
      <c r="D258" s="76"/>
      <c r="E258" s="77" t="s">
        <v>217</v>
      </c>
      <c r="F258" s="78">
        <v>2</v>
      </c>
      <c r="G258" s="79">
        <v>4040</v>
      </c>
      <c r="H258" s="80">
        <v>9507</v>
      </c>
      <c r="I258" s="80">
        <v>6685</v>
      </c>
      <c r="J258" s="80">
        <v>1028</v>
      </c>
      <c r="K258" s="80">
        <v>255</v>
      </c>
      <c r="L258" s="80">
        <v>1539</v>
      </c>
      <c r="M258" s="80">
        <v>0</v>
      </c>
      <c r="N258" s="80">
        <v>3</v>
      </c>
      <c r="O258" s="80">
        <v>33028</v>
      </c>
      <c r="P258" s="80">
        <v>10550</v>
      </c>
      <c r="Q258" s="80">
        <v>7630</v>
      </c>
      <c r="R258" s="80">
        <v>2920</v>
      </c>
      <c r="S258" s="80">
        <v>2444</v>
      </c>
      <c r="T258" s="80">
        <v>476</v>
      </c>
      <c r="U258" s="80">
        <v>19501</v>
      </c>
      <c r="V258" s="80">
        <v>1288</v>
      </c>
      <c r="W258" s="80">
        <v>743</v>
      </c>
      <c r="X258" s="80">
        <v>946</v>
      </c>
      <c r="Y258" s="80">
        <v>-23518</v>
      </c>
      <c r="Z258" s="80">
        <v>12442</v>
      </c>
      <c r="AA258" s="80">
        <v>9270</v>
      </c>
      <c r="AB258" s="80">
        <v>1269</v>
      </c>
      <c r="AC258" s="80">
        <v>1903</v>
      </c>
      <c r="AD258" s="80">
        <v>13829</v>
      </c>
      <c r="AE258" s="80">
        <v>89</v>
      </c>
      <c r="AF258" s="80">
        <v>101</v>
      </c>
      <c r="AG258" s="80">
        <v>23</v>
      </c>
      <c r="AH258" s="80">
        <v>14</v>
      </c>
      <c r="AI258" s="80">
        <v>14</v>
      </c>
      <c r="AJ258" s="80">
        <v>21</v>
      </c>
      <c r="AK258" s="80">
        <v>2842</v>
      </c>
      <c r="AL258" s="80">
        <v>930</v>
      </c>
      <c r="AM258" s="80">
        <v>930</v>
      </c>
      <c r="AN258" s="80">
        <v>0</v>
      </c>
      <c r="AO258" s="80">
        <v>0</v>
      </c>
      <c r="AP258" s="80">
        <v>0</v>
      </c>
      <c r="AQ258" s="80">
        <v>0</v>
      </c>
      <c r="AR258" s="80">
        <v>1912</v>
      </c>
      <c r="AS258" s="80">
        <v>-1307</v>
      </c>
      <c r="AT258" s="80">
        <v>-521</v>
      </c>
      <c r="AU258" s="80">
        <v>0</v>
      </c>
      <c r="AV258" s="80">
        <v>84</v>
      </c>
      <c r="AW258" s="81"/>
      <c r="AX258" s="80">
        <v>2189</v>
      </c>
      <c r="AY258" s="80">
        <v>2842</v>
      </c>
      <c r="AZ258" s="80">
        <v>0</v>
      </c>
      <c r="BA258" s="80">
        <v>-653</v>
      </c>
      <c r="BB258" s="80">
        <v>-1835</v>
      </c>
      <c r="BC258" s="80">
        <v>2796</v>
      </c>
      <c r="BD258" s="80">
        <v>680</v>
      </c>
      <c r="BE258" s="80">
        <v>281</v>
      </c>
      <c r="BF258" s="80">
        <v>354</v>
      </c>
      <c r="BG258" s="80">
        <v>-1106</v>
      </c>
      <c r="BH258" s="80">
        <v>1</v>
      </c>
      <c r="BI258" s="80">
        <v>0</v>
      </c>
      <c r="BJ258" s="80">
        <v>1</v>
      </c>
      <c r="BK258" s="80">
        <v>-296</v>
      </c>
      <c r="BL258" s="80">
        <v>0</v>
      </c>
      <c r="BM258" s="80">
        <v>296</v>
      </c>
      <c r="BN258" s="80">
        <v>0</v>
      </c>
      <c r="BO258" s="80">
        <v>0</v>
      </c>
      <c r="BP258" s="80">
        <v>-811</v>
      </c>
      <c r="BQ258" s="80">
        <v>0</v>
      </c>
      <c r="BR258" s="80">
        <v>0</v>
      </c>
      <c r="BS258" s="80">
        <v>-1084</v>
      </c>
      <c r="BT258" s="80">
        <v>273</v>
      </c>
      <c r="BU258" s="80">
        <v>-751</v>
      </c>
      <c r="BV258" s="80">
        <v>9096</v>
      </c>
      <c r="BW258" s="80">
        <v>9847</v>
      </c>
      <c r="BX258" s="81"/>
      <c r="BY258" s="80">
        <v>17605</v>
      </c>
      <c r="BZ258" s="80">
        <v>49</v>
      </c>
      <c r="CA258" s="80">
        <v>49</v>
      </c>
      <c r="CB258" s="80">
        <v>0</v>
      </c>
      <c r="CC258" s="80">
        <v>0</v>
      </c>
      <c r="CD258" s="80">
        <v>12330</v>
      </c>
      <c r="CE258" s="80">
        <v>2613</v>
      </c>
      <c r="CF258" s="80">
        <v>3490</v>
      </c>
      <c r="CG258" s="80">
        <v>5483</v>
      </c>
      <c r="CH258" s="80">
        <v>707</v>
      </c>
      <c r="CI258" s="80">
        <v>0</v>
      </c>
      <c r="CJ258" s="80">
        <v>0</v>
      </c>
      <c r="CK258" s="80">
        <v>37</v>
      </c>
      <c r="CL258" s="80">
        <v>5226</v>
      </c>
      <c r="CM258" s="80">
        <v>5175</v>
      </c>
      <c r="CN258" s="80">
        <v>2307</v>
      </c>
      <c r="CO258" s="80">
        <v>2868</v>
      </c>
      <c r="CP258" s="80">
        <v>0</v>
      </c>
      <c r="CQ258" s="80">
        <v>7</v>
      </c>
      <c r="CR258" s="80">
        <v>0</v>
      </c>
      <c r="CS258" s="80">
        <v>0</v>
      </c>
      <c r="CT258" s="80">
        <v>7</v>
      </c>
      <c r="CU258" s="80">
        <v>44</v>
      </c>
      <c r="CV258" s="80">
        <v>500</v>
      </c>
      <c r="CW258" s="80">
        <v>0</v>
      </c>
      <c r="CX258" s="80">
        <v>500</v>
      </c>
      <c r="CY258" s="80">
        <v>0</v>
      </c>
      <c r="CZ258" s="80">
        <v>11840</v>
      </c>
      <c r="DA258" s="80">
        <v>0</v>
      </c>
      <c r="DB258" s="80">
        <v>0</v>
      </c>
      <c r="DC258" s="80">
        <v>0</v>
      </c>
      <c r="DD258" s="80">
        <v>0</v>
      </c>
      <c r="DE258" s="80">
        <v>0</v>
      </c>
      <c r="DF258" s="80">
        <v>0</v>
      </c>
      <c r="DG258" s="80">
        <v>2744</v>
      </c>
      <c r="DH258" s="80">
        <v>583</v>
      </c>
      <c r="DI258" s="80">
        <v>0</v>
      </c>
      <c r="DJ258" s="80">
        <v>0</v>
      </c>
      <c r="DK258" s="80">
        <v>583</v>
      </c>
      <c r="DL258" s="80">
        <v>0</v>
      </c>
      <c r="DM258" s="80">
        <v>2161</v>
      </c>
      <c r="DN258" s="80">
        <v>512</v>
      </c>
      <c r="DO258" s="80">
        <v>81</v>
      </c>
      <c r="DP258" s="80">
        <v>765</v>
      </c>
      <c r="DQ258" s="80">
        <v>803</v>
      </c>
      <c r="DR258" s="80">
        <v>3668</v>
      </c>
      <c r="DS258" s="80">
        <v>174</v>
      </c>
      <c r="DT258" s="80">
        <v>3494</v>
      </c>
      <c r="DU258" s="80">
        <v>0</v>
      </c>
      <c r="DV258" s="80">
        <v>0</v>
      </c>
      <c r="DW258" s="80">
        <v>5428</v>
      </c>
      <c r="DX258" s="80">
        <v>29945</v>
      </c>
      <c r="DY258" s="80">
        <v>17721</v>
      </c>
      <c r="DZ258" s="80">
        <v>13445</v>
      </c>
      <c r="EA258" s="80">
        <v>0</v>
      </c>
      <c r="EB258" s="80">
        <v>0</v>
      </c>
      <c r="EC258" s="80">
        <v>4192</v>
      </c>
      <c r="ED258" s="80">
        <v>84</v>
      </c>
      <c r="EE258" s="80">
        <v>5236</v>
      </c>
      <c r="EF258" s="80">
        <v>2115</v>
      </c>
      <c r="EG258" s="80">
        <v>3121</v>
      </c>
      <c r="EH258" s="80">
        <v>921</v>
      </c>
      <c r="EI258" s="80">
        <v>0</v>
      </c>
      <c r="EJ258" s="80">
        <v>921</v>
      </c>
      <c r="EK258" s="80">
        <v>506</v>
      </c>
      <c r="EL258" s="80">
        <v>0</v>
      </c>
      <c r="EM258" s="80">
        <v>506</v>
      </c>
      <c r="EN258" s="80">
        <v>0</v>
      </c>
      <c r="EO258" s="80">
        <v>5560</v>
      </c>
      <c r="EP258" s="80">
        <v>962</v>
      </c>
      <c r="EQ258" s="80">
        <v>0</v>
      </c>
      <c r="ER258" s="80">
        <v>280</v>
      </c>
      <c r="ES258" s="80">
        <v>280</v>
      </c>
      <c r="ET258" s="80">
        <v>0</v>
      </c>
      <c r="EU258" s="80">
        <v>0</v>
      </c>
      <c r="EV258" s="80">
        <v>0</v>
      </c>
      <c r="EW258" s="80">
        <v>120</v>
      </c>
      <c r="EX258" s="80">
        <v>0</v>
      </c>
      <c r="EY258" s="80">
        <v>0</v>
      </c>
      <c r="EZ258" s="80">
        <v>0</v>
      </c>
      <c r="FA258" s="80">
        <v>562</v>
      </c>
      <c r="FB258" s="80">
        <v>0</v>
      </c>
      <c r="FC258" s="80">
        <v>0</v>
      </c>
      <c r="FD258" s="80">
        <v>4598</v>
      </c>
      <c r="FE258" s="80">
        <v>0</v>
      </c>
      <c r="FF258" s="80">
        <v>103</v>
      </c>
      <c r="FG258" s="80">
        <v>103</v>
      </c>
      <c r="FH258" s="80">
        <v>0</v>
      </c>
      <c r="FI258" s="80">
        <v>0</v>
      </c>
      <c r="FJ258" s="80">
        <v>0</v>
      </c>
      <c r="FK258" s="80">
        <v>14</v>
      </c>
      <c r="FL258" s="80">
        <v>0</v>
      </c>
      <c r="FM258" s="80">
        <v>52</v>
      </c>
      <c r="FN258" s="80">
        <v>2290</v>
      </c>
      <c r="FO258" s="80">
        <v>360</v>
      </c>
      <c r="FP258" s="80">
        <v>1779</v>
      </c>
      <c r="FQ258" s="80">
        <v>29944</v>
      </c>
      <c r="FR258" s="80">
        <v>765</v>
      </c>
      <c r="FS258" s="80">
        <v>157</v>
      </c>
      <c r="FT258" s="100">
        <v>19657.926066470834</v>
      </c>
      <c r="FU258" s="100"/>
      <c r="FV258" s="100">
        <v>11707</v>
      </c>
      <c r="FW258" s="67">
        <v>929</v>
      </c>
      <c r="FX258" s="100">
        <f t="shared" si="20"/>
        <v>-10881</v>
      </c>
      <c r="FY258" s="100">
        <f t="shared" si="21"/>
        <v>-22588</v>
      </c>
      <c r="FZ258" s="100">
        <v>15492.818295458312</v>
      </c>
      <c r="GA258" s="67">
        <v>11707</v>
      </c>
      <c r="GB258" s="58">
        <f t="shared" si="18"/>
        <v>0</v>
      </c>
      <c r="GC258" s="67">
        <v>929</v>
      </c>
      <c r="GD258" s="100">
        <v>1029</v>
      </c>
      <c r="GE258" s="100">
        <v>1029</v>
      </c>
      <c r="GF258" s="58">
        <f t="shared" si="19"/>
        <v>0</v>
      </c>
      <c r="GG258" s="100">
        <v>-5776.1050000000005</v>
      </c>
      <c r="GH258" s="100">
        <v>-422.25965000000014</v>
      </c>
      <c r="GI258" s="100">
        <v>-9482.8935865863277</v>
      </c>
      <c r="GJ258" s="67">
        <f t="shared" si="22"/>
        <v>0</v>
      </c>
      <c r="GK258" s="67"/>
      <c r="GM258" s="96"/>
    </row>
    <row r="259" spans="1:195" ht="13.5" customHeight="1" x14ac:dyDescent="0.2">
      <c r="A259" s="74">
        <v>783</v>
      </c>
      <c r="B259" s="75" t="s">
        <v>179</v>
      </c>
      <c r="C259" s="75" t="s">
        <v>179</v>
      </c>
      <c r="D259" s="76">
        <v>4</v>
      </c>
      <c r="E259" s="77" t="s">
        <v>224</v>
      </c>
      <c r="F259" s="78">
        <v>3</v>
      </c>
      <c r="G259" s="79">
        <v>7070</v>
      </c>
      <c r="H259" s="79">
        <v>6451</v>
      </c>
      <c r="I259" s="79">
        <v>3535</v>
      </c>
      <c r="J259" s="79">
        <v>1405</v>
      </c>
      <c r="K259" s="79">
        <v>568</v>
      </c>
      <c r="L259" s="79">
        <v>943</v>
      </c>
      <c r="M259" s="79">
        <v>0</v>
      </c>
      <c r="N259" s="79">
        <v>0</v>
      </c>
      <c r="O259" s="79">
        <v>44583</v>
      </c>
      <c r="P259" s="79">
        <v>14906</v>
      </c>
      <c r="Q259" s="79">
        <v>11392</v>
      </c>
      <c r="R259" s="79">
        <v>3514</v>
      </c>
      <c r="S259" s="79">
        <v>2954</v>
      </c>
      <c r="T259" s="79">
        <v>560</v>
      </c>
      <c r="U259" s="79">
        <v>24937</v>
      </c>
      <c r="V259" s="79">
        <v>2011</v>
      </c>
      <c r="W259" s="79">
        <v>2219</v>
      </c>
      <c r="X259" s="79">
        <v>510</v>
      </c>
      <c r="Y259" s="79">
        <v>-38132</v>
      </c>
      <c r="Z259" s="79">
        <v>27681</v>
      </c>
      <c r="AA259" s="79">
        <v>24159</v>
      </c>
      <c r="AB259" s="79">
        <v>1742</v>
      </c>
      <c r="AC259" s="79">
        <v>1780</v>
      </c>
      <c r="AD259" s="79">
        <v>11726</v>
      </c>
      <c r="AE259" s="79">
        <v>81</v>
      </c>
      <c r="AF259" s="79">
        <v>4</v>
      </c>
      <c r="AG259" s="79">
        <v>142</v>
      </c>
      <c r="AH259" s="79">
        <v>46</v>
      </c>
      <c r="AI259" s="79">
        <v>59</v>
      </c>
      <c r="AJ259" s="79">
        <v>6</v>
      </c>
      <c r="AK259" s="79">
        <v>1356</v>
      </c>
      <c r="AL259" s="79">
        <v>1892</v>
      </c>
      <c r="AM259" s="79">
        <v>1892</v>
      </c>
      <c r="AN259" s="79">
        <v>0</v>
      </c>
      <c r="AO259" s="79">
        <v>0</v>
      </c>
      <c r="AP259" s="79">
        <v>0</v>
      </c>
      <c r="AQ259" s="79">
        <v>0</v>
      </c>
      <c r="AR259" s="79">
        <v>-536</v>
      </c>
      <c r="AS259" s="79">
        <v>4</v>
      </c>
      <c r="AT259" s="79">
        <v>0</v>
      </c>
      <c r="AU259" s="79">
        <v>6</v>
      </c>
      <c r="AV259" s="79">
        <v>-526</v>
      </c>
      <c r="AW259" s="79"/>
      <c r="AX259" s="79">
        <v>980</v>
      </c>
      <c r="AY259" s="79">
        <v>1356</v>
      </c>
      <c r="AZ259" s="79">
        <v>0</v>
      </c>
      <c r="BA259" s="79">
        <v>-376</v>
      </c>
      <c r="BB259" s="79">
        <v>-2787</v>
      </c>
      <c r="BC259" s="79">
        <v>3443</v>
      </c>
      <c r="BD259" s="79">
        <v>100</v>
      </c>
      <c r="BE259" s="79">
        <v>556</v>
      </c>
      <c r="BF259" s="79">
        <v>-1807</v>
      </c>
      <c r="BG259" s="79">
        <v>2796</v>
      </c>
      <c r="BH259" s="79">
        <v>172</v>
      </c>
      <c r="BI259" s="79">
        <v>0</v>
      </c>
      <c r="BJ259" s="79">
        <v>172</v>
      </c>
      <c r="BK259" s="79">
        <v>1449</v>
      </c>
      <c r="BL259" s="79">
        <v>0</v>
      </c>
      <c r="BM259" s="79">
        <v>551</v>
      </c>
      <c r="BN259" s="79">
        <v>2000</v>
      </c>
      <c r="BO259" s="79">
        <v>0</v>
      </c>
      <c r="BP259" s="79">
        <v>1175</v>
      </c>
      <c r="BQ259" s="79">
        <v>-24</v>
      </c>
      <c r="BR259" s="79">
        <v>5</v>
      </c>
      <c r="BS259" s="79">
        <v>506</v>
      </c>
      <c r="BT259" s="79">
        <v>688</v>
      </c>
      <c r="BU259" s="79">
        <v>990</v>
      </c>
      <c r="BV259" s="79">
        <v>1374</v>
      </c>
      <c r="BW259" s="79">
        <v>384</v>
      </c>
      <c r="BX259" s="79"/>
      <c r="BY259" s="79">
        <v>31073</v>
      </c>
      <c r="BZ259" s="79">
        <v>882</v>
      </c>
      <c r="CA259" s="79">
        <v>55</v>
      </c>
      <c r="CB259" s="79">
        <v>827</v>
      </c>
      <c r="CC259" s="79">
        <v>0</v>
      </c>
      <c r="CD259" s="79">
        <v>23706</v>
      </c>
      <c r="CE259" s="79">
        <v>4379</v>
      </c>
      <c r="CF259" s="79">
        <v>10418</v>
      </c>
      <c r="CG259" s="79">
        <v>7096</v>
      </c>
      <c r="CH259" s="79">
        <v>407</v>
      </c>
      <c r="CI259" s="79">
        <v>3</v>
      </c>
      <c r="CJ259" s="79">
        <v>3</v>
      </c>
      <c r="CK259" s="79">
        <v>1403</v>
      </c>
      <c r="CL259" s="79">
        <v>6485</v>
      </c>
      <c r="CM259" s="79">
        <v>6136</v>
      </c>
      <c r="CN259" s="79">
        <v>4529</v>
      </c>
      <c r="CO259" s="79">
        <v>1607</v>
      </c>
      <c r="CP259" s="79">
        <v>0</v>
      </c>
      <c r="CQ259" s="79">
        <v>349</v>
      </c>
      <c r="CR259" s="79">
        <v>0</v>
      </c>
      <c r="CS259" s="79">
        <v>1</v>
      </c>
      <c r="CT259" s="79">
        <v>348</v>
      </c>
      <c r="CU259" s="79">
        <v>0</v>
      </c>
      <c r="CV259" s="79">
        <v>42</v>
      </c>
      <c r="CW259" s="79">
        <v>28</v>
      </c>
      <c r="CX259" s="79">
        <v>0</v>
      </c>
      <c r="CY259" s="79">
        <v>14</v>
      </c>
      <c r="CZ259" s="79">
        <v>5220</v>
      </c>
      <c r="DA259" s="79">
        <v>99</v>
      </c>
      <c r="DB259" s="79">
        <v>63</v>
      </c>
      <c r="DC259" s="79">
        <v>0</v>
      </c>
      <c r="DD259" s="79">
        <v>36</v>
      </c>
      <c r="DE259" s="79">
        <v>0</v>
      </c>
      <c r="DF259" s="79">
        <v>0</v>
      </c>
      <c r="DG259" s="79">
        <v>3747</v>
      </c>
      <c r="DH259" s="79">
        <v>1627</v>
      </c>
      <c r="DI259" s="79">
        <v>0</v>
      </c>
      <c r="DJ259" s="79">
        <v>1222</v>
      </c>
      <c r="DK259" s="79">
        <v>405</v>
      </c>
      <c r="DL259" s="79">
        <v>0</v>
      </c>
      <c r="DM259" s="79">
        <v>2120</v>
      </c>
      <c r="DN259" s="79">
        <v>589</v>
      </c>
      <c r="DO259" s="79">
        <v>32</v>
      </c>
      <c r="DP259" s="79">
        <v>520</v>
      </c>
      <c r="DQ259" s="79">
        <v>979</v>
      </c>
      <c r="DR259" s="79">
        <v>0</v>
      </c>
      <c r="DS259" s="79">
        <v>0</v>
      </c>
      <c r="DT259" s="79">
        <v>0</v>
      </c>
      <c r="DU259" s="79">
        <v>0</v>
      </c>
      <c r="DV259" s="79">
        <v>0</v>
      </c>
      <c r="DW259" s="79">
        <v>1374</v>
      </c>
      <c r="DX259" s="79">
        <v>36335</v>
      </c>
      <c r="DY259" s="79">
        <v>18340</v>
      </c>
      <c r="DZ259" s="79">
        <v>22295</v>
      </c>
      <c r="EA259" s="79">
        <v>0</v>
      </c>
      <c r="EB259" s="79">
        <v>0</v>
      </c>
      <c r="EC259" s="79">
        <v>-3429</v>
      </c>
      <c r="ED259" s="79">
        <v>-526</v>
      </c>
      <c r="EE259" s="79">
        <v>38</v>
      </c>
      <c r="EF259" s="79">
        <v>11</v>
      </c>
      <c r="EG259" s="79">
        <v>27</v>
      </c>
      <c r="EH259" s="79">
        <v>0</v>
      </c>
      <c r="EI259" s="79">
        <v>0</v>
      </c>
      <c r="EJ259" s="79">
        <v>0</v>
      </c>
      <c r="EK259" s="79">
        <v>22</v>
      </c>
      <c r="EL259" s="79">
        <v>0</v>
      </c>
      <c r="EM259" s="79">
        <v>15</v>
      </c>
      <c r="EN259" s="79">
        <v>7</v>
      </c>
      <c r="EO259" s="79">
        <v>17935</v>
      </c>
      <c r="EP259" s="79">
        <v>6550</v>
      </c>
      <c r="EQ259" s="79">
        <v>0</v>
      </c>
      <c r="ER259" s="79">
        <v>5432</v>
      </c>
      <c r="ES259" s="79">
        <v>250</v>
      </c>
      <c r="ET259" s="79">
        <v>5182</v>
      </c>
      <c r="EU259" s="79">
        <v>0</v>
      </c>
      <c r="EV259" s="79">
        <v>0</v>
      </c>
      <c r="EW259" s="79">
        <v>0</v>
      </c>
      <c r="EX259" s="79">
        <v>0</v>
      </c>
      <c r="EY259" s="79">
        <v>0</v>
      </c>
      <c r="EZ259" s="79">
        <v>0</v>
      </c>
      <c r="FA259" s="79">
        <v>1118</v>
      </c>
      <c r="FB259" s="79">
        <v>0</v>
      </c>
      <c r="FC259" s="79">
        <v>0</v>
      </c>
      <c r="FD259" s="79">
        <v>11385</v>
      </c>
      <c r="FE259" s="79">
        <v>0</v>
      </c>
      <c r="FF259" s="79">
        <v>6051</v>
      </c>
      <c r="FG259" s="79">
        <v>100</v>
      </c>
      <c r="FH259" s="79">
        <v>5951</v>
      </c>
      <c r="FI259" s="79">
        <v>0</v>
      </c>
      <c r="FJ259" s="79">
        <v>0</v>
      </c>
      <c r="FK259" s="79">
        <v>0</v>
      </c>
      <c r="FL259" s="79">
        <v>0</v>
      </c>
      <c r="FM259" s="79">
        <v>61</v>
      </c>
      <c r="FN259" s="79">
        <v>2818</v>
      </c>
      <c r="FO259" s="79">
        <v>276</v>
      </c>
      <c r="FP259" s="79">
        <v>2179</v>
      </c>
      <c r="FQ259" s="79">
        <v>36335</v>
      </c>
      <c r="FR259" s="79">
        <v>8610</v>
      </c>
      <c r="FS259" s="79">
        <v>1019</v>
      </c>
      <c r="FT259" s="100">
        <v>20534.654709331422</v>
      </c>
      <c r="FU259" s="100"/>
      <c r="FV259" s="100">
        <v>7758</v>
      </c>
      <c r="FW259" s="67">
        <v>1865</v>
      </c>
      <c r="FX259" s="100">
        <f t="shared" si="20"/>
        <v>-26194</v>
      </c>
      <c r="FY259" s="100">
        <f t="shared" si="21"/>
        <v>-36240</v>
      </c>
      <c r="FZ259" s="100">
        <v>25027.753190234158</v>
      </c>
      <c r="GA259" s="67">
        <v>10046</v>
      </c>
      <c r="GB259" s="58">
        <f t="shared" si="18"/>
        <v>2288</v>
      </c>
      <c r="GC259" s="67">
        <v>1892</v>
      </c>
      <c r="GD259" s="100">
        <v>1404</v>
      </c>
      <c r="GE259" s="100">
        <v>585</v>
      </c>
      <c r="GF259" s="58">
        <f t="shared" si="19"/>
        <v>819</v>
      </c>
      <c r="GG259" s="100">
        <v>-14030.708000000001</v>
      </c>
      <c r="GH259" s="100">
        <v>-555.24705000000029</v>
      </c>
      <c r="GI259" s="100">
        <v>-10826.884096648831</v>
      </c>
      <c r="GJ259" s="67">
        <f t="shared" si="22"/>
        <v>27</v>
      </c>
      <c r="GK259" s="67"/>
      <c r="GM259" s="96"/>
    </row>
    <row r="260" spans="1:195" ht="13.5" customHeight="1" x14ac:dyDescent="0.2">
      <c r="A260" s="74">
        <v>831</v>
      </c>
      <c r="B260" s="75" t="s">
        <v>183</v>
      </c>
      <c r="C260" s="75" t="s">
        <v>183</v>
      </c>
      <c r="D260" s="76"/>
      <c r="E260" s="77" t="s">
        <v>243</v>
      </c>
      <c r="F260" s="78">
        <v>2</v>
      </c>
      <c r="G260" s="79">
        <v>4815</v>
      </c>
      <c r="H260" s="80">
        <v>2777</v>
      </c>
      <c r="I260" s="80">
        <v>1170</v>
      </c>
      <c r="J260" s="80">
        <v>416</v>
      </c>
      <c r="K260" s="80">
        <v>173</v>
      </c>
      <c r="L260" s="80">
        <v>1018</v>
      </c>
      <c r="M260" s="80">
        <v>0</v>
      </c>
      <c r="N260" s="80">
        <v>0</v>
      </c>
      <c r="O260" s="80">
        <v>26091</v>
      </c>
      <c r="P260" s="80">
        <v>7595</v>
      </c>
      <c r="Q260" s="80">
        <v>5729</v>
      </c>
      <c r="R260" s="80">
        <v>1866</v>
      </c>
      <c r="S260" s="80">
        <v>1523</v>
      </c>
      <c r="T260" s="80">
        <v>343</v>
      </c>
      <c r="U260" s="80">
        <v>16391</v>
      </c>
      <c r="V260" s="80">
        <v>1323</v>
      </c>
      <c r="W260" s="80">
        <v>503</v>
      </c>
      <c r="X260" s="80">
        <v>279</v>
      </c>
      <c r="Y260" s="80">
        <v>-23314</v>
      </c>
      <c r="Z260" s="80">
        <v>18516</v>
      </c>
      <c r="AA260" s="80">
        <v>16103</v>
      </c>
      <c r="AB260" s="80">
        <v>709</v>
      </c>
      <c r="AC260" s="80">
        <v>1704</v>
      </c>
      <c r="AD260" s="80">
        <v>5598</v>
      </c>
      <c r="AE260" s="80">
        <v>-96</v>
      </c>
      <c r="AF260" s="80">
        <v>24</v>
      </c>
      <c r="AG260" s="80">
        <v>5</v>
      </c>
      <c r="AH260" s="80">
        <v>2</v>
      </c>
      <c r="AI260" s="80">
        <v>118</v>
      </c>
      <c r="AJ260" s="80">
        <v>7</v>
      </c>
      <c r="AK260" s="80">
        <v>704</v>
      </c>
      <c r="AL260" s="80">
        <v>1563</v>
      </c>
      <c r="AM260" s="80">
        <v>1563</v>
      </c>
      <c r="AN260" s="80">
        <v>0</v>
      </c>
      <c r="AO260" s="80">
        <v>0</v>
      </c>
      <c r="AP260" s="80">
        <v>0</v>
      </c>
      <c r="AQ260" s="80">
        <v>0</v>
      </c>
      <c r="AR260" s="80">
        <v>-859</v>
      </c>
      <c r="AS260" s="80">
        <v>93</v>
      </c>
      <c r="AT260" s="80">
        <v>0</v>
      </c>
      <c r="AU260" s="80">
        <v>0</v>
      </c>
      <c r="AV260" s="80">
        <v>-766</v>
      </c>
      <c r="AW260" s="81"/>
      <c r="AX260" s="80">
        <v>347</v>
      </c>
      <c r="AY260" s="80">
        <v>704</v>
      </c>
      <c r="AZ260" s="80">
        <v>0</v>
      </c>
      <c r="BA260" s="80">
        <v>-357</v>
      </c>
      <c r="BB260" s="80">
        <v>-8773</v>
      </c>
      <c r="BC260" s="80">
        <v>9708</v>
      </c>
      <c r="BD260" s="80">
        <v>565</v>
      </c>
      <c r="BE260" s="80">
        <v>370</v>
      </c>
      <c r="BF260" s="80">
        <v>-8426</v>
      </c>
      <c r="BG260" s="80">
        <v>6490</v>
      </c>
      <c r="BH260" s="80">
        <v>2</v>
      </c>
      <c r="BI260" s="80">
        <v>200</v>
      </c>
      <c r="BJ260" s="80">
        <v>202</v>
      </c>
      <c r="BK260" s="80">
        <v>6757</v>
      </c>
      <c r="BL260" s="80">
        <v>8500</v>
      </c>
      <c r="BM260" s="80">
        <v>1043</v>
      </c>
      <c r="BN260" s="80">
        <v>-700</v>
      </c>
      <c r="BO260" s="80">
        <v>0</v>
      </c>
      <c r="BP260" s="80">
        <v>-269</v>
      </c>
      <c r="BQ260" s="80">
        <v>0</v>
      </c>
      <c r="BR260" s="80">
        <v>0</v>
      </c>
      <c r="BS260" s="80">
        <v>-18</v>
      </c>
      <c r="BT260" s="80">
        <v>-251</v>
      </c>
      <c r="BU260" s="80">
        <v>-1937</v>
      </c>
      <c r="BV260" s="80">
        <v>274</v>
      </c>
      <c r="BW260" s="80">
        <v>2211</v>
      </c>
      <c r="BX260" s="81"/>
      <c r="BY260" s="80">
        <v>29745</v>
      </c>
      <c r="BZ260" s="80">
        <v>26</v>
      </c>
      <c r="CA260" s="80">
        <v>19</v>
      </c>
      <c r="CB260" s="80">
        <v>7</v>
      </c>
      <c r="CC260" s="80">
        <v>0</v>
      </c>
      <c r="CD260" s="80">
        <v>26226</v>
      </c>
      <c r="CE260" s="80">
        <v>4059</v>
      </c>
      <c r="CF260" s="80">
        <v>17927</v>
      </c>
      <c r="CG260" s="80">
        <v>2740</v>
      </c>
      <c r="CH260" s="80">
        <v>539</v>
      </c>
      <c r="CI260" s="80">
        <v>0</v>
      </c>
      <c r="CJ260" s="80">
        <v>0</v>
      </c>
      <c r="CK260" s="80">
        <v>961</v>
      </c>
      <c r="CL260" s="80">
        <v>3493</v>
      </c>
      <c r="CM260" s="80">
        <v>2913</v>
      </c>
      <c r="CN260" s="80">
        <v>876</v>
      </c>
      <c r="CO260" s="80">
        <v>2037</v>
      </c>
      <c r="CP260" s="80">
        <v>0</v>
      </c>
      <c r="CQ260" s="80">
        <v>580</v>
      </c>
      <c r="CR260" s="80">
        <v>0</v>
      </c>
      <c r="CS260" s="80">
        <v>0</v>
      </c>
      <c r="CT260" s="80">
        <v>580</v>
      </c>
      <c r="CU260" s="80">
        <v>0</v>
      </c>
      <c r="CV260" s="80">
        <v>0</v>
      </c>
      <c r="CW260" s="80">
        <v>0</v>
      </c>
      <c r="CX260" s="80">
        <v>0</v>
      </c>
      <c r="CY260" s="80">
        <v>0</v>
      </c>
      <c r="CZ260" s="80">
        <v>1173</v>
      </c>
      <c r="DA260" s="80">
        <v>0</v>
      </c>
      <c r="DB260" s="80">
        <v>0</v>
      </c>
      <c r="DC260" s="80">
        <v>0</v>
      </c>
      <c r="DD260" s="80">
        <v>0</v>
      </c>
      <c r="DE260" s="80">
        <v>0</v>
      </c>
      <c r="DF260" s="80">
        <v>0</v>
      </c>
      <c r="DG260" s="80">
        <v>899</v>
      </c>
      <c r="DH260" s="80">
        <v>49</v>
      </c>
      <c r="DI260" s="80">
        <v>0</v>
      </c>
      <c r="DJ260" s="80">
        <v>49</v>
      </c>
      <c r="DK260" s="80">
        <v>0</v>
      </c>
      <c r="DL260" s="80">
        <v>0</v>
      </c>
      <c r="DM260" s="80">
        <v>850</v>
      </c>
      <c r="DN260" s="80">
        <v>311</v>
      </c>
      <c r="DO260" s="80">
        <v>0</v>
      </c>
      <c r="DP260" s="80">
        <v>379</v>
      </c>
      <c r="DQ260" s="80">
        <v>160</v>
      </c>
      <c r="DR260" s="80">
        <v>0</v>
      </c>
      <c r="DS260" s="80">
        <v>0</v>
      </c>
      <c r="DT260" s="80">
        <v>0</v>
      </c>
      <c r="DU260" s="80">
        <v>0</v>
      </c>
      <c r="DV260" s="80">
        <v>0</v>
      </c>
      <c r="DW260" s="80">
        <v>274</v>
      </c>
      <c r="DX260" s="80">
        <v>30918</v>
      </c>
      <c r="DY260" s="80">
        <v>12615</v>
      </c>
      <c r="DZ260" s="80">
        <v>8508</v>
      </c>
      <c r="EA260" s="80">
        <v>0</v>
      </c>
      <c r="EB260" s="80">
        <v>0</v>
      </c>
      <c r="EC260" s="80">
        <v>4874</v>
      </c>
      <c r="ED260" s="80">
        <v>-767</v>
      </c>
      <c r="EE260" s="80">
        <v>1033</v>
      </c>
      <c r="EF260" s="80">
        <v>1033</v>
      </c>
      <c r="EG260" s="80">
        <v>0</v>
      </c>
      <c r="EH260" s="80">
        <v>0</v>
      </c>
      <c r="EI260" s="80">
        <v>0</v>
      </c>
      <c r="EJ260" s="80">
        <v>0</v>
      </c>
      <c r="EK260" s="80">
        <v>155</v>
      </c>
      <c r="EL260" s="80">
        <v>0</v>
      </c>
      <c r="EM260" s="80">
        <v>0</v>
      </c>
      <c r="EN260" s="80">
        <v>155</v>
      </c>
      <c r="EO260" s="80">
        <v>17114</v>
      </c>
      <c r="EP260" s="80">
        <v>13686</v>
      </c>
      <c r="EQ260" s="80">
        <v>0</v>
      </c>
      <c r="ER260" s="80">
        <v>11768</v>
      </c>
      <c r="ES260" s="80">
        <v>11658</v>
      </c>
      <c r="ET260" s="80">
        <v>110</v>
      </c>
      <c r="EU260" s="80">
        <v>0</v>
      </c>
      <c r="EV260" s="80">
        <v>0</v>
      </c>
      <c r="EW260" s="80">
        <v>1504</v>
      </c>
      <c r="EX260" s="80">
        <v>0</v>
      </c>
      <c r="EY260" s="80">
        <v>0</v>
      </c>
      <c r="EZ260" s="80">
        <v>0</v>
      </c>
      <c r="FA260" s="80">
        <v>0</v>
      </c>
      <c r="FB260" s="80">
        <v>0</v>
      </c>
      <c r="FC260" s="80">
        <v>414</v>
      </c>
      <c r="FD260" s="80">
        <v>3428</v>
      </c>
      <c r="FE260" s="80">
        <v>0</v>
      </c>
      <c r="FF260" s="80">
        <v>1042</v>
      </c>
      <c r="FG260" s="80">
        <v>1017</v>
      </c>
      <c r="FH260" s="80">
        <v>25</v>
      </c>
      <c r="FI260" s="80">
        <v>0</v>
      </c>
      <c r="FJ260" s="80">
        <v>0</v>
      </c>
      <c r="FK260" s="80">
        <v>231</v>
      </c>
      <c r="FL260" s="80">
        <v>0</v>
      </c>
      <c r="FM260" s="80">
        <v>0</v>
      </c>
      <c r="FN260" s="80">
        <v>1044</v>
      </c>
      <c r="FO260" s="80">
        <v>251</v>
      </c>
      <c r="FP260" s="80">
        <v>860</v>
      </c>
      <c r="FQ260" s="80">
        <v>30917</v>
      </c>
      <c r="FR260" s="80">
        <v>2076</v>
      </c>
      <c r="FS260" s="80">
        <v>691</v>
      </c>
      <c r="FT260" s="100">
        <v>13818.340022042548</v>
      </c>
      <c r="FU260" s="100"/>
      <c r="FV260" s="100">
        <v>3719</v>
      </c>
      <c r="FW260" s="67">
        <v>1563</v>
      </c>
      <c r="FX260" s="100">
        <f t="shared" si="20"/>
        <v>-17604</v>
      </c>
      <c r="FY260" s="100">
        <f t="shared" si="21"/>
        <v>-21751</v>
      </c>
      <c r="FZ260" s="100">
        <v>13326.28045600893</v>
      </c>
      <c r="GA260" s="67">
        <v>4147</v>
      </c>
      <c r="GB260" s="58">
        <f t="shared" si="18"/>
        <v>428</v>
      </c>
      <c r="GC260" s="67">
        <v>1563</v>
      </c>
      <c r="GD260" s="100">
        <v>415</v>
      </c>
      <c r="GE260" s="100">
        <v>415</v>
      </c>
      <c r="GF260" s="58">
        <f t="shared" si="19"/>
        <v>0</v>
      </c>
      <c r="GG260" s="100">
        <v>-9852.5429999999997</v>
      </c>
      <c r="GH260" s="100">
        <v>-222.56090000000009</v>
      </c>
      <c r="GI260" s="100">
        <v>-3168.7519214469571</v>
      </c>
      <c r="GJ260" s="67">
        <f t="shared" si="22"/>
        <v>0</v>
      </c>
      <c r="GK260" s="67"/>
      <c r="GM260" s="96"/>
    </row>
    <row r="261" spans="1:195" ht="13.5" customHeight="1" x14ac:dyDescent="0.2">
      <c r="A261" s="74">
        <v>832</v>
      </c>
      <c r="B261" s="75" t="s">
        <v>184</v>
      </c>
      <c r="C261" s="75" t="s">
        <v>184</v>
      </c>
      <c r="D261" s="76"/>
      <c r="E261" s="77" t="s">
        <v>216</v>
      </c>
      <c r="F261" s="78">
        <v>2</v>
      </c>
      <c r="G261" s="79">
        <v>4199</v>
      </c>
      <c r="H261" s="80">
        <v>6084</v>
      </c>
      <c r="I261" s="80">
        <v>2836</v>
      </c>
      <c r="J261" s="80">
        <v>1688</v>
      </c>
      <c r="K261" s="80">
        <v>543</v>
      </c>
      <c r="L261" s="80">
        <v>1017</v>
      </c>
      <c r="M261" s="80">
        <v>0</v>
      </c>
      <c r="N261" s="80">
        <v>0</v>
      </c>
      <c r="O261" s="80">
        <v>33602</v>
      </c>
      <c r="P261" s="80">
        <v>16092</v>
      </c>
      <c r="Q261" s="80">
        <v>12036</v>
      </c>
      <c r="R261" s="80">
        <v>4056</v>
      </c>
      <c r="S261" s="80">
        <v>2982</v>
      </c>
      <c r="T261" s="80">
        <v>1074</v>
      </c>
      <c r="U261" s="80">
        <v>12307</v>
      </c>
      <c r="V261" s="80">
        <v>2775</v>
      </c>
      <c r="W261" s="80">
        <v>1491</v>
      </c>
      <c r="X261" s="80">
        <v>937</v>
      </c>
      <c r="Y261" s="80">
        <v>-27518</v>
      </c>
      <c r="Z261" s="80">
        <v>12028</v>
      </c>
      <c r="AA261" s="80">
        <v>10084</v>
      </c>
      <c r="AB261" s="80">
        <v>1146</v>
      </c>
      <c r="AC261" s="80">
        <v>798</v>
      </c>
      <c r="AD261" s="80">
        <v>18275</v>
      </c>
      <c r="AE261" s="80">
        <v>97</v>
      </c>
      <c r="AF261" s="80">
        <v>0</v>
      </c>
      <c r="AG261" s="80">
        <v>116</v>
      </c>
      <c r="AH261" s="80">
        <v>0</v>
      </c>
      <c r="AI261" s="80">
        <v>18</v>
      </c>
      <c r="AJ261" s="80">
        <v>1</v>
      </c>
      <c r="AK261" s="80">
        <v>2882</v>
      </c>
      <c r="AL261" s="80">
        <v>2005</v>
      </c>
      <c r="AM261" s="80">
        <v>2005</v>
      </c>
      <c r="AN261" s="80">
        <v>0</v>
      </c>
      <c r="AO261" s="80">
        <v>-375</v>
      </c>
      <c r="AP261" s="80">
        <v>0</v>
      </c>
      <c r="AQ261" s="80">
        <v>375</v>
      </c>
      <c r="AR261" s="80">
        <v>502</v>
      </c>
      <c r="AS261" s="80">
        <v>12</v>
      </c>
      <c r="AT261" s="80">
        <v>0</v>
      </c>
      <c r="AU261" s="80">
        <v>0</v>
      </c>
      <c r="AV261" s="80">
        <v>514</v>
      </c>
      <c r="AW261" s="81"/>
      <c r="AX261" s="80">
        <v>2558</v>
      </c>
      <c r="AY261" s="80">
        <v>2882</v>
      </c>
      <c r="AZ261" s="80">
        <v>-375</v>
      </c>
      <c r="BA261" s="80">
        <v>51</v>
      </c>
      <c r="BB261" s="80">
        <v>-3297</v>
      </c>
      <c r="BC261" s="80">
        <v>3595</v>
      </c>
      <c r="BD261" s="80">
        <v>263</v>
      </c>
      <c r="BE261" s="80">
        <v>35</v>
      </c>
      <c r="BF261" s="80">
        <v>-739</v>
      </c>
      <c r="BG261" s="80">
        <v>-640</v>
      </c>
      <c r="BH261" s="80">
        <v>-800</v>
      </c>
      <c r="BI261" s="80">
        <v>800</v>
      </c>
      <c r="BJ261" s="80">
        <v>0</v>
      </c>
      <c r="BK261" s="80">
        <v>-462</v>
      </c>
      <c r="BL261" s="80">
        <v>0</v>
      </c>
      <c r="BM261" s="80">
        <v>462</v>
      </c>
      <c r="BN261" s="80">
        <v>0</v>
      </c>
      <c r="BO261" s="80">
        <v>0</v>
      </c>
      <c r="BP261" s="80">
        <v>622</v>
      </c>
      <c r="BQ261" s="80">
        <v>16</v>
      </c>
      <c r="BR261" s="80">
        <v>-4</v>
      </c>
      <c r="BS261" s="80">
        <v>-21</v>
      </c>
      <c r="BT261" s="80">
        <v>631</v>
      </c>
      <c r="BU261" s="80">
        <v>-1377</v>
      </c>
      <c r="BV261" s="80">
        <v>2281</v>
      </c>
      <c r="BW261" s="80">
        <v>3658</v>
      </c>
      <c r="BX261" s="81"/>
      <c r="BY261" s="80">
        <v>25342</v>
      </c>
      <c r="BZ261" s="80">
        <v>725</v>
      </c>
      <c r="CA261" s="80">
        <v>253</v>
      </c>
      <c r="CB261" s="80">
        <v>472</v>
      </c>
      <c r="CC261" s="80">
        <v>0</v>
      </c>
      <c r="CD261" s="80">
        <v>20240</v>
      </c>
      <c r="CE261" s="80">
        <v>3550</v>
      </c>
      <c r="CF261" s="80">
        <v>11471</v>
      </c>
      <c r="CG261" s="80">
        <v>4018</v>
      </c>
      <c r="CH261" s="80">
        <v>556</v>
      </c>
      <c r="CI261" s="80">
        <v>66</v>
      </c>
      <c r="CJ261" s="80">
        <v>66</v>
      </c>
      <c r="CK261" s="80">
        <v>579</v>
      </c>
      <c r="CL261" s="80">
        <v>4377</v>
      </c>
      <c r="CM261" s="80">
        <v>3658</v>
      </c>
      <c r="CN261" s="80">
        <v>1880</v>
      </c>
      <c r="CO261" s="80">
        <v>1778</v>
      </c>
      <c r="CP261" s="80">
        <v>0</v>
      </c>
      <c r="CQ261" s="80">
        <v>719</v>
      </c>
      <c r="CR261" s="80">
        <v>0</v>
      </c>
      <c r="CS261" s="80">
        <v>0</v>
      </c>
      <c r="CT261" s="80">
        <v>719</v>
      </c>
      <c r="CU261" s="80">
        <v>0</v>
      </c>
      <c r="CV261" s="80">
        <v>73</v>
      </c>
      <c r="CW261" s="80">
        <v>56</v>
      </c>
      <c r="CX261" s="80">
        <v>0</v>
      </c>
      <c r="CY261" s="80">
        <v>17</v>
      </c>
      <c r="CZ261" s="80">
        <v>4907</v>
      </c>
      <c r="DA261" s="80">
        <v>30</v>
      </c>
      <c r="DB261" s="80">
        <v>30</v>
      </c>
      <c r="DC261" s="80">
        <v>0</v>
      </c>
      <c r="DD261" s="80">
        <v>0</v>
      </c>
      <c r="DE261" s="80">
        <v>0</v>
      </c>
      <c r="DF261" s="80">
        <v>0</v>
      </c>
      <c r="DG261" s="80">
        <v>2596</v>
      </c>
      <c r="DH261" s="80">
        <v>311</v>
      </c>
      <c r="DI261" s="80">
        <v>311</v>
      </c>
      <c r="DJ261" s="80">
        <v>0</v>
      </c>
      <c r="DK261" s="80">
        <v>0</v>
      </c>
      <c r="DL261" s="80">
        <v>0</v>
      </c>
      <c r="DM261" s="80">
        <v>2285</v>
      </c>
      <c r="DN261" s="80">
        <v>970</v>
      </c>
      <c r="DO261" s="80">
        <v>801</v>
      </c>
      <c r="DP261" s="80">
        <v>482</v>
      </c>
      <c r="DQ261" s="80">
        <v>32</v>
      </c>
      <c r="DR261" s="80">
        <v>0</v>
      </c>
      <c r="DS261" s="80">
        <v>0</v>
      </c>
      <c r="DT261" s="80">
        <v>0</v>
      </c>
      <c r="DU261" s="80">
        <v>0</v>
      </c>
      <c r="DV261" s="80">
        <v>0</v>
      </c>
      <c r="DW261" s="80">
        <v>2281</v>
      </c>
      <c r="DX261" s="80">
        <v>30322</v>
      </c>
      <c r="DY261" s="80">
        <v>19728</v>
      </c>
      <c r="DZ261" s="80">
        <v>11252</v>
      </c>
      <c r="EA261" s="80">
        <v>0</v>
      </c>
      <c r="EB261" s="80">
        <v>0</v>
      </c>
      <c r="EC261" s="80">
        <v>7962</v>
      </c>
      <c r="ED261" s="80">
        <v>514</v>
      </c>
      <c r="EE261" s="80">
        <v>1398</v>
      </c>
      <c r="EF261" s="80">
        <v>219</v>
      </c>
      <c r="EG261" s="80">
        <v>1179</v>
      </c>
      <c r="EH261" s="80">
        <v>1758</v>
      </c>
      <c r="EI261" s="80">
        <v>0</v>
      </c>
      <c r="EJ261" s="80">
        <v>1758</v>
      </c>
      <c r="EK261" s="80">
        <v>137</v>
      </c>
      <c r="EL261" s="80">
        <v>46</v>
      </c>
      <c r="EM261" s="80">
        <v>0</v>
      </c>
      <c r="EN261" s="80">
        <v>91</v>
      </c>
      <c r="EO261" s="80">
        <v>7302</v>
      </c>
      <c r="EP261" s="80">
        <v>1538</v>
      </c>
      <c r="EQ261" s="80">
        <v>0</v>
      </c>
      <c r="ER261" s="80">
        <v>1500</v>
      </c>
      <c r="ES261" s="80">
        <v>577</v>
      </c>
      <c r="ET261" s="80">
        <v>923</v>
      </c>
      <c r="EU261" s="80">
        <v>0</v>
      </c>
      <c r="EV261" s="80">
        <v>0</v>
      </c>
      <c r="EW261" s="80">
        <v>0</v>
      </c>
      <c r="EX261" s="80">
        <v>0</v>
      </c>
      <c r="EY261" s="80">
        <v>38</v>
      </c>
      <c r="EZ261" s="80">
        <v>0</v>
      </c>
      <c r="FA261" s="80">
        <v>0</v>
      </c>
      <c r="FB261" s="80">
        <v>0</v>
      </c>
      <c r="FC261" s="80">
        <v>0</v>
      </c>
      <c r="FD261" s="80">
        <v>5764</v>
      </c>
      <c r="FE261" s="80">
        <v>0</v>
      </c>
      <c r="FF261" s="80">
        <v>462</v>
      </c>
      <c r="FG261" s="80">
        <v>231</v>
      </c>
      <c r="FH261" s="80">
        <v>231</v>
      </c>
      <c r="FI261" s="80">
        <v>0</v>
      </c>
      <c r="FJ261" s="80">
        <v>0</v>
      </c>
      <c r="FK261" s="80">
        <v>0</v>
      </c>
      <c r="FL261" s="80">
        <v>0</v>
      </c>
      <c r="FM261" s="80">
        <v>4</v>
      </c>
      <c r="FN261" s="80">
        <v>2082</v>
      </c>
      <c r="FO261" s="80">
        <v>276</v>
      </c>
      <c r="FP261" s="80">
        <v>2940</v>
      </c>
      <c r="FQ261" s="80">
        <v>30323</v>
      </c>
      <c r="FR261" s="80">
        <v>5792</v>
      </c>
      <c r="FS261" s="80">
        <v>2119</v>
      </c>
      <c r="FT261" s="100">
        <v>18310.763963631805</v>
      </c>
      <c r="FU261" s="100"/>
      <c r="FV261" s="100">
        <v>7158</v>
      </c>
      <c r="FW261" s="67">
        <v>1901</v>
      </c>
      <c r="FX261" s="100">
        <f t="shared" si="20"/>
        <v>-16125</v>
      </c>
      <c r="FY261" s="100">
        <f t="shared" si="21"/>
        <v>-25513</v>
      </c>
      <c r="FZ261" s="100">
        <v>16777.5972805032</v>
      </c>
      <c r="GA261" s="67">
        <v>9388</v>
      </c>
      <c r="GB261" s="58">
        <f t="shared" si="18"/>
        <v>2230</v>
      </c>
      <c r="GC261" s="67">
        <v>2005</v>
      </c>
      <c r="GD261" s="100">
        <v>1686</v>
      </c>
      <c r="GE261" s="100">
        <v>349</v>
      </c>
      <c r="GF261" s="58">
        <f t="shared" si="19"/>
        <v>1337</v>
      </c>
      <c r="GG261" s="100">
        <v>-5776.1379999999999</v>
      </c>
      <c r="GH261" s="100">
        <v>-373.57015000000013</v>
      </c>
      <c r="GI261" s="100">
        <v>-10829.458854292763</v>
      </c>
      <c r="GJ261" s="67">
        <f t="shared" si="22"/>
        <v>104</v>
      </c>
      <c r="GK261" s="67"/>
      <c r="GM261" s="96"/>
    </row>
    <row r="262" spans="1:195" ht="13.5" customHeight="1" x14ac:dyDescent="0.2">
      <c r="A262" s="74">
        <v>834</v>
      </c>
      <c r="B262" s="75" t="s">
        <v>185</v>
      </c>
      <c r="C262" s="75" t="s">
        <v>185</v>
      </c>
      <c r="D262" s="76"/>
      <c r="E262" s="77" t="s">
        <v>226</v>
      </c>
      <c r="F262" s="78">
        <v>3</v>
      </c>
      <c r="G262" s="79">
        <v>6280</v>
      </c>
      <c r="H262" s="80">
        <v>4215</v>
      </c>
      <c r="I262" s="80">
        <v>1944</v>
      </c>
      <c r="J262" s="80">
        <v>566</v>
      </c>
      <c r="K262" s="80">
        <v>226</v>
      </c>
      <c r="L262" s="80">
        <v>1479</v>
      </c>
      <c r="M262" s="80">
        <v>0</v>
      </c>
      <c r="N262" s="80">
        <v>0</v>
      </c>
      <c r="O262" s="80">
        <v>35918</v>
      </c>
      <c r="P262" s="80">
        <v>10440</v>
      </c>
      <c r="Q262" s="80">
        <v>8039</v>
      </c>
      <c r="R262" s="80">
        <v>2401</v>
      </c>
      <c r="S262" s="80">
        <v>2013</v>
      </c>
      <c r="T262" s="80">
        <v>388</v>
      </c>
      <c r="U262" s="80">
        <v>22403</v>
      </c>
      <c r="V262" s="80">
        <v>1823</v>
      </c>
      <c r="W262" s="80">
        <v>1008</v>
      </c>
      <c r="X262" s="80">
        <v>244</v>
      </c>
      <c r="Y262" s="80">
        <v>-31703</v>
      </c>
      <c r="Z262" s="80">
        <v>20869</v>
      </c>
      <c r="AA262" s="80">
        <v>18107</v>
      </c>
      <c r="AB262" s="80">
        <v>1294</v>
      </c>
      <c r="AC262" s="80">
        <v>1468</v>
      </c>
      <c r="AD262" s="80">
        <v>12932</v>
      </c>
      <c r="AE262" s="80">
        <v>-21</v>
      </c>
      <c r="AF262" s="80">
        <v>24</v>
      </c>
      <c r="AG262" s="80">
        <v>33</v>
      </c>
      <c r="AH262" s="80">
        <v>12</v>
      </c>
      <c r="AI262" s="80">
        <v>65</v>
      </c>
      <c r="AJ262" s="80">
        <v>13</v>
      </c>
      <c r="AK262" s="80">
        <v>2077</v>
      </c>
      <c r="AL262" s="80">
        <v>2004</v>
      </c>
      <c r="AM262" s="80">
        <v>1991</v>
      </c>
      <c r="AN262" s="80">
        <v>13</v>
      </c>
      <c r="AO262" s="80">
        <v>0</v>
      </c>
      <c r="AP262" s="80">
        <v>0</v>
      </c>
      <c r="AQ262" s="80">
        <v>0</v>
      </c>
      <c r="AR262" s="80">
        <v>73</v>
      </c>
      <c r="AS262" s="80">
        <v>127</v>
      </c>
      <c r="AT262" s="80">
        <v>0</v>
      </c>
      <c r="AU262" s="80">
        <v>0</v>
      </c>
      <c r="AV262" s="80">
        <v>200</v>
      </c>
      <c r="AW262" s="81"/>
      <c r="AX262" s="80">
        <v>2056</v>
      </c>
      <c r="AY262" s="80">
        <v>2077</v>
      </c>
      <c r="AZ262" s="80">
        <v>0</v>
      </c>
      <c r="BA262" s="80">
        <v>-21</v>
      </c>
      <c r="BB262" s="80">
        <v>-1983</v>
      </c>
      <c r="BC262" s="80">
        <v>2324</v>
      </c>
      <c r="BD262" s="80">
        <v>206</v>
      </c>
      <c r="BE262" s="80">
        <v>135</v>
      </c>
      <c r="BF262" s="80">
        <v>73</v>
      </c>
      <c r="BG262" s="80">
        <v>-186</v>
      </c>
      <c r="BH262" s="80">
        <v>0</v>
      </c>
      <c r="BI262" s="80">
        <v>0</v>
      </c>
      <c r="BJ262" s="80">
        <v>0</v>
      </c>
      <c r="BK262" s="80">
        <v>626</v>
      </c>
      <c r="BL262" s="80">
        <v>0</v>
      </c>
      <c r="BM262" s="80">
        <v>874</v>
      </c>
      <c r="BN262" s="80">
        <v>1500</v>
      </c>
      <c r="BO262" s="80">
        <v>0</v>
      </c>
      <c r="BP262" s="80">
        <v>-812</v>
      </c>
      <c r="BQ262" s="80">
        <v>0</v>
      </c>
      <c r="BR262" s="80">
        <v>3</v>
      </c>
      <c r="BS262" s="80">
        <v>166</v>
      </c>
      <c r="BT262" s="80">
        <v>-981</v>
      </c>
      <c r="BU262" s="80">
        <v>-114</v>
      </c>
      <c r="BV262" s="80">
        <v>132</v>
      </c>
      <c r="BW262" s="80">
        <v>246</v>
      </c>
      <c r="BX262" s="81"/>
      <c r="BY262" s="80">
        <v>39259</v>
      </c>
      <c r="BZ262" s="80">
        <v>274</v>
      </c>
      <c r="CA262" s="80">
        <v>67</v>
      </c>
      <c r="CB262" s="80">
        <v>207</v>
      </c>
      <c r="CC262" s="80">
        <v>0</v>
      </c>
      <c r="CD262" s="80">
        <v>31009</v>
      </c>
      <c r="CE262" s="80">
        <v>4121</v>
      </c>
      <c r="CF262" s="80">
        <v>17662</v>
      </c>
      <c r="CG262" s="80">
        <v>8664</v>
      </c>
      <c r="CH262" s="80">
        <v>562</v>
      </c>
      <c r="CI262" s="80">
        <v>0</v>
      </c>
      <c r="CJ262" s="80">
        <v>0</v>
      </c>
      <c r="CK262" s="80">
        <v>0</v>
      </c>
      <c r="CL262" s="80">
        <v>7976</v>
      </c>
      <c r="CM262" s="80">
        <v>7689</v>
      </c>
      <c r="CN262" s="80">
        <v>4782</v>
      </c>
      <c r="CO262" s="80">
        <v>2907</v>
      </c>
      <c r="CP262" s="80">
        <v>0</v>
      </c>
      <c r="CQ262" s="80">
        <v>230</v>
      </c>
      <c r="CR262" s="80">
        <v>0</v>
      </c>
      <c r="CS262" s="80">
        <v>0</v>
      </c>
      <c r="CT262" s="80">
        <v>230</v>
      </c>
      <c r="CU262" s="80">
        <v>57</v>
      </c>
      <c r="CV262" s="80">
        <v>101</v>
      </c>
      <c r="CW262" s="80">
        <v>0</v>
      </c>
      <c r="CX262" s="80">
        <v>101</v>
      </c>
      <c r="CY262" s="80">
        <v>0</v>
      </c>
      <c r="CZ262" s="80">
        <v>1148</v>
      </c>
      <c r="DA262" s="80">
        <v>55</v>
      </c>
      <c r="DB262" s="80">
        <v>0</v>
      </c>
      <c r="DC262" s="80">
        <v>0</v>
      </c>
      <c r="DD262" s="80">
        <v>55</v>
      </c>
      <c r="DE262" s="80">
        <v>0</v>
      </c>
      <c r="DF262" s="80">
        <v>0</v>
      </c>
      <c r="DG262" s="80">
        <v>961</v>
      </c>
      <c r="DH262" s="80">
        <v>49</v>
      </c>
      <c r="DI262" s="80">
        <v>0</v>
      </c>
      <c r="DJ262" s="80">
        <v>0</v>
      </c>
      <c r="DK262" s="80">
        <v>0</v>
      </c>
      <c r="DL262" s="80">
        <v>49</v>
      </c>
      <c r="DM262" s="80">
        <v>912</v>
      </c>
      <c r="DN262" s="80">
        <v>656</v>
      </c>
      <c r="DO262" s="80">
        <v>3</v>
      </c>
      <c r="DP262" s="80">
        <v>181</v>
      </c>
      <c r="DQ262" s="80">
        <v>72</v>
      </c>
      <c r="DR262" s="80">
        <v>0</v>
      </c>
      <c r="DS262" s="80">
        <v>0</v>
      </c>
      <c r="DT262" s="80">
        <v>0</v>
      </c>
      <c r="DU262" s="80">
        <v>0</v>
      </c>
      <c r="DV262" s="80">
        <v>0</v>
      </c>
      <c r="DW262" s="80">
        <v>132</v>
      </c>
      <c r="DX262" s="80">
        <v>40508</v>
      </c>
      <c r="DY262" s="80">
        <v>24698</v>
      </c>
      <c r="DZ262" s="80">
        <v>14943</v>
      </c>
      <c r="EA262" s="80">
        <v>63</v>
      </c>
      <c r="EB262" s="80">
        <v>1653</v>
      </c>
      <c r="EC262" s="80">
        <v>7839</v>
      </c>
      <c r="ED262" s="80">
        <v>200</v>
      </c>
      <c r="EE262" s="80">
        <v>3764</v>
      </c>
      <c r="EF262" s="80">
        <v>3314</v>
      </c>
      <c r="EG262" s="80">
        <v>450</v>
      </c>
      <c r="EH262" s="80">
        <v>164</v>
      </c>
      <c r="EI262" s="80">
        <v>0</v>
      </c>
      <c r="EJ262" s="80">
        <v>164</v>
      </c>
      <c r="EK262" s="80">
        <v>205</v>
      </c>
      <c r="EL262" s="80">
        <v>0</v>
      </c>
      <c r="EM262" s="80">
        <v>116</v>
      </c>
      <c r="EN262" s="80">
        <v>89</v>
      </c>
      <c r="EO262" s="80">
        <v>11676</v>
      </c>
      <c r="EP262" s="80">
        <v>3920</v>
      </c>
      <c r="EQ262" s="80">
        <v>0</v>
      </c>
      <c r="ER262" s="80">
        <v>3277</v>
      </c>
      <c r="ES262" s="80">
        <v>0</v>
      </c>
      <c r="ET262" s="80">
        <v>3277</v>
      </c>
      <c r="EU262" s="80">
        <v>0</v>
      </c>
      <c r="EV262" s="80">
        <v>0</v>
      </c>
      <c r="EW262" s="80">
        <v>150</v>
      </c>
      <c r="EX262" s="80">
        <v>0</v>
      </c>
      <c r="EY262" s="80">
        <v>5</v>
      </c>
      <c r="EZ262" s="80">
        <v>488</v>
      </c>
      <c r="FA262" s="80">
        <v>0</v>
      </c>
      <c r="FB262" s="80">
        <v>0</v>
      </c>
      <c r="FC262" s="80">
        <v>0</v>
      </c>
      <c r="FD262" s="80">
        <v>7756</v>
      </c>
      <c r="FE262" s="80">
        <v>0</v>
      </c>
      <c r="FF262" s="80">
        <v>4794</v>
      </c>
      <c r="FG262" s="80">
        <v>150</v>
      </c>
      <c r="FH262" s="80">
        <v>4644</v>
      </c>
      <c r="FI262" s="80">
        <v>0</v>
      </c>
      <c r="FJ262" s="80">
        <v>0</v>
      </c>
      <c r="FK262" s="80">
        <v>150</v>
      </c>
      <c r="FL262" s="80">
        <v>0</v>
      </c>
      <c r="FM262" s="80">
        <v>29</v>
      </c>
      <c r="FN262" s="80">
        <v>1301</v>
      </c>
      <c r="FO262" s="80">
        <v>173</v>
      </c>
      <c r="FP262" s="80">
        <v>1309</v>
      </c>
      <c r="FQ262" s="80">
        <v>40507</v>
      </c>
      <c r="FR262" s="80">
        <v>2803</v>
      </c>
      <c r="FS262" s="80">
        <v>7513</v>
      </c>
      <c r="FT262" s="100">
        <v>19500.485412924176</v>
      </c>
      <c r="FU262" s="100"/>
      <c r="FV262" s="100">
        <v>6915</v>
      </c>
      <c r="FW262" s="67">
        <v>1991</v>
      </c>
      <c r="FX262" s="100">
        <f t="shared" si="20"/>
        <v>-22784</v>
      </c>
      <c r="FY262" s="100">
        <f t="shared" si="21"/>
        <v>-29699</v>
      </c>
      <c r="FZ262" s="100">
        <v>18586.220114024854</v>
      </c>
      <c r="GA262" s="67">
        <v>6915</v>
      </c>
      <c r="GB262" s="58">
        <f t="shared" si="18"/>
        <v>0</v>
      </c>
      <c r="GC262" s="67">
        <v>2003</v>
      </c>
      <c r="GD262" s="100">
        <v>565</v>
      </c>
      <c r="GE262" s="100">
        <v>565</v>
      </c>
      <c r="GF262" s="58">
        <f t="shared" si="19"/>
        <v>0</v>
      </c>
      <c r="GG262" s="100">
        <v>-11217.216</v>
      </c>
      <c r="GH262" s="100">
        <v>-391.90330000000017</v>
      </c>
      <c r="GI262" s="100">
        <v>-7282.4766059067215</v>
      </c>
      <c r="GJ262" s="67">
        <f t="shared" si="22"/>
        <v>12</v>
      </c>
      <c r="GK262" s="67"/>
      <c r="GM262" s="96"/>
    </row>
    <row r="263" spans="1:195" ht="13.5" customHeight="1" x14ac:dyDescent="0.2">
      <c r="A263" s="74">
        <v>837</v>
      </c>
      <c r="B263" s="75" t="s">
        <v>307</v>
      </c>
      <c r="C263" s="82" t="s">
        <v>307</v>
      </c>
      <c r="D263" s="76"/>
      <c r="E263" s="77" t="s">
        <v>214</v>
      </c>
      <c r="F263" s="78">
        <v>7</v>
      </c>
      <c r="G263" s="79">
        <v>225118</v>
      </c>
      <c r="H263" s="80">
        <v>412636</v>
      </c>
      <c r="I263" s="80">
        <v>208738</v>
      </c>
      <c r="J263" s="80">
        <v>84959</v>
      </c>
      <c r="K263" s="80">
        <v>46101</v>
      </c>
      <c r="L263" s="80">
        <v>72838</v>
      </c>
      <c r="M263" s="80">
        <v>0</v>
      </c>
      <c r="N263" s="80">
        <v>22459</v>
      </c>
      <c r="O263" s="80">
        <v>1558523</v>
      </c>
      <c r="P263" s="80">
        <v>681105</v>
      </c>
      <c r="Q263" s="80">
        <v>520287</v>
      </c>
      <c r="R263" s="80">
        <v>160818</v>
      </c>
      <c r="S263" s="80">
        <v>131073</v>
      </c>
      <c r="T263" s="80">
        <v>29745</v>
      </c>
      <c r="U263" s="80">
        <v>587022</v>
      </c>
      <c r="V263" s="80">
        <v>95531</v>
      </c>
      <c r="W263" s="80">
        <v>144464</v>
      </c>
      <c r="X263" s="80">
        <v>50401</v>
      </c>
      <c r="Y263" s="80">
        <v>-1123428</v>
      </c>
      <c r="Z263" s="80">
        <v>886854</v>
      </c>
      <c r="AA263" s="80">
        <v>755608</v>
      </c>
      <c r="AB263" s="80">
        <v>67298</v>
      </c>
      <c r="AC263" s="80">
        <v>63948</v>
      </c>
      <c r="AD263" s="80">
        <v>298431</v>
      </c>
      <c r="AE263" s="80">
        <v>1476</v>
      </c>
      <c r="AF263" s="80">
        <v>6465</v>
      </c>
      <c r="AG263" s="80">
        <v>8858</v>
      </c>
      <c r="AH263" s="80">
        <v>3755</v>
      </c>
      <c r="AI263" s="80">
        <v>7978</v>
      </c>
      <c r="AJ263" s="80">
        <v>5869</v>
      </c>
      <c r="AK263" s="80">
        <v>63333</v>
      </c>
      <c r="AL263" s="80">
        <v>103135</v>
      </c>
      <c r="AM263" s="80">
        <v>99616</v>
      </c>
      <c r="AN263" s="80">
        <v>3519</v>
      </c>
      <c r="AO263" s="80">
        <v>1404</v>
      </c>
      <c r="AP263" s="80">
        <v>1404</v>
      </c>
      <c r="AQ263" s="80">
        <v>0</v>
      </c>
      <c r="AR263" s="80">
        <v>-38398</v>
      </c>
      <c r="AS263" s="80">
        <v>1241</v>
      </c>
      <c r="AT263" s="80">
        <v>0</v>
      </c>
      <c r="AU263" s="80">
        <v>271</v>
      </c>
      <c r="AV263" s="80">
        <v>-36886</v>
      </c>
      <c r="AW263" s="81"/>
      <c r="AX263" s="80">
        <v>53838</v>
      </c>
      <c r="AY263" s="80">
        <v>63333</v>
      </c>
      <c r="AZ263" s="80">
        <v>1404</v>
      </c>
      <c r="BA263" s="80">
        <v>-10899</v>
      </c>
      <c r="BB263" s="80">
        <v>-185735</v>
      </c>
      <c r="BC263" s="80">
        <v>222180</v>
      </c>
      <c r="BD263" s="80">
        <v>9490</v>
      </c>
      <c r="BE263" s="80">
        <v>26955</v>
      </c>
      <c r="BF263" s="80">
        <v>-131897</v>
      </c>
      <c r="BG263" s="80">
        <v>-7365</v>
      </c>
      <c r="BH263" s="80">
        <v>-336</v>
      </c>
      <c r="BI263" s="80">
        <v>1167</v>
      </c>
      <c r="BJ263" s="80">
        <v>831</v>
      </c>
      <c r="BK263" s="80">
        <v>24089</v>
      </c>
      <c r="BL263" s="80">
        <v>0</v>
      </c>
      <c r="BM263" s="80">
        <v>13015</v>
      </c>
      <c r="BN263" s="80">
        <v>37104</v>
      </c>
      <c r="BO263" s="80">
        <v>0</v>
      </c>
      <c r="BP263" s="80">
        <v>-31118</v>
      </c>
      <c r="BQ263" s="80">
        <v>755</v>
      </c>
      <c r="BR263" s="80">
        <v>96</v>
      </c>
      <c r="BS263" s="80">
        <v>-49262</v>
      </c>
      <c r="BT263" s="80">
        <v>17293</v>
      </c>
      <c r="BU263" s="80">
        <v>-139262</v>
      </c>
      <c r="BV263" s="80">
        <v>101149</v>
      </c>
      <c r="BW263" s="80">
        <v>240411</v>
      </c>
      <c r="BX263" s="81"/>
      <c r="BY263" s="80">
        <v>1650042</v>
      </c>
      <c r="BZ263" s="80">
        <v>97629</v>
      </c>
      <c r="CA263" s="80">
        <v>2657</v>
      </c>
      <c r="CB263" s="80">
        <v>94972</v>
      </c>
      <c r="CC263" s="80">
        <v>0</v>
      </c>
      <c r="CD263" s="80">
        <v>1165706</v>
      </c>
      <c r="CE263" s="80">
        <v>171464</v>
      </c>
      <c r="CF263" s="80">
        <v>436210</v>
      </c>
      <c r="CG263" s="80">
        <v>376898</v>
      </c>
      <c r="CH263" s="80">
        <v>37978</v>
      </c>
      <c r="CI263" s="80">
        <v>3969</v>
      </c>
      <c r="CJ263" s="80">
        <v>3681</v>
      </c>
      <c r="CK263" s="80">
        <v>139187</v>
      </c>
      <c r="CL263" s="80">
        <v>386707</v>
      </c>
      <c r="CM263" s="80">
        <v>280080</v>
      </c>
      <c r="CN263" s="80">
        <v>58696</v>
      </c>
      <c r="CO263" s="80">
        <v>221384</v>
      </c>
      <c r="CP263" s="80">
        <v>0</v>
      </c>
      <c r="CQ263" s="80">
        <v>105586</v>
      </c>
      <c r="CR263" s="80">
        <v>0</v>
      </c>
      <c r="CS263" s="80">
        <v>0</v>
      </c>
      <c r="CT263" s="80">
        <v>105586</v>
      </c>
      <c r="CU263" s="80">
        <v>1041</v>
      </c>
      <c r="CV263" s="80">
        <v>802</v>
      </c>
      <c r="CW263" s="80">
        <v>135</v>
      </c>
      <c r="CX263" s="80">
        <v>667</v>
      </c>
      <c r="CY263" s="80">
        <v>0</v>
      </c>
      <c r="CZ263" s="80">
        <v>259042</v>
      </c>
      <c r="DA263" s="80">
        <v>2216</v>
      </c>
      <c r="DB263" s="80">
        <v>2125</v>
      </c>
      <c r="DC263" s="80">
        <v>91</v>
      </c>
      <c r="DD263" s="80">
        <v>0</v>
      </c>
      <c r="DE263" s="80">
        <v>0</v>
      </c>
      <c r="DF263" s="80">
        <v>0</v>
      </c>
      <c r="DG263" s="80">
        <v>155677</v>
      </c>
      <c r="DH263" s="80">
        <v>24245</v>
      </c>
      <c r="DI263" s="80">
        <v>0</v>
      </c>
      <c r="DJ263" s="80">
        <v>0</v>
      </c>
      <c r="DK263" s="80">
        <v>18629</v>
      </c>
      <c r="DL263" s="80">
        <v>5616</v>
      </c>
      <c r="DM263" s="80">
        <v>131432</v>
      </c>
      <c r="DN263" s="80">
        <v>31103</v>
      </c>
      <c r="DO263" s="80">
        <v>38550</v>
      </c>
      <c r="DP263" s="80">
        <v>36462</v>
      </c>
      <c r="DQ263" s="80">
        <v>25317</v>
      </c>
      <c r="DR263" s="80">
        <v>29077</v>
      </c>
      <c r="DS263" s="80">
        <v>16982</v>
      </c>
      <c r="DT263" s="80">
        <v>0</v>
      </c>
      <c r="DU263" s="80">
        <v>9700</v>
      </c>
      <c r="DV263" s="80">
        <v>2395</v>
      </c>
      <c r="DW263" s="80">
        <v>72072</v>
      </c>
      <c r="DX263" s="80">
        <v>1909886</v>
      </c>
      <c r="DY263" s="80">
        <v>1211226</v>
      </c>
      <c r="DZ263" s="80">
        <v>636657</v>
      </c>
      <c r="EA263" s="80">
        <v>0</v>
      </c>
      <c r="EB263" s="80">
        <v>33200</v>
      </c>
      <c r="EC263" s="80">
        <v>578255</v>
      </c>
      <c r="ED263" s="80">
        <v>-36886</v>
      </c>
      <c r="EE263" s="80">
        <v>29417</v>
      </c>
      <c r="EF263" s="80">
        <v>9728</v>
      </c>
      <c r="EG263" s="80">
        <v>19689</v>
      </c>
      <c r="EH263" s="80">
        <v>10224</v>
      </c>
      <c r="EI263" s="80">
        <v>4276</v>
      </c>
      <c r="EJ263" s="80">
        <v>5948</v>
      </c>
      <c r="EK263" s="80">
        <v>14156</v>
      </c>
      <c r="EL263" s="80">
        <v>126</v>
      </c>
      <c r="EM263" s="80">
        <v>12222</v>
      </c>
      <c r="EN263" s="80">
        <v>1808</v>
      </c>
      <c r="EO263" s="80">
        <v>644863</v>
      </c>
      <c r="EP263" s="80">
        <v>234032</v>
      </c>
      <c r="EQ263" s="80">
        <v>0</v>
      </c>
      <c r="ER263" s="80">
        <v>190536</v>
      </c>
      <c r="ES263" s="80">
        <v>11</v>
      </c>
      <c r="ET263" s="80">
        <v>150525</v>
      </c>
      <c r="EU263" s="80">
        <v>0</v>
      </c>
      <c r="EV263" s="80">
        <v>40000</v>
      </c>
      <c r="EW263" s="80">
        <v>0</v>
      </c>
      <c r="EX263" s="80">
        <v>0</v>
      </c>
      <c r="EY263" s="80">
        <v>5494</v>
      </c>
      <c r="EZ263" s="80">
        <v>0</v>
      </c>
      <c r="FA263" s="80">
        <v>18097</v>
      </c>
      <c r="FB263" s="80">
        <v>11</v>
      </c>
      <c r="FC263" s="80">
        <v>19905</v>
      </c>
      <c r="FD263" s="80">
        <v>410831</v>
      </c>
      <c r="FE263" s="80">
        <v>0</v>
      </c>
      <c r="FF263" s="80">
        <v>25502</v>
      </c>
      <c r="FG263" s="80">
        <v>11</v>
      </c>
      <c r="FH263" s="80">
        <v>20537</v>
      </c>
      <c r="FI263" s="80">
        <v>0</v>
      </c>
      <c r="FJ263" s="80">
        <v>4954</v>
      </c>
      <c r="FK263" s="80">
        <v>0</v>
      </c>
      <c r="FL263" s="80">
        <v>182794</v>
      </c>
      <c r="FM263" s="80">
        <v>0</v>
      </c>
      <c r="FN263" s="80">
        <v>67088</v>
      </c>
      <c r="FO263" s="80">
        <v>13901</v>
      </c>
      <c r="FP263" s="80">
        <v>121546</v>
      </c>
      <c r="FQ263" s="80">
        <v>1909886</v>
      </c>
      <c r="FR263" s="80">
        <v>370717</v>
      </c>
      <c r="FS263" s="80">
        <v>10320</v>
      </c>
      <c r="FT263" s="100">
        <v>1032210.6351485596</v>
      </c>
      <c r="FU263" s="100"/>
      <c r="FV263" s="100">
        <v>579979</v>
      </c>
      <c r="FW263" s="67">
        <v>97492</v>
      </c>
      <c r="FX263" s="100">
        <f t="shared" si="20"/>
        <v>-260254</v>
      </c>
      <c r="FY263" s="100">
        <f t="shared" si="21"/>
        <v>-1020293</v>
      </c>
      <c r="FZ263" s="100">
        <v>701446.96685521619</v>
      </c>
      <c r="GA263" s="67">
        <v>760039</v>
      </c>
      <c r="GB263" s="58">
        <f t="shared" si="18"/>
        <v>180060</v>
      </c>
      <c r="GC263" s="67">
        <v>103136</v>
      </c>
      <c r="GD263" s="100">
        <v>86678</v>
      </c>
      <c r="GE263" s="100">
        <v>38199</v>
      </c>
      <c r="GF263" s="58">
        <f t="shared" si="19"/>
        <v>48479</v>
      </c>
      <c r="GG263" s="100">
        <v>-462871.93300000002</v>
      </c>
      <c r="GH263" s="100">
        <v>-17276.685000000009</v>
      </c>
      <c r="GI263" s="100">
        <v>-218874.73890232283</v>
      </c>
      <c r="GJ263" s="67">
        <f t="shared" si="22"/>
        <v>5644</v>
      </c>
      <c r="GK263" s="67"/>
      <c r="GM263" s="96"/>
    </row>
    <row r="264" spans="1:195" ht="13.5" customHeight="1" x14ac:dyDescent="0.2">
      <c r="A264" s="74">
        <v>109</v>
      </c>
      <c r="B264" s="75" t="s">
        <v>237</v>
      </c>
      <c r="C264" s="82" t="s">
        <v>237</v>
      </c>
      <c r="D264" s="76"/>
      <c r="E264" s="77" t="s">
        <v>226</v>
      </c>
      <c r="F264" s="78">
        <v>6</v>
      </c>
      <c r="G264" s="79">
        <v>68011</v>
      </c>
      <c r="H264" s="80">
        <v>90274</v>
      </c>
      <c r="I264" s="80">
        <v>27725</v>
      </c>
      <c r="J264" s="80">
        <v>24720</v>
      </c>
      <c r="K264" s="80">
        <v>13743</v>
      </c>
      <c r="L264" s="80">
        <v>24086</v>
      </c>
      <c r="M264" s="80">
        <v>0</v>
      </c>
      <c r="N264" s="80">
        <v>5364</v>
      </c>
      <c r="O264" s="80">
        <v>445832</v>
      </c>
      <c r="P264" s="80">
        <v>153841</v>
      </c>
      <c r="Q264" s="80">
        <v>115746</v>
      </c>
      <c r="R264" s="80">
        <v>38095</v>
      </c>
      <c r="S264" s="80">
        <v>30963</v>
      </c>
      <c r="T264" s="80">
        <v>7132</v>
      </c>
      <c r="U264" s="80">
        <v>220037</v>
      </c>
      <c r="V264" s="80">
        <v>16449</v>
      </c>
      <c r="W264" s="80">
        <v>38364</v>
      </c>
      <c r="X264" s="80">
        <v>17141</v>
      </c>
      <c r="Y264" s="80">
        <v>-350194</v>
      </c>
      <c r="Z264" s="80">
        <v>278118</v>
      </c>
      <c r="AA264" s="80">
        <v>238409</v>
      </c>
      <c r="AB264" s="80">
        <v>15526</v>
      </c>
      <c r="AC264" s="80">
        <v>24183</v>
      </c>
      <c r="AD264" s="80">
        <v>87268</v>
      </c>
      <c r="AE264" s="80">
        <v>4280</v>
      </c>
      <c r="AF264" s="80">
        <v>2345</v>
      </c>
      <c r="AG264" s="80">
        <v>7080</v>
      </c>
      <c r="AH264" s="80">
        <v>0</v>
      </c>
      <c r="AI264" s="80">
        <v>3673</v>
      </c>
      <c r="AJ264" s="80">
        <v>1472</v>
      </c>
      <c r="AK264" s="80">
        <v>19472</v>
      </c>
      <c r="AL264" s="80">
        <v>17467</v>
      </c>
      <c r="AM264" s="80">
        <v>17467</v>
      </c>
      <c r="AN264" s="80">
        <v>0</v>
      </c>
      <c r="AO264" s="80">
        <v>2000</v>
      </c>
      <c r="AP264" s="80">
        <v>2000</v>
      </c>
      <c r="AQ264" s="80">
        <v>0</v>
      </c>
      <c r="AR264" s="80">
        <v>4005</v>
      </c>
      <c r="AS264" s="80">
        <v>348</v>
      </c>
      <c r="AT264" s="80">
        <v>-231</v>
      </c>
      <c r="AU264" s="80">
        <v>0</v>
      </c>
      <c r="AV264" s="80">
        <v>4122</v>
      </c>
      <c r="AW264" s="81"/>
      <c r="AX264" s="80">
        <v>24532</v>
      </c>
      <c r="AY264" s="80">
        <v>19472</v>
      </c>
      <c r="AZ264" s="80">
        <v>2000</v>
      </c>
      <c r="BA264" s="80">
        <v>3060</v>
      </c>
      <c r="BB264" s="80">
        <v>-12301</v>
      </c>
      <c r="BC264" s="80">
        <v>27038</v>
      </c>
      <c r="BD264" s="80">
        <v>1298</v>
      </c>
      <c r="BE264" s="80">
        <v>13439</v>
      </c>
      <c r="BF264" s="80">
        <v>12231</v>
      </c>
      <c r="BG264" s="80">
        <v>-11543</v>
      </c>
      <c r="BH264" s="80">
        <v>363</v>
      </c>
      <c r="BI264" s="80">
        <v>0</v>
      </c>
      <c r="BJ264" s="80">
        <v>363</v>
      </c>
      <c r="BK264" s="80">
        <v>-1931</v>
      </c>
      <c r="BL264" s="80">
        <v>30000</v>
      </c>
      <c r="BM264" s="80">
        <v>29038</v>
      </c>
      <c r="BN264" s="80">
        <v>-2893</v>
      </c>
      <c r="BO264" s="80">
        <v>-10121</v>
      </c>
      <c r="BP264" s="80">
        <v>146</v>
      </c>
      <c r="BQ264" s="80">
        <v>419</v>
      </c>
      <c r="BR264" s="80">
        <v>22145</v>
      </c>
      <c r="BS264" s="80">
        <v>-6624</v>
      </c>
      <c r="BT264" s="80">
        <v>-15794</v>
      </c>
      <c r="BU264" s="80">
        <v>687</v>
      </c>
      <c r="BV264" s="80">
        <v>93828</v>
      </c>
      <c r="BW264" s="80">
        <v>93141</v>
      </c>
      <c r="BX264" s="81"/>
      <c r="BY264" s="80">
        <v>504310</v>
      </c>
      <c r="BZ264" s="80">
        <v>3206</v>
      </c>
      <c r="CA264" s="80">
        <v>87</v>
      </c>
      <c r="CB264" s="80">
        <v>3119</v>
      </c>
      <c r="CC264" s="80">
        <v>0</v>
      </c>
      <c r="CD264" s="80">
        <v>258518</v>
      </c>
      <c r="CE264" s="80">
        <v>59634</v>
      </c>
      <c r="CF264" s="80">
        <v>132309</v>
      </c>
      <c r="CG264" s="80">
        <v>48572</v>
      </c>
      <c r="CH264" s="80">
        <v>6535</v>
      </c>
      <c r="CI264" s="80">
        <v>636</v>
      </c>
      <c r="CJ264" s="80">
        <v>636</v>
      </c>
      <c r="CK264" s="80">
        <v>10832</v>
      </c>
      <c r="CL264" s="80">
        <v>242586</v>
      </c>
      <c r="CM264" s="80">
        <v>199700</v>
      </c>
      <c r="CN264" s="80">
        <v>54228</v>
      </c>
      <c r="CO264" s="80">
        <v>145472</v>
      </c>
      <c r="CP264" s="80">
        <v>0</v>
      </c>
      <c r="CQ264" s="80">
        <v>42886</v>
      </c>
      <c r="CR264" s="80">
        <v>0</v>
      </c>
      <c r="CS264" s="80">
        <v>0</v>
      </c>
      <c r="CT264" s="80">
        <v>42886</v>
      </c>
      <c r="CU264" s="80">
        <v>0</v>
      </c>
      <c r="CV264" s="80">
        <v>33</v>
      </c>
      <c r="CW264" s="80">
        <v>0</v>
      </c>
      <c r="CX264" s="80">
        <v>30</v>
      </c>
      <c r="CY264" s="80">
        <v>3</v>
      </c>
      <c r="CZ264" s="80">
        <v>123544</v>
      </c>
      <c r="DA264" s="80">
        <v>547</v>
      </c>
      <c r="DB264" s="80">
        <v>547</v>
      </c>
      <c r="DC264" s="80">
        <v>0</v>
      </c>
      <c r="DD264" s="80">
        <v>0</v>
      </c>
      <c r="DE264" s="80">
        <v>0</v>
      </c>
      <c r="DF264" s="80">
        <v>0</v>
      </c>
      <c r="DG264" s="80">
        <v>29169</v>
      </c>
      <c r="DH264" s="80">
        <v>9396</v>
      </c>
      <c r="DI264" s="80">
        <v>2160</v>
      </c>
      <c r="DJ264" s="80">
        <v>353</v>
      </c>
      <c r="DK264" s="80">
        <v>1319</v>
      </c>
      <c r="DL264" s="80">
        <v>5564</v>
      </c>
      <c r="DM264" s="80">
        <v>19773</v>
      </c>
      <c r="DN264" s="80">
        <v>6321</v>
      </c>
      <c r="DO264" s="80">
        <v>377</v>
      </c>
      <c r="DP264" s="80">
        <v>5713</v>
      </c>
      <c r="DQ264" s="80">
        <v>7362</v>
      </c>
      <c r="DR264" s="80">
        <v>88706</v>
      </c>
      <c r="DS264" s="80">
        <v>0</v>
      </c>
      <c r="DT264" s="80">
        <v>0</v>
      </c>
      <c r="DU264" s="80">
        <v>2257</v>
      </c>
      <c r="DV264" s="80">
        <v>86449</v>
      </c>
      <c r="DW264" s="80">
        <v>5122</v>
      </c>
      <c r="DX264" s="80">
        <v>627887</v>
      </c>
      <c r="DY264" s="80">
        <v>347492</v>
      </c>
      <c r="DZ264" s="80">
        <v>274117</v>
      </c>
      <c r="EA264" s="80">
        <v>0</v>
      </c>
      <c r="EB264" s="80">
        <v>74730</v>
      </c>
      <c r="EC264" s="80">
        <v>-5477</v>
      </c>
      <c r="ED264" s="80">
        <v>4122</v>
      </c>
      <c r="EE264" s="80">
        <v>11348</v>
      </c>
      <c r="EF264" s="80">
        <v>10582</v>
      </c>
      <c r="EG264" s="80">
        <v>766</v>
      </c>
      <c r="EH264" s="80">
        <v>16320</v>
      </c>
      <c r="EI264" s="80">
        <v>757</v>
      </c>
      <c r="EJ264" s="80">
        <v>15563</v>
      </c>
      <c r="EK264" s="80">
        <v>1118</v>
      </c>
      <c r="EL264" s="80">
        <v>0</v>
      </c>
      <c r="EM264" s="80">
        <v>99</v>
      </c>
      <c r="EN264" s="80">
        <v>1019</v>
      </c>
      <c r="EO264" s="80">
        <v>251609</v>
      </c>
      <c r="EP264" s="80">
        <v>151821</v>
      </c>
      <c r="EQ264" s="80">
        <v>0</v>
      </c>
      <c r="ER264" s="80">
        <v>141960</v>
      </c>
      <c r="ES264" s="80">
        <v>68803</v>
      </c>
      <c r="ET264" s="80">
        <v>73157</v>
      </c>
      <c r="EU264" s="80">
        <v>0</v>
      </c>
      <c r="EV264" s="80">
        <v>0</v>
      </c>
      <c r="EW264" s="80">
        <v>2265</v>
      </c>
      <c r="EX264" s="80">
        <v>0</v>
      </c>
      <c r="EY264" s="80">
        <v>74</v>
      </c>
      <c r="EZ264" s="80">
        <v>0</v>
      </c>
      <c r="FA264" s="80">
        <v>44</v>
      </c>
      <c r="FB264" s="80">
        <v>0</v>
      </c>
      <c r="FC264" s="80">
        <v>7478</v>
      </c>
      <c r="FD264" s="80">
        <v>99788</v>
      </c>
      <c r="FE264" s="80">
        <v>0</v>
      </c>
      <c r="FF264" s="80">
        <v>28900</v>
      </c>
      <c r="FG264" s="80">
        <v>12181</v>
      </c>
      <c r="FH264" s="80">
        <v>16719</v>
      </c>
      <c r="FI264" s="80">
        <v>0</v>
      </c>
      <c r="FJ264" s="80">
        <v>0</v>
      </c>
      <c r="FK264" s="80">
        <v>511</v>
      </c>
      <c r="FL264" s="80">
        <v>25785</v>
      </c>
      <c r="FM264" s="80">
        <v>1651</v>
      </c>
      <c r="FN264" s="80">
        <v>15281</v>
      </c>
      <c r="FO264" s="80">
        <v>2618</v>
      </c>
      <c r="FP264" s="80">
        <v>25042</v>
      </c>
      <c r="FQ264" s="80">
        <v>627887</v>
      </c>
      <c r="FR264" s="80">
        <v>163094</v>
      </c>
      <c r="FS264" s="80">
        <v>12284</v>
      </c>
      <c r="FT264" s="100">
        <v>214473.47238059036</v>
      </c>
      <c r="FU264" s="100"/>
      <c r="FV264" s="100">
        <v>92173</v>
      </c>
      <c r="FW264" s="67">
        <v>16715</v>
      </c>
      <c r="FX264" s="100">
        <f t="shared" si="20"/>
        <v>-185609</v>
      </c>
      <c r="FY264" s="100">
        <f t="shared" si="21"/>
        <v>-332727</v>
      </c>
      <c r="FZ264" s="100">
        <v>232429.44034329636</v>
      </c>
      <c r="GA264" s="67">
        <v>147118</v>
      </c>
      <c r="GB264" s="58">
        <f t="shared" si="18"/>
        <v>54945</v>
      </c>
      <c r="GC264" s="67">
        <v>17467</v>
      </c>
      <c r="GD264" s="100">
        <v>24750</v>
      </c>
      <c r="GE264" s="100">
        <v>6888</v>
      </c>
      <c r="GF264" s="58">
        <f t="shared" si="19"/>
        <v>17862</v>
      </c>
      <c r="GG264" s="100">
        <v>-140618.31100000002</v>
      </c>
      <c r="GH264" s="100">
        <v>-4315.8645000000006</v>
      </c>
      <c r="GI264" s="100">
        <v>-87626.747614840468</v>
      </c>
      <c r="GJ264" s="67">
        <f t="shared" si="22"/>
        <v>752</v>
      </c>
      <c r="GK264" s="67"/>
      <c r="GM264" s="96"/>
    </row>
    <row r="265" spans="1:195" ht="13.5" customHeight="1" x14ac:dyDescent="0.2">
      <c r="A265" s="74">
        <v>108</v>
      </c>
      <c r="B265" s="75" t="s">
        <v>236</v>
      </c>
      <c r="C265" s="82" t="s">
        <v>236</v>
      </c>
      <c r="D265" s="76"/>
      <c r="E265" s="77" t="s">
        <v>214</v>
      </c>
      <c r="F265" s="78">
        <v>4</v>
      </c>
      <c r="G265" s="79">
        <v>10667</v>
      </c>
      <c r="H265" s="80">
        <v>10790</v>
      </c>
      <c r="I265" s="80">
        <v>4048</v>
      </c>
      <c r="J265" s="80">
        <v>4264</v>
      </c>
      <c r="K265" s="80">
        <v>880</v>
      </c>
      <c r="L265" s="80">
        <v>1598</v>
      </c>
      <c r="M265" s="80">
        <v>0</v>
      </c>
      <c r="N265" s="80">
        <v>138</v>
      </c>
      <c r="O265" s="80">
        <v>65515</v>
      </c>
      <c r="P265" s="80">
        <v>31457</v>
      </c>
      <c r="Q265" s="80">
        <v>24406</v>
      </c>
      <c r="R265" s="80">
        <v>7051</v>
      </c>
      <c r="S265" s="80">
        <v>5800</v>
      </c>
      <c r="T265" s="80">
        <v>1251</v>
      </c>
      <c r="U265" s="80">
        <v>25669</v>
      </c>
      <c r="V265" s="80">
        <v>3938</v>
      </c>
      <c r="W265" s="80">
        <v>2623</v>
      </c>
      <c r="X265" s="80">
        <v>1828</v>
      </c>
      <c r="Y265" s="80">
        <v>-54587</v>
      </c>
      <c r="Z265" s="80">
        <v>35767</v>
      </c>
      <c r="AA265" s="80">
        <v>32309</v>
      </c>
      <c r="AB265" s="80">
        <v>1208</v>
      </c>
      <c r="AC265" s="80">
        <v>2250</v>
      </c>
      <c r="AD265" s="80">
        <v>21185</v>
      </c>
      <c r="AE265" s="80">
        <v>23</v>
      </c>
      <c r="AF265" s="80">
        <v>184</v>
      </c>
      <c r="AG265" s="80">
        <v>350</v>
      </c>
      <c r="AH265" s="80">
        <v>18</v>
      </c>
      <c r="AI265" s="80">
        <v>323</v>
      </c>
      <c r="AJ265" s="80">
        <v>188</v>
      </c>
      <c r="AK265" s="80">
        <v>2388</v>
      </c>
      <c r="AL265" s="80">
        <v>3629</v>
      </c>
      <c r="AM265" s="80">
        <v>3629</v>
      </c>
      <c r="AN265" s="80">
        <v>0</v>
      </c>
      <c r="AO265" s="80">
        <v>0</v>
      </c>
      <c r="AP265" s="80">
        <v>0</v>
      </c>
      <c r="AQ265" s="80">
        <v>0</v>
      </c>
      <c r="AR265" s="80">
        <v>-1241</v>
      </c>
      <c r="AS265" s="80">
        <v>77</v>
      </c>
      <c r="AT265" s="80">
        <v>0</v>
      </c>
      <c r="AU265" s="80">
        <v>0</v>
      </c>
      <c r="AV265" s="80">
        <v>-1164</v>
      </c>
      <c r="AW265" s="81"/>
      <c r="AX265" s="80">
        <v>2267</v>
      </c>
      <c r="AY265" s="80">
        <v>2388</v>
      </c>
      <c r="AZ265" s="80">
        <v>0</v>
      </c>
      <c r="BA265" s="80">
        <v>-121</v>
      </c>
      <c r="BB265" s="80">
        <v>-19469</v>
      </c>
      <c r="BC265" s="80">
        <v>20678</v>
      </c>
      <c r="BD265" s="80">
        <v>876</v>
      </c>
      <c r="BE265" s="80">
        <v>333</v>
      </c>
      <c r="BF265" s="80">
        <v>-17202</v>
      </c>
      <c r="BG265" s="80">
        <v>18000</v>
      </c>
      <c r="BH265" s="80">
        <v>36</v>
      </c>
      <c r="BI265" s="80">
        <v>9</v>
      </c>
      <c r="BJ265" s="80">
        <v>45</v>
      </c>
      <c r="BK265" s="80">
        <v>15665</v>
      </c>
      <c r="BL265" s="80">
        <v>20000</v>
      </c>
      <c r="BM265" s="80">
        <v>1839</v>
      </c>
      <c r="BN265" s="80">
        <v>-2496</v>
      </c>
      <c r="BO265" s="80">
        <v>0</v>
      </c>
      <c r="BP265" s="80">
        <v>2299</v>
      </c>
      <c r="BQ265" s="80">
        <v>6</v>
      </c>
      <c r="BR265" s="80">
        <v>20</v>
      </c>
      <c r="BS265" s="80">
        <v>374</v>
      </c>
      <c r="BT265" s="80">
        <v>1899</v>
      </c>
      <c r="BU265" s="80">
        <v>799</v>
      </c>
      <c r="BV265" s="80">
        <v>6934</v>
      </c>
      <c r="BW265" s="80">
        <v>6135</v>
      </c>
      <c r="BX265" s="81"/>
      <c r="BY265" s="80">
        <v>74338</v>
      </c>
      <c r="BZ265" s="80">
        <v>785</v>
      </c>
      <c r="CA265" s="80">
        <v>129</v>
      </c>
      <c r="CB265" s="80">
        <v>656</v>
      </c>
      <c r="CC265" s="80">
        <v>0</v>
      </c>
      <c r="CD265" s="80">
        <v>65849</v>
      </c>
      <c r="CE265" s="80">
        <v>7460</v>
      </c>
      <c r="CF265" s="80">
        <v>29019</v>
      </c>
      <c r="CG265" s="80">
        <v>13479</v>
      </c>
      <c r="CH265" s="80">
        <v>776</v>
      </c>
      <c r="CI265" s="80">
        <v>2</v>
      </c>
      <c r="CJ265" s="80">
        <v>2</v>
      </c>
      <c r="CK265" s="80">
        <v>15113</v>
      </c>
      <c r="CL265" s="80">
        <v>7704</v>
      </c>
      <c r="CM265" s="80">
        <v>7314</v>
      </c>
      <c r="CN265" s="80">
        <v>4943</v>
      </c>
      <c r="CO265" s="80">
        <v>2371</v>
      </c>
      <c r="CP265" s="80">
        <v>0</v>
      </c>
      <c r="CQ265" s="80">
        <v>390</v>
      </c>
      <c r="CR265" s="80">
        <v>0</v>
      </c>
      <c r="CS265" s="80">
        <v>0</v>
      </c>
      <c r="CT265" s="80">
        <v>390</v>
      </c>
      <c r="CU265" s="80">
        <v>0</v>
      </c>
      <c r="CV265" s="80">
        <v>273</v>
      </c>
      <c r="CW265" s="80">
        <v>14</v>
      </c>
      <c r="CX265" s="80">
        <v>0</v>
      </c>
      <c r="CY265" s="80">
        <v>259</v>
      </c>
      <c r="CZ265" s="80">
        <v>10821</v>
      </c>
      <c r="DA265" s="80">
        <v>221</v>
      </c>
      <c r="DB265" s="80">
        <v>221</v>
      </c>
      <c r="DC265" s="80">
        <v>0</v>
      </c>
      <c r="DD265" s="80">
        <v>0</v>
      </c>
      <c r="DE265" s="80">
        <v>0</v>
      </c>
      <c r="DF265" s="80">
        <v>0</v>
      </c>
      <c r="DG265" s="80">
        <v>3666</v>
      </c>
      <c r="DH265" s="80">
        <v>35</v>
      </c>
      <c r="DI265" s="80">
        <v>0</v>
      </c>
      <c r="DJ265" s="80">
        <v>35</v>
      </c>
      <c r="DK265" s="80">
        <v>0</v>
      </c>
      <c r="DL265" s="80">
        <v>0</v>
      </c>
      <c r="DM265" s="80">
        <v>3631</v>
      </c>
      <c r="DN265" s="80">
        <v>1170</v>
      </c>
      <c r="DO265" s="80">
        <v>0</v>
      </c>
      <c r="DP265" s="80">
        <v>1724</v>
      </c>
      <c r="DQ265" s="80">
        <v>737</v>
      </c>
      <c r="DR265" s="80">
        <v>4361</v>
      </c>
      <c r="DS265" s="80">
        <v>0</v>
      </c>
      <c r="DT265" s="80">
        <v>0</v>
      </c>
      <c r="DU265" s="80">
        <v>1629</v>
      </c>
      <c r="DV265" s="80">
        <v>2732</v>
      </c>
      <c r="DW265" s="80">
        <v>2573</v>
      </c>
      <c r="DX265" s="80">
        <v>85432</v>
      </c>
      <c r="DY265" s="80">
        <v>33940</v>
      </c>
      <c r="DZ265" s="80">
        <v>31082</v>
      </c>
      <c r="EA265" s="80">
        <v>0</v>
      </c>
      <c r="EB265" s="80">
        <v>322</v>
      </c>
      <c r="EC265" s="80">
        <v>3700</v>
      </c>
      <c r="ED265" s="80">
        <v>-1164</v>
      </c>
      <c r="EE265" s="80">
        <v>1658</v>
      </c>
      <c r="EF265" s="80">
        <v>1658</v>
      </c>
      <c r="EG265" s="80">
        <v>0</v>
      </c>
      <c r="EH265" s="80">
        <v>0</v>
      </c>
      <c r="EI265" s="80">
        <v>0</v>
      </c>
      <c r="EJ265" s="80">
        <v>0</v>
      </c>
      <c r="EK265" s="80">
        <v>318</v>
      </c>
      <c r="EL265" s="80">
        <v>14</v>
      </c>
      <c r="EM265" s="80">
        <v>0</v>
      </c>
      <c r="EN265" s="80">
        <v>304</v>
      </c>
      <c r="EO265" s="80">
        <v>49516</v>
      </c>
      <c r="EP265" s="80">
        <v>30799</v>
      </c>
      <c r="EQ265" s="80">
        <v>0</v>
      </c>
      <c r="ER265" s="80">
        <v>30799</v>
      </c>
      <c r="ES265" s="80">
        <v>0</v>
      </c>
      <c r="ET265" s="80">
        <v>30799</v>
      </c>
      <c r="EU265" s="80">
        <v>0</v>
      </c>
      <c r="EV265" s="80">
        <v>0</v>
      </c>
      <c r="EW265" s="80">
        <v>0</v>
      </c>
      <c r="EX265" s="80">
        <v>0</v>
      </c>
      <c r="EY265" s="80">
        <v>0</v>
      </c>
      <c r="EZ265" s="80">
        <v>0</v>
      </c>
      <c r="FA265" s="80">
        <v>0</v>
      </c>
      <c r="FB265" s="80">
        <v>0</v>
      </c>
      <c r="FC265" s="80">
        <v>0</v>
      </c>
      <c r="FD265" s="80">
        <v>18717</v>
      </c>
      <c r="FE265" s="80">
        <v>0</v>
      </c>
      <c r="FF265" s="80">
        <v>7839</v>
      </c>
      <c r="FG265" s="80">
        <v>0</v>
      </c>
      <c r="FH265" s="80">
        <v>7839</v>
      </c>
      <c r="FI265" s="80">
        <v>0</v>
      </c>
      <c r="FJ265" s="80">
        <v>0</v>
      </c>
      <c r="FK265" s="80">
        <v>0</v>
      </c>
      <c r="FL265" s="80">
        <v>0</v>
      </c>
      <c r="FM265" s="80">
        <v>1</v>
      </c>
      <c r="FN265" s="80">
        <v>3654</v>
      </c>
      <c r="FO265" s="80">
        <v>1021</v>
      </c>
      <c r="FP265" s="80">
        <v>6202</v>
      </c>
      <c r="FQ265" s="80">
        <v>85432</v>
      </c>
      <c r="FR265" s="80">
        <v>7682</v>
      </c>
      <c r="FS265" s="80">
        <v>7</v>
      </c>
      <c r="FT265" s="100">
        <v>36007.774297659838</v>
      </c>
      <c r="FU265" s="100"/>
      <c r="FV265" s="100">
        <v>13005</v>
      </c>
      <c r="FW265" s="67">
        <v>3462</v>
      </c>
      <c r="FX265" s="100">
        <f t="shared" si="20"/>
        <v>-31757</v>
      </c>
      <c r="FY265" s="100">
        <f t="shared" si="21"/>
        <v>-50958</v>
      </c>
      <c r="FZ265" s="100">
        <v>32599.555257000007</v>
      </c>
      <c r="GA265" s="67">
        <v>19201</v>
      </c>
      <c r="GB265" s="58">
        <f t="shared" si="18"/>
        <v>6196</v>
      </c>
      <c r="GC265" s="67">
        <v>3629</v>
      </c>
      <c r="GD265" s="100">
        <v>4269</v>
      </c>
      <c r="GE265" s="100">
        <v>1159</v>
      </c>
      <c r="GF265" s="58">
        <f t="shared" si="19"/>
        <v>3110</v>
      </c>
      <c r="GG265" s="100">
        <v>-18551.468000000001</v>
      </c>
      <c r="GH265" s="100">
        <v>-423.77740000000017</v>
      </c>
      <c r="GI265" s="100">
        <v>-13567.208476122862</v>
      </c>
      <c r="GJ265" s="67">
        <f t="shared" si="22"/>
        <v>167</v>
      </c>
      <c r="GK265" s="67"/>
      <c r="GM265" s="96"/>
    </row>
    <row r="266" spans="1:195" ht="13.5" customHeight="1" x14ac:dyDescent="0.2">
      <c r="A266" s="74">
        <v>844</v>
      </c>
      <c r="B266" s="75" t="s">
        <v>186</v>
      </c>
      <c r="C266" s="75" t="s">
        <v>186</v>
      </c>
      <c r="D266" s="76"/>
      <c r="E266" s="77" t="s">
        <v>239</v>
      </c>
      <c r="F266" s="78">
        <v>1</v>
      </c>
      <c r="G266" s="79">
        <v>1608</v>
      </c>
      <c r="H266" s="80">
        <v>3091</v>
      </c>
      <c r="I266" s="80">
        <v>1688</v>
      </c>
      <c r="J266" s="80">
        <v>789</v>
      </c>
      <c r="K266" s="80">
        <v>106</v>
      </c>
      <c r="L266" s="80">
        <v>508</v>
      </c>
      <c r="M266" s="80">
        <v>0</v>
      </c>
      <c r="N266" s="80">
        <v>0</v>
      </c>
      <c r="O266" s="80">
        <v>13783</v>
      </c>
      <c r="P266" s="80">
        <v>5354</v>
      </c>
      <c r="Q266" s="80">
        <v>3966</v>
      </c>
      <c r="R266" s="80">
        <v>1388</v>
      </c>
      <c r="S266" s="80">
        <v>1179</v>
      </c>
      <c r="T266" s="80">
        <v>209</v>
      </c>
      <c r="U266" s="80">
        <v>7028</v>
      </c>
      <c r="V266" s="80">
        <v>677</v>
      </c>
      <c r="W266" s="80">
        <v>512</v>
      </c>
      <c r="X266" s="80">
        <v>212</v>
      </c>
      <c r="Y266" s="80">
        <v>-10692</v>
      </c>
      <c r="Z266" s="80">
        <v>4324</v>
      </c>
      <c r="AA266" s="80">
        <v>3505</v>
      </c>
      <c r="AB266" s="80">
        <v>413</v>
      </c>
      <c r="AC266" s="80">
        <v>406</v>
      </c>
      <c r="AD266" s="80">
        <v>6236</v>
      </c>
      <c r="AE266" s="80">
        <v>184</v>
      </c>
      <c r="AF266" s="80">
        <v>9</v>
      </c>
      <c r="AG266" s="80">
        <v>273</v>
      </c>
      <c r="AH266" s="80">
        <v>133</v>
      </c>
      <c r="AI266" s="80">
        <v>39</v>
      </c>
      <c r="AJ266" s="80">
        <v>59</v>
      </c>
      <c r="AK266" s="80">
        <v>52</v>
      </c>
      <c r="AL266" s="80">
        <v>401</v>
      </c>
      <c r="AM266" s="80">
        <v>401</v>
      </c>
      <c r="AN266" s="80">
        <v>0</v>
      </c>
      <c r="AO266" s="80">
        <v>57</v>
      </c>
      <c r="AP266" s="80">
        <v>57</v>
      </c>
      <c r="AQ266" s="80">
        <v>0</v>
      </c>
      <c r="AR266" s="80">
        <v>-292</v>
      </c>
      <c r="AS266" s="80">
        <v>47</v>
      </c>
      <c r="AT266" s="80">
        <v>87</v>
      </c>
      <c r="AU266" s="80">
        <v>100</v>
      </c>
      <c r="AV266" s="80">
        <v>-58</v>
      </c>
      <c r="AW266" s="81"/>
      <c r="AX266" s="80">
        <v>74</v>
      </c>
      <c r="AY266" s="80">
        <v>52</v>
      </c>
      <c r="AZ266" s="80">
        <v>57</v>
      </c>
      <c r="BA266" s="80">
        <v>-35</v>
      </c>
      <c r="BB266" s="80">
        <v>-558</v>
      </c>
      <c r="BC266" s="80">
        <v>1082</v>
      </c>
      <c r="BD266" s="80">
        <v>13</v>
      </c>
      <c r="BE266" s="80">
        <v>511</v>
      </c>
      <c r="BF266" s="80">
        <v>-484</v>
      </c>
      <c r="BG266" s="80">
        <v>558</v>
      </c>
      <c r="BH266" s="80">
        <v>91</v>
      </c>
      <c r="BI266" s="80">
        <v>71</v>
      </c>
      <c r="BJ266" s="80">
        <v>162</v>
      </c>
      <c r="BK266" s="80">
        <v>397</v>
      </c>
      <c r="BL266" s="80">
        <v>700</v>
      </c>
      <c r="BM266" s="80">
        <v>264</v>
      </c>
      <c r="BN266" s="80">
        <v>-39</v>
      </c>
      <c r="BO266" s="80">
        <v>-51</v>
      </c>
      <c r="BP266" s="80">
        <v>121</v>
      </c>
      <c r="BQ266" s="80">
        <v>-14</v>
      </c>
      <c r="BR266" s="80">
        <v>7</v>
      </c>
      <c r="BS266" s="80">
        <v>135</v>
      </c>
      <c r="BT266" s="80">
        <v>-7</v>
      </c>
      <c r="BU266" s="80">
        <v>74</v>
      </c>
      <c r="BV266" s="80">
        <v>3551</v>
      </c>
      <c r="BW266" s="80">
        <v>3477</v>
      </c>
      <c r="BX266" s="81"/>
      <c r="BY266" s="80">
        <v>10775</v>
      </c>
      <c r="BZ266" s="80">
        <v>384</v>
      </c>
      <c r="CA266" s="80">
        <v>7</v>
      </c>
      <c r="CB266" s="80">
        <v>377</v>
      </c>
      <c r="CC266" s="80">
        <v>0</v>
      </c>
      <c r="CD266" s="80">
        <v>7424</v>
      </c>
      <c r="CE266" s="80">
        <v>1500</v>
      </c>
      <c r="CF266" s="80">
        <v>4454</v>
      </c>
      <c r="CG266" s="80">
        <v>1349</v>
      </c>
      <c r="CH266" s="80">
        <v>107</v>
      </c>
      <c r="CI266" s="80">
        <v>0</v>
      </c>
      <c r="CJ266" s="80">
        <v>0</v>
      </c>
      <c r="CK266" s="80">
        <v>14</v>
      </c>
      <c r="CL266" s="80">
        <v>2967</v>
      </c>
      <c r="CM266" s="80">
        <v>2702</v>
      </c>
      <c r="CN266" s="80">
        <v>1080</v>
      </c>
      <c r="CO266" s="80">
        <v>1622</v>
      </c>
      <c r="CP266" s="80">
        <v>0</v>
      </c>
      <c r="CQ266" s="80">
        <v>222</v>
      </c>
      <c r="CR266" s="80">
        <v>0</v>
      </c>
      <c r="CS266" s="80">
        <v>0</v>
      </c>
      <c r="CT266" s="80">
        <v>222</v>
      </c>
      <c r="CU266" s="80">
        <v>43</v>
      </c>
      <c r="CV266" s="80">
        <v>14</v>
      </c>
      <c r="CW266" s="80">
        <v>0</v>
      </c>
      <c r="CX266" s="80">
        <v>14</v>
      </c>
      <c r="CY266" s="80">
        <v>0</v>
      </c>
      <c r="CZ266" s="80">
        <v>4187</v>
      </c>
      <c r="DA266" s="80">
        <v>26</v>
      </c>
      <c r="DB266" s="80">
        <v>26</v>
      </c>
      <c r="DC266" s="80">
        <v>0</v>
      </c>
      <c r="DD266" s="80">
        <v>0</v>
      </c>
      <c r="DE266" s="80">
        <v>0</v>
      </c>
      <c r="DF266" s="80">
        <v>0</v>
      </c>
      <c r="DG266" s="80">
        <v>610</v>
      </c>
      <c r="DH266" s="80">
        <v>0</v>
      </c>
      <c r="DI266" s="80">
        <v>0</v>
      </c>
      <c r="DJ266" s="80">
        <v>0</v>
      </c>
      <c r="DK266" s="80">
        <v>0</v>
      </c>
      <c r="DL266" s="80">
        <v>0</v>
      </c>
      <c r="DM266" s="80">
        <v>610</v>
      </c>
      <c r="DN266" s="80">
        <v>408</v>
      </c>
      <c r="DO266" s="80">
        <v>0</v>
      </c>
      <c r="DP266" s="80">
        <v>130</v>
      </c>
      <c r="DQ266" s="80">
        <v>72</v>
      </c>
      <c r="DR266" s="80">
        <v>3549</v>
      </c>
      <c r="DS266" s="80">
        <v>0</v>
      </c>
      <c r="DT266" s="80">
        <v>3549</v>
      </c>
      <c r="DU266" s="80">
        <v>0</v>
      </c>
      <c r="DV266" s="80">
        <v>0</v>
      </c>
      <c r="DW266" s="80">
        <v>2</v>
      </c>
      <c r="DX266" s="80">
        <v>14976</v>
      </c>
      <c r="DY266" s="80">
        <v>8745</v>
      </c>
      <c r="DZ266" s="80">
        <v>7369</v>
      </c>
      <c r="EA266" s="80">
        <v>0</v>
      </c>
      <c r="EB266" s="80">
        <v>535</v>
      </c>
      <c r="EC266" s="80">
        <v>899</v>
      </c>
      <c r="ED266" s="80">
        <v>-58</v>
      </c>
      <c r="EE266" s="80">
        <v>734</v>
      </c>
      <c r="EF266" s="80">
        <v>734</v>
      </c>
      <c r="EG266" s="80">
        <v>0</v>
      </c>
      <c r="EH266" s="80">
        <v>0</v>
      </c>
      <c r="EI266" s="80">
        <v>0</v>
      </c>
      <c r="EJ266" s="80">
        <v>0</v>
      </c>
      <c r="EK266" s="80">
        <v>84</v>
      </c>
      <c r="EL266" s="80">
        <v>0</v>
      </c>
      <c r="EM266" s="80">
        <v>14</v>
      </c>
      <c r="EN266" s="80">
        <v>70</v>
      </c>
      <c r="EO266" s="80">
        <v>5413</v>
      </c>
      <c r="EP266" s="80">
        <v>2868</v>
      </c>
      <c r="EQ266" s="80">
        <v>0</v>
      </c>
      <c r="ER266" s="80">
        <v>2447</v>
      </c>
      <c r="ES266" s="80">
        <v>0</v>
      </c>
      <c r="ET266" s="80">
        <v>2447</v>
      </c>
      <c r="EU266" s="80">
        <v>0</v>
      </c>
      <c r="EV266" s="80">
        <v>0</v>
      </c>
      <c r="EW266" s="80">
        <v>21</v>
      </c>
      <c r="EX266" s="80">
        <v>0</v>
      </c>
      <c r="EY266" s="80">
        <v>0</v>
      </c>
      <c r="EZ266" s="80">
        <v>0</v>
      </c>
      <c r="FA266" s="80">
        <v>400</v>
      </c>
      <c r="FB266" s="80">
        <v>0</v>
      </c>
      <c r="FC266" s="80">
        <v>0</v>
      </c>
      <c r="FD266" s="80">
        <v>2545</v>
      </c>
      <c r="FE266" s="80">
        <v>0</v>
      </c>
      <c r="FF266" s="80">
        <v>1220</v>
      </c>
      <c r="FG266" s="80">
        <v>349</v>
      </c>
      <c r="FH266" s="80">
        <v>871</v>
      </c>
      <c r="FI266" s="80">
        <v>0</v>
      </c>
      <c r="FJ266" s="80">
        <v>0</v>
      </c>
      <c r="FK266" s="80">
        <v>27</v>
      </c>
      <c r="FL266" s="80">
        <v>0</v>
      </c>
      <c r="FM266" s="80">
        <v>7</v>
      </c>
      <c r="FN266" s="80">
        <v>508</v>
      </c>
      <c r="FO266" s="80">
        <v>90</v>
      </c>
      <c r="FP266" s="80">
        <v>693</v>
      </c>
      <c r="FQ266" s="80">
        <v>14976</v>
      </c>
      <c r="FR266" s="80">
        <v>3602</v>
      </c>
      <c r="FS266" s="80">
        <v>751</v>
      </c>
      <c r="FT266" s="100">
        <v>4906.8434173348096</v>
      </c>
      <c r="FU266" s="100"/>
      <c r="FV266" s="100">
        <v>1873</v>
      </c>
      <c r="FW266" s="67">
        <v>374</v>
      </c>
      <c r="FX266" s="100">
        <f t="shared" si="20"/>
        <v>-6363</v>
      </c>
      <c r="FY266" s="100">
        <f t="shared" si="21"/>
        <v>-10291</v>
      </c>
      <c r="FZ266" s="100">
        <v>7353.395051877269</v>
      </c>
      <c r="GA266" s="67">
        <v>3928</v>
      </c>
      <c r="GB266" s="58">
        <f t="shared" ref="GB266:GB307" si="23">GA266-FV266</f>
        <v>2055</v>
      </c>
      <c r="GC266" s="67">
        <v>403</v>
      </c>
      <c r="GD266" s="100">
        <v>811</v>
      </c>
      <c r="GE266" s="100">
        <v>145</v>
      </c>
      <c r="GF266" s="58">
        <f t="shared" ref="GF266:GF307" si="24">GD266-GE266</f>
        <v>666</v>
      </c>
      <c r="GG266" s="100">
        <v>-2119.915</v>
      </c>
      <c r="GH266" s="100">
        <v>-122.29775000000006</v>
      </c>
      <c r="GI266" s="100">
        <v>-5215.379194521347</v>
      </c>
      <c r="GJ266" s="67">
        <f t="shared" si="22"/>
        <v>29</v>
      </c>
      <c r="GK266" s="67"/>
      <c r="GM266" s="96"/>
    </row>
    <row r="267" spans="1:195" ht="13.5" customHeight="1" x14ac:dyDescent="0.2">
      <c r="A267" s="74">
        <v>845</v>
      </c>
      <c r="B267" s="75" t="s">
        <v>187</v>
      </c>
      <c r="C267" s="75" t="s">
        <v>187</v>
      </c>
      <c r="D267" s="76"/>
      <c r="E267" s="77" t="s">
        <v>222</v>
      </c>
      <c r="F267" s="78">
        <v>2</v>
      </c>
      <c r="G267" s="79">
        <v>3195</v>
      </c>
      <c r="H267" s="80">
        <v>7731</v>
      </c>
      <c r="I267" s="80">
        <v>4538</v>
      </c>
      <c r="J267" s="80">
        <v>2221</v>
      </c>
      <c r="K267" s="80">
        <v>384</v>
      </c>
      <c r="L267" s="80">
        <v>588</v>
      </c>
      <c r="M267" s="80">
        <v>0</v>
      </c>
      <c r="N267" s="80">
        <v>0</v>
      </c>
      <c r="O267" s="80">
        <v>28949</v>
      </c>
      <c r="P267" s="80">
        <v>15417</v>
      </c>
      <c r="Q267" s="80">
        <v>11822</v>
      </c>
      <c r="R267" s="80">
        <v>3595</v>
      </c>
      <c r="S267" s="80">
        <v>3032</v>
      </c>
      <c r="T267" s="80">
        <v>563</v>
      </c>
      <c r="U267" s="80">
        <v>10417</v>
      </c>
      <c r="V267" s="80">
        <v>1716</v>
      </c>
      <c r="W267" s="80">
        <v>1217</v>
      </c>
      <c r="X267" s="80">
        <v>182</v>
      </c>
      <c r="Y267" s="80">
        <v>-21218</v>
      </c>
      <c r="Z267" s="80">
        <v>11401</v>
      </c>
      <c r="AA267" s="80">
        <v>8270</v>
      </c>
      <c r="AB267" s="80">
        <v>544</v>
      </c>
      <c r="AC267" s="80">
        <v>2587</v>
      </c>
      <c r="AD267" s="80">
        <v>11310</v>
      </c>
      <c r="AE267" s="80">
        <v>296</v>
      </c>
      <c r="AF267" s="80">
        <v>50</v>
      </c>
      <c r="AG267" s="80">
        <v>336</v>
      </c>
      <c r="AH267" s="80">
        <v>1</v>
      </c>
      <c r="AI267" s="80">
        <v>27</v>
      </c>
      <c r="AJ267" s="80">
        <v>63</v>
      </c>
      <c r="AK267" s="80">
        <v>1789</v>
      </c>
      <c r="AL267" s="80">
        <v>1331</v>
      </c>
      <c r="AM267" s="80">
        <v>1331</v>
      </c>
      <c r="AN267" s="80">
        <v>0</v>
      </c>
      <c r="AO267" s="80">
        <v>0</v>
      </c>
      <c r="AP267" s="80">
        <v>0</v>
      </c>
      <c r="AQ267" s="80">
        <v>0</v>
      </c>
      <c r="AR267" s="80">
        <v>458</v>
      </c>
      <c r="AS267" s="80">
        <v>-599</v>
      </c>
      <c r="AT267" s="80">
        <v>870</v>
      </c>
      <c r="AU267" s="80">
        <v>0</v>
      </c>
      <c r="AV267" s="80">
        <v>729</v>
      </c>
      <c r="AW267" s="81"/>
      <c r="AX267" s="80">
        <v>1789</v>
      </c>
      <c r="AY267" s="80">
        <v>1789</v>
      </c>
      <c r="AZ267" s="80">
        <v>0</v>
      </c>
      <c r="BA267" s="80">
        <v>0</v>
      </c>
      <c r="BB267" s="80">
        <v>-1193</v>
      </c>
      <c r="BC267" s="80">
        <v>2200</v>
      </c>
      <c r="BD267" s="80">
        <v>838</v>
      </c>
      <c r="BE267" s="80">
        <v>169</v>
      </c>
      <c r="BF267" s="80">
        <v>596</v>
      </c>
      <c r="BG267" s="80">
        <v>-500</v>
      </c>
      <c r="BH267" s="80">
        <v>-934</v>
      </c>
      <c r="BI267" s="80">
        <v>1000</v>
      </c>
      <c r="BJ267" s="80">
        <v>66</v>
      </c>
      <c r="BK267" s="80">
        <v>493</v>
      </c>
      <c r="BL267" s="80">
        <v>864</v>
      </c>
      <c r="BM267" s="80">
        <v>371</v>
      </c>
      <c r="BN267" s="80">
        <v>0</v>
      </c>
      <c r="BO267" s="80">
        <v>0</v>
      </c>
      <c r="BP267" s="80">
        <v>-59</v>
      </c>
      <c r="BQ267" s="80">
        <v>1</v>
      </c>
      <c r="BR267" s="80">
        <v>12</v>
      </c>
      <c r="BS267" s="80">
        <v>430</v>
      </c>
      <c r="BT267" s="80">
        <v>-502</v>
      </c>
      <c r="BU267" s="80">
        <v>96</v>
      </c>
      <c r="BV267" s="80">
        <v>4719</v>
      </c>
      <c r="BW267" s="80">
        <v>4623</v>
      </c>
      <c r="BX267" s="81"/>
      <c r="BY267" s="80">
        <v>24197</v>
      </c>
      <c r="BZ267" s="80">
        <v>104</v>
      </c>
      <c r="CA267" s="80">
        <v>0</v>
      </c>
      <c r="CB267" s="80">
        <v>104</v>
      </c>
      <c r="CC267" s="80">
        <v>0</v>
      </c>
      <c r="CD267" s="80">
        <v>14932</v>
      </c>
      <c r="CE267" s="80">
        <v>1163</v>
      </c>
      <c r="CF267" s="80">
        <v>10938</v>
      </c>
      <c r="CG267" s="80">
        <v>2537</v>
      </c>
      <c r="CH267" s="80">
        <v>221</v>
      </c>
      <c r="CI267" s="80">
        <v>21</v>
      </c>
      <c r="CJ267" s="80">
        <v>21</v>
      </c>
      <c r="CK267" s="80">
        <v>52</v>
      </c>
      <c r="CL267" s="80">
        <v>9161</v>
      </c>
      <c r="CM267" s="80">
        <v>4166</v>
      </c>
      <c r="CN267" s="80">
        <v>1469</v>
      </c>
      <c r="CO267" s="80">
        <v>2697</v>
      </c>
      <c r="CP267" s="80">
        <v>0</v>
      </c>
      <c r="CQ267" s="80">
        <v>4995</v>
      </c>
      <c r="CR267" s="80">
        <v>0</v>
      </c>
      <c r="CS267" s="80">
        <v>0</v>
      </c>
      <c r="CT267" s="80">
        <v>4995</v>
      </c>
      <c r="CU267" s="80">
        <v>0</v>
      </c>
      <c r="CV267" s="80">
        <v>130</v>
      </c>
      <c r="CW267" s="80">
        <v>4</v>
      </c>
      <c r="CX267" s="80">
        <v>0</v>
      </c>
      <c r="CY267" s="80">
        <v>126</v>
      </c>
      <c r="CZ267" s="80">
        <v>6911</v>
      </c>
      <c r="DA267" s="80">
        <v>20</v>
      </c>
      <c r="DB267" s="80">
        <v>20</v>
      </c>
      <c r="DC267" s="80">
        <v>0</v>
      </c>
      <c r="DD267" s="80">
        <v>0</v>
      </c>
      <c r="DE267" s="80">
        <v>0</v>
      </c>
      <c r="DF267" s="80">
        <v>0</v>
      </c>
      <c r="DG267" s="80">
        <v>2172</v>
      </c>
      <c r="DH267" s="80">
        <v>56</v>
      </c>
      <c r="DI267" s="80">
        <v>0</v>
      </c>
      <c r="DJ267" s="80">
        <v>0</v>
      </c>
      <c r="DK267" s="80">
        <v>48</v>
      </c>
      <c r="DL267" s="80">
        <v>8</v>
      </c>
      <c r="DM267" s="80">
        <v>2116</v>
      </c>
      <c r="DN267" s="80">
        <v>1249</v>
      </c>
      <c r="DO267" s="80">
        <v>229</v>
      </c>
      <c r="DP267" s="80">
        <v>551</v>
      </c>
      <c r="DQ267" s="80">
        <v>87</v>
      </c>
      <c r="DR267" s="80">
        <v>0</v>
      </c>
      <c r="DS267" s="80">
        <v>0</v>
      </c>
      <c r="DT267" s="80">
        <v>0</v>
      </c>
      <c r="DU267" s="80">
        <v>0</v>
      </c>
      <c r="DV267" s="80">
        <v>0</v>
      </c>
      <c r="DW267" s="80">
        <v>4719</v>
      </c>
      <c r="DX267" s="80">
        <v>31238</v>
      </c>
      <c r="DY267" s="80">
        <v>19540</v>
      </c>
      <c r="DZ267" s="80">
        <v>8651</v>
      </c>
      <c r="EA267" s="80">
        <v>0</v>
      </c>
      <c r="EB267" s="80">
        <v>0</v>
      </c>
      <c r="EC267" s="80">
        <v>10159</v>
      </c>
      <c r="ED267" s="80">
        <v>730</v>
      </c>
      <c r="EE267" s="80">
        <v>3560</v>
      </c>
      <c r="EF267" s="80">
        <v>1880</v>
      </c>
      <c r="EG267" s="80">
        <v>1680</v>
      </c>
      <c r="EH267" s="80">
        <v>0</v>
      </c>
      <c r="EI267" s="80">
        <v>0</v>
      </c>
      <c r="EJ267" s="80">
        <v>0</v>
      </c>
      <c r="EK267" s="80">
        <v>185</v>
      </c>
      <c r="EL267" s="80">
        <v>1</v>
      </c>
      <c r="EM267" s="80">
        <v>0</v>
      </c>
      <c r="EN267" s="80">
        <v>184</v>
      </c>
      <c r="EO267" s="80">
        <v>7954</v>
      </c>
      <c r="EP267" s="80">
        <v>3780</v>
      </c>
      <c r="EQ267" s="80">
        <v>0</v>
      </c>
      <c r="ER267" s="80">
        <v>1333</v>
      </c>
      <c r="ES267" s="80">
        <v>0</v>
      </c>
      <c r="ET267" s="80">
        <v>1333</v>
      </c>
      <c r="EU267" s="80">
        <v>0</v>
      </c>
      <c r="EV267" s="80">
        <v>0</v>
      </c>
      <c r="EW267" s="80">
        <v>1456</v>
      </c>
      <c r="EX267" s="80">
        <v>0</v>
      </c>
      <c r="EY267" s="80">
        <v>0</v>
      </c>
      <c r="EZ267" s="80">
        <v>0</v>
      </c>
      <c r="FA267" s="80">
        <v>991</v>
      </c>
      <c r="FB267" s="80">
        <v>0</v>
      </c>
      <c r="FC267" s="80">
        <v>0</v>
      </c>
      <c r="FD267" s="80">
        <v>4174</v>
      </c>
      <c r="FE267" s="80">
        <v>0</v>
      </c>
      <c r="FF267" s="80">
        <v>298</v>
      </c>
      <c r="FG267" s="80">
        <v>0</v>
      </c>
      <c r="FH267" s="80">
        <v>298</v>
      </c>
      <c r="FI267" s="80">
        <v>0</v>
      </c>
      <c r="FJ267" s="80">
        <v>0</v>
      </c>
      <c r="FK267" s="80">
        <v>10</v>
      </c>
      <c r="FL267" s="80">
        <v>0</v>
      </c>
      <c r="FM267" s="80">
        <v>0</v>
      </c>
      <c r="FN267" s="80">
        <v>942</v>
      </c>
      <c r="FO267" s="80">
        <v>581</v>
      </c>
      <c r="FP267" s="80">
        <v>2343</v>
      </c>
      <c r="FQ267" s="80">
        <v>31239</v>
      </c>
      <c r="FR267" s="80">
        <v>3157</v>
      </c>
      <c r="FS267" s="80">
        <v>532</v>
      </c>
      <c r="FT267" s="100">
        <v>16190.633449292614</v>
      </c>
      <c r="FU267" s="100"/>
      <c r="FV267" s="100">
        <v>9052</v>
      </c>
      <c r="FW267" s="67">
        <v>1296</v>
      </c>
      <c r="FX267" s="100">
        <f t="shared" ref="FX267:FX307" si="25">FY267+GA267</f>
        <v>-9189</v>
      </c>
      <c r="FY267" s="100">
        <f t="shared" ref="FY267:FY307" si="26">Y267+AL267</f>
        <v>-19887</v>
      </c>
      <c r="FZ267" s="100">
        <v>13818.360687678205</v>
      </c>
      <c r="GA267" s="67">
        <v>10698</v>
      </c>
      <c r="GB267" s="58">
        <f t="shared" si="23"/>
        <v>1646</v>
      </c>
      <c r="GC267" s="67">
        <v>1330</v>
      </c>
      <c r="GD267" s="100">
        <v>2277</v>
      </c>
      <c r="GE267" s="100">
        <v>1000</v>
      </c>
      <c r="GF267" s="58">
        <f t="shared" si="24"/>
        <v>1277</v>
      </c>
      <c r="GG267" s="100">
        <v>-5255.1130000000003</v>
      </c>
      <c r="GH267" s="100">
        <v>-172.79555000000005</v>
      </c>
      <c r="GI267" s="100">
        <v>-8860.9218015790211</v>
      </c>
      <c r="GJ267" s="67">
        <f t="shared" ref="GJ267:GJ307" si="27">GC267-FW267</f>
        <v>34</v>
      </c>
      <c r="GK267" s="67"/>
      <c r="GM267" s="96"/>
    </row>
    <row r="268" spans="1:195" ht="13.5" customHeight="1" x14ac:dyDescent="0.2">
      <c r="A268" s="74">
        <v>848</v>
      </c>
      <c r="B268" s="75" t="s">
        <v>188</v>
      </c>
      <c r="C268" s="75" t="s">
        <v>188</v>
      </c>
      <c r="D268" s="76"/>
      <c r="E268" s="77" t="s">
        <v>242</v>
      </c>
      <c r="F268" s="78">
        <v>2</v>
      </c>
      <c r="G268" s="79">
        <v>4738</v>
      </c>
      <c r="H268" s="80">
        <v>10120</v>
      </c>
      <c r="I268" s="80">
        <v>5670</v>
      </c>
      <c r="J268" s="80">
        <v>2819</v>
      </c>
      <c r="K268" s="80">
        <v>637</v>
      </c>
      <c r="L268" s="80">
        <v>994</v>
      </c>
      <c r="M268" s="80">
        <v>0</v>
      </c>
      <c r="N268" s="80">
        <v>0</v>
      </c>
      <c r="O268" s="80">
        <v>38749</v>
      </c>
      <c r="P268" s="80">
        <v>13147</v>
      </c>
      <c r="Q268" s="80">
        <v>9459</v>
      </c>
      <c r="R268" s="80">
        <v>3688</v>
      </c>
      <c r="S268" s="80">
        <v>3089</v>
      </c>
      <c r="T268" s="80">
        <v>599</v>
      </c>
      <c r="U268" s="80">
        <v>22470</v>
      </c>
      <c r="V268" s="80">
        <v>1647</v>
      </c>
      <c r="W268" s="80">
        <v>1068</v>
      </c>
      <c r="X268" s="80">
        <v>417</v>
      </c>
      <c r="Y268" s="80">
        <v>-28629</v>
      </c>
      <c r="Z268" s="80">
        <v>14239</v>
      </c>
      <c r="AA268" s="80">
        <v>12361</v>
      </c>
      <c r="AB268" s="80">
        <v>932</v>
      </c>
      <c r="AC268" s="80">
        <v>946</v>
      </c>
      <c r="AD268" s="80">
        <v>16027</v>
      </c>
      <c r="AE268" s="80">
        <v>147</v>
      </c>
      <c r="AF268" s="80">
        <v>90</v>
      </c>
      <c r="AG268" s="80">
        <v>130</v>
      </c>
      <c r="AH268" s="80">
        <v>118</v>
      </c>
      <c r="AI268" s="80">
        <v>70</v>
      </c>
      <c r="AJ268" s="80">
        <v>3</v>
      </c>
      <c r="AK268" s="80">
        <v>1784</v>
      </c>
      <c r="AL268" s="80">
        <v>840</v>
      </c>
      <c r="AM268" s="80">
        <v>840</v>
      </c>
      <c r="AN268" s="80">
        <v>0</v>
      </c>
      <c r="AO268" s="80">
        <v>0</v>
      </c>
      <c r="AP268" s="80">
        <v>0</v>
      </c>
      <c r="AQ268" s="80">
        <v>0</v>
      </c>
      <c r="AR268" s="80">
        <v>944</v>
      </c>
      <c r="AS268" s="80">
        <v>5</v>
      </c>
      <c r="AT268" s="80">
        <v>0</v>
      </c>
      <c r="AU268" s="80">
        <v>0</v>
      </c>
      <c r="AV268" s="80">
        <v>949</v>
      </c>
      <c r="AW268" s="81"/>
      <c r="AX268" s="80">
        <v>1762</v>
      </c>
      <c r="AY268" s="80">
        <v>1784</v>
      </c>
      <c r="AZ268" s="80">
        <v>0</v>
      </c>
      <c r="BA268" s="80">
        <v>-22</v>
      </c>
      <c r="BB268" s="80">
        <v>-1600</v>
      </c>
      <c r="BC268" s="80">
        <v>1879</v>
      </c>
      <c r="BD268" s="80">
        <v>223</v>
      </c>
      <c r="BE268" s="80">
        <v>56</v>
      </c>
      <c r="BF268" s="80">
        <v>162</v>
      </c>
      <c r="BG268" s="80">
        <v>-992</v>
      </c>
      <c r="BH268" s="80">
        <v>23</v>
      </c>
      <c r="BI268" s="80">
        <v>0</v>
      </c>
      <c r="BJ268" s="80">
        <v>23</v>
      </c>
      <c r="BK268" s="80">
        <v>-1216</v>
      </c>
      <c r="BL268" s="80">
        <v>0</v>
      </c>
      <c r="BM268" s="80">
        <v>1216</v>
      </c>
      <c r="BN268" s="80">
        <v>0</v>
      </c>
      <c r="BO268" s="80">
        <v>0</v>
      </c>
      <c r="BP268" s="80">
        <v>201</v>
      </c>
      <c r="BQ268" s="80">
        <v>0</v>
      </c>
      <c r="BR268" s="80">
        <v>9</v>
      </c>
      <c r="BS268" s="80">
        <v>-58</v>
      </c>
      <c r="BT268" s="80">
        <v>250</v>
      </c>
      <c r="BU268" s="80">
        <v>-829</v>
      </c>
      <c r="BV268" s="80">
        <v>3408</v>
      </c>
      <c r="BW268" s="80">
        <v>4237</v>
      </c>
      <c r="BX268" s="81"/>
      <c r="BY268" s="80">
        <v>25443</v>
      </c>
      <c r="BZ268" s="80">
        <v>94</v>
      </c>
      <c r="CA268" s="80">
        <v>0</v>
      </c>
      <c r="CB268" s="80">
        <v>94</v>
      </c>
      <c r="CC268" s="80">
        <v>0</v>
      </c>
      <c r="CD268" s="80">
        <v>17761</v>
      </c>
      <c r="CE268" s="80">
        <v>3673</v>
      </c>
      <c r="CF268" s="80">
        <v>10582</v>
      </c>
      <c r="CG268" s="80">
        <v>3377</v>
      </c>
      <c r="CH268" s="80">
        <v>32</v>
      </c>
      <c r="CI268" s="80">
        <v>45</v>
      </c>
      <c r="CJ268" s="80">
        <v>13</v>
      </c>
      <c r="CK268" s="80">
        <v>52</v>
      </c>
      <c r="CL268" s="80">
        <v>7588</v>
      </c>
      <c r="CM268" s="80">
        <v>3746</v>
      </c>
      <c r="CN268" s="80">
        <v>1571</v>
      </c>
      <c r="CO268" s="80">
        <v>2175</v>
      </c>
      <c r="CP268" s="80">
        <v>0</v>
      </c>
      <c r="CQ268" s="80">
        <v>3842</v>
      </c>
      <c r="CR268" s="80">
        <v>0</v>
      </c>
      <c r="CS268" s="80">
        <v>0</v>
      </c>
      <c r="CT268" s="80">
        <v>3842</v>
      </c>
      <c r="CU268" s="80">
        <v>0</v>
      </c>
      <c r="CV268" s="80">
        <v>24</v>
      </c>
      <c r="CW268" s="80">
        <v>0</v>
      </c>
      <c r="CX268" s="80">
        <v>24</v>
      </c>
      <c r="CY268" s="80">
        <v>0</v>
      </c>
      <c r="CZ268" s="80">
        <v>4985</v>
      </c>
      <c r="DA268" s="80">
        <v>0</v>
      </c>
      <c r="DB268" s="80">
        <v>0</v>
      </c>
      <c r="DC268" s="80">
        <v>0</v>
      </c>
      <c r="DD268" s="80">
        <v>0</v>
      </c>
      <c r="DE268" s="80">
        <v>0</v>
      </c>
      <c r="DF268" s="80">
        <v>0</v>
      </c>
      <c r="DG268" s="80">
        <v>1577</v>
      </c>
      <c r="DH268" s="80">
        <v>156</v>
      </c>
      <c r="DI268" s="80">
        <v>0</v>
      </c>
      <c r="DJ268" s="80">
        <v>116</v>
      </c>
      <c r="DK268" s="80">
        <v>40</v>
      </c>
      <c r="DL268" s="80">
        <v>0</v>
      </c>
      <c r="DM268" s="80">
        <v>1421</v>
      </c>
      <c r="DN268" s="80">
        <v>734</v>
      </c>
      <c r="DO268" s="80">
        <v>14</v>
      </c>
      <c r="DP268" s="80">
        <v>243</v>
      </c>
      <c r="DQ268" s="80">
        <v>430</v>
      </c>
      <c r="DR268" s="80">
        <v>0</v>
      </c>
      <c r="DS268" s="80">
        <v>0</v>
      </c>
      <c r="DT268" s="80">
        <v>0</v>
      </c>
      <c r="DU268" s="80">
        <v>0</v>
      </c>
      <c r="DV268" s="80">
        <v>0</v>
      </c>
      <c r="DW268" s="80">
        <v>3408</v>
      </c>
      <c r="DX268" s="80">
        <v>30452</v>
      </c>
      <c r="DY268" s="80">
        <v>16052</v>
      </c>
      <c r="DZ268" s="80">
        <v>14015</v>
      </c>
      <c r="EA268" s="80">
        <v>0</v>
      </c>
      <c r="EB268" s="80">
        <v>0</v>
      </c>
      <c r="EC268" s="80">
        <v>1088</v>
      </c>
      <c r="ED268" s="80">
        <v>949</v>
      </c>
      <c r="EE268" s="80">
        <v>141</v>
      </c>
      <c r="EF268" s="80">
        <v>141</v>
      </c>
      <c r="EG268" s="80">
        <v>0</v>
      </c>
      <c r="EH268" s="80">
        <v>0</v>
      </c>
      <c r="EI268" s="80">
        <v>0</v>
      </c>
      <c r="EJ268" s="80">
        <v>0</v>
      </c>
      <c r="EK268" s="80">
        <v>24</v>
      </c>
      <c r="EL268" s="80">
        <v>0</v>
      </c>
      <c r="EM268" s="80">
        <v>24</v>
      </c>
      <c r="EN268" s="80">
        <v>0</v>
      </c>
      <c r="EO268" s="80">
        <v>14234</v>
      </c>
      <c r="EP268" s="80">
        <v>6338</v>
      </c>
      <c r="EQ268" s="80">
        <v>0</v>
      </c>
      <c r="ER268" s="80">
        <v>6314</v>
      </c>
      <c r="ES268" s="80">
        <v>695</v>
      </c>
      <c r="ET268" s="80">
        <v>5619</v>
      </c>
      <c r="EU268" s="80">
        <v>0</v>
      </c>
      <c r="EV268" s="80">
        <v>0</v>
      </c>
      <c r="EW268" s="80">
        <v>0</v>
      </c>
      <c r="EX268" s="80">
        <v>0</v>
      </c>
      <c r="EY268" s="80">
        <v>0</v>
      </c>
      <c r="EZ268" s="80">
        <v>0</v>
      </c>
      <c r="FA268" s="80">
        <v>24</v>
      </c>
      <c r="FB268" s="80">
        <v>0</v>
      </c>
      <c r="FC268" s="80">
        <v>0</v>
      </c>
      <c r="FD268" s="80">
        <v>7896</v>
      </c>
      <c r="FE268" s="80">
        <v>0</v>
      </c>
      <c r="FF268" s="80">
        <v>969</v>
      </c>
      <c r="FG268" s="80">
        <v>126</v>
      </c>
      <c r="FH268" s="80">
        <v>843</v>
      </c>
      <c r="FI268" s="80">
        <v>0</v>
      </c>
      <c r="FJ268" s="80">
        <v>0</v>
      </c>
      <c r="FK268" s="80">
        <v>4</v>
      </c>
      <c r="FL268" s="80">
        <v>0</v>
      </c>
      <c r="FM268" s="80">
        <v>159</v>
      </c>
      <c r="FN268" s="80">
        <v>2962</v>
      </c>
      <c r="FO268" s="80">
        <v>280</v>
      </c>
      <c r="FP268" s="80">
        <v>3522</v>
      </c>
      <c r="FQ268" s="80">
        <v>30451</v>
      </c>
      <c r="FR268" s="80">
        <v>29</v>
      </c>
      <c r="FS268" s="80">
        <v>1357</v>
      </c>
      <c r="FT268" s="100">
        <v>20373.971983884257</v>
      </c>
      <c r="FU268" s="100"/>
      <c r="FV268" s="100">
        <v>10171</v>
      </c>
      <c r="FW268" s="67">
        <v>837</v>
      </c>
      <c r="FX268" s="100">
        <f t="shared" si="25"/>
        <v>-15484</v>
      </c>
      <c r="FY268" s="100">
        <f t="shared" si="26"/>
        <v>-27789</v>
      </c>
      <c r="FZ268" s="100">
        <v>18195.067525107384</v>
      </c>
      <c r="GA268" s="67">
        <v>12305</v>
      </c>
      <c r="GB268" s="58">
        <f t="shared" si="23"/>
        <v>2134</v>
      </c>
      <c r="GC268" s="67">
        <v>840</v>
      </c>
      <c r="GD268" s="100">
        <v>2819</v>
      </c>
      <c r="GE268" s="100">
        <v>1090</v>
      </c>
      <c r="GF268" s="58">
        <f t="shared" si="24"/>
        <v>1729</v>
      </c>
      <c r="GG268" s="100">
        <v>-6776.2190000000001</v>
      </c>
      <c r="GH268" s="100">
        <v>-283.93880000000019</v>
      </c>
      <c r="GI268" s="100">
        <v>-11323.422382478881</v>
      </c>
      <c r="GJ268" s="67">
        <f t="shared" si="27"/>
        <v>3</v>
      </c>
      <c r="GK268" s="67"/>
      <c r="GM268" s="96"/>
    </row>
    <row r="269" spans="1:195" ht="13.5" customHeight="1" x14ac:dyDescent="0.2">
      <c r="A269" s="74">
        <v>849</v>
      </c>
      <c r="B269" s="75" t="s">
        <v>189</v>
      </c>
      <c r="C269" s="75" t="s">
        <v>189</v>
      </c>
      <c r="D269" s="76"/>
      <c r="E269" s="77" t="s">
        <v>228</v>
      </c>
      <c r="F269" s="78">
        <v>2</v>
      </c>
      <c r="G269" s="79">
        <v>3311</v>
      </c>
      <c r="H269" s="80">
        <v>9651</v>
      </c>
      <c r="I269" s="80">
        <v>7169</v>
      </c>
      <c r="J269" s="80">
        <v>1004</v>
      </c>
      <c r="K269" s="80">
        <v>208</v>
      </c>
      <c r="L269" s="80">
        <v>1270</v>
      </c>
      <c r="M269" s="80">
        <v>0</v>
      </c>
      <c r="N269" s="80">
        <v>0</v>
      </c>
      <c r="O269" s="80">
        <v>27464</v>
      </c>
      <c r="P269" s="80">
        <v>11705</v>
      </c>
      <c r="Q269" s="80">
        <v>8624</v>
      </c>
      <c r="R269" s="80">
        <v>3081</v>
      </c>
      <c r="S269" s="80">
        <v>2237</v>
      </c>
      <c r="T269" s="80">
        <v>844</v>
      </c>
      <c r="U269" s="80">
        <v>13797</v>
      </c>
      <c r="V269" s="80">
        <v>1401</v>
      </c>
      <c r="W269" s="80">
        <v>414</v>
      </c>
      <c r="X269" s="80">
        <v>147</v>
      </c>
      <c r="Y269" s="80">
        <v>-17813</v>
      </c>
      <c r="Z269" s="80">
        <v>10429</v>
      </c>
      <c r="AA269" s="80">
        <v>9132</v>
      </c>
      <c r="AB269" s="80">
        <v>566</v>
      </c>
      <c r="AC269" s="80">
        <v>731</v>
      </c>
      <c r="AD269" s="80">
        <v>9516</v>
      </c>
      <c r="AE269" s="80">
        <v>-305</v>
      </c>
      <c r="AF269" s="80">
        <v>31</v>
      </c>
      <c r="AG269" s="80">
        <v>18</v>
      </c>
      <c r="AH269" s="80">
        <v>15</v>
      </c>
      <c r="AI269" s="80">
        <v>349</v>
      </c>
      <c r="AJ269" s="80">
        <v>5</v>
      </c>
      <c r="AK269" s="80">
        <v>1827</v>
      </c>
      <c r="AL269" s="80">
        <v>1970</v>
      </c>
      <c r="AM269" s="80">
        <v>1970</v>
      </c>
      <c r="AN269" s="80">
        <v>0</v>
      </c>
      <c r="AO269" s="80">
        <v>0</v>
      </c>
      <c r="AP269" s="80">
        <v>0</v>
      </c>
      <c r="AQ269" s="80">
        <v>0</v>
      </c>
      <c r="AR269" s="80">
        <v>-143</v>
      </c>
      <c r="AS269" s="80">
        <v>416</v>
      </c>
      <c r="AT269" s="80">
        <v>0</v>
      </c>
      <c r="AU269" s="80">
        <v>0</v>
      </c>
      <c r="AV269" s="80">
        <v>273</v>
      </c>
      <c r="AW269" s="81"/>
      <c r="AX269" s="80">
        <v>1828</v>
      </c>
      <c r="AY269" s="80">
        <v>1827</v>
      </c>
      <c r="AZ269" s="80">
        <v>0</v>
      </c>
      <c r="BA269" s="80">
        <v>1</v>
      </c>
      <c r="BB269" s="80">
        <v>-2092</v>
      </c>
      <c r="BC269" s="80">
        <v>2672</v>
      </c>
      <c r="BD269" s="80">
        <v>554</v>
      </c>
      <c r="BE269" s="80">
        <v>26</v>
      </c>
      <c r="BF269" s="80">
        <v>-264</v>
      </c>
      <c r="BG269" s="80">
        <v>165</v>
      </c>
      <c r="BH269" s="80">
        <v>70</v>
      </c>
      <c r="BI269" s="80">
        <v>0</v>
      </c>
      <c r="BJ269" s="80">
        <v>70</v>
      </c>
      <c r="BK269" s="80">
        <v>218</v>
      </c>
      <c r="BL269" s="80">
        <v>0</v>
      </c>
      <c r="BM269" s="80">
        <v>182</v>
      </c>
      <c r="BN269" s="80">
        <v>400</v>
      </c>
      <c r="BO269" s="80">
        <v>0</v>
      </c>
      <c r="BP269" s="80">
        <v>-123</v>
      </c>
      <c r="BQ269" s="80">
        <v>3</v>
      </c>
      <c r="BR269" s="80">
        <v>0</v>
      </c>
      <c r="BS269" s="80">
        <v>285</v>
      </c>
      <c r="BT269" s="80">
        <v>-411</v>
      </c>
      <c r="BU269" s="80">
        <v>-102</v>
      </c>
      <c r="BV269" s="80">
        <v>500</v>
      </c>
      <c r="BW269" s="80">
        <v>602</v>
      </c>
      <c r="BX269" s="81"/>
      <c r="BY269" s="80">
        <v>29057</v>
      </c>
      <c r="BZ269" s="80">
        <v>71</v>
      </c>
      <c r="CA269" s="80">
        <v>1</v>
      </c>
      <c r="CB269" s="80">
        <v>70</v>
      </c>
      <c r="CC269" s="80">
        <v>0</v>
      </c>
      <c r="CD269" s="80">
        <v>23030</v>
      </c>
      <c r="CE269" s="80">
        <v>1722</v>
      </c>
      <c r="CF269" s="80">
        <v>17751</v>
      </c>
      <c r="CG269" s="80">
        <v>3115</v>
      </c>
      <c r="CH269" s="80">
        <v>398</v>
      </c>
      <c r="CI269" s="80">
        <v>15</v>
      </c>
      <c r="CJ269" s="80">
        <v>15</v>
      </c>
      <c r="CK269" s="80">
        <v>29</v>
      </c>
      <c r="CL269" s="80">
        <v>5956</v>
      </c>
      <c r="CM269" s="80">
        <v>5249</v>
      </c>
      <c r="CN269" s="80">
        <v>689</v>
      </c>
      <c r="CO269" s="80">
        <v>4560</v>
      </c>
      <c r="CP269" s="80">
        <v>0</v>
      </c>
      <c r="CQ269" s="80">
        <v>707</v>
      </c>
      <c r="CR269" s="80">
        <v>0</v>
      </c>
      <c r="CS269" s="80">
        <v>0</v>
      </c>
      <c r="CT269" s="80">
        <v>707</v>
      </c>
      <c r="CU269" s="80">
        <v>0</v>
      </c>
      <c r="CV269" s="80">
        <v>3</v>
      </c>
      <c r="CW269" s="80">
        <v>2</v>
      </c>
      <c r="CX269" s="80">
        <v>1</v>
      </c>
      <c r="CY269" s="80">
        <v>0</v>
      </c>
      <c r="CZ269" s="80">
        <v>2554</v>
      </c>
      <c r="DA269" s="80">
        <v>0</v>
      </c>
      <c r="DB269" s="80">
        <v>0</v>
      </c>
      <c r="DC269" s="80">
        <v>0</v>
      </c>
      <c r="DD269" s="80">
        <v>0</v>
      </c>
      <c r="DE269" s="80">
        <v>0</v>
      </c>
      <c r="DF269" s="80">
        <v>0</v>
      </c>
      <c r="DG269" s="80">
        <v>2054</v>
      </c>
      <c r="DH269" s="80">
        <v>0</v>
      </c>
      <c r="DI269" s="80">
        <v>0</v>
      </c>
      <c r="DJ269" s="80">
        <v>0</v>
      </c>
      <c r="DK269" s="80">
        <v>0</v>
      </c>
      <c r="DL269" s="80">
        <v>0</v>
      </c>
      <c r="DM269" s="80">
        <v>2054</v>
      </c>
      <c r="DN269" s="80">
        <v>402</v>
      </c>
      <c r="DO269" s="80">
        <v>1162</v>
      </c>
      <c r="DP269" s="80">
        <v>484</v>
      </c>
      <c r="DQ269" s="80">
        <v>6</v>
      </c>
      <c r="DR269" s="80">
        <v>0</v>
      </c>
      <c r="DS269" s="80">
        <v>0</v>
      </c>
      <c r="DT269" s="80">
        <v>0</v>
      </c>
      <c r="DU269" s="80">
        <v>0</v>
      </c>
      <c r="DV269" s="80">
        <v>0</v>
      </c>
      <c r="DW269" s="80">
        <v>500</v>
      </c>
      <c r="DX269" s="80">
        <v>31614</v>
      </c>
      <c r="DY269" s="80">
        <v>10759</v>
      </c>
      <c r="DZ269" s="80">
        <v>9335</v>
      </c>
      <c r="EA269" s="80">
        <v>0</v>
      </c>
      <c r="EB269" s="80">
        <v>0</v>
      </c>
      <c r="EC269" s="80">
        <v>1150</v>
      </c>
      <c r="ED269" s="80">
        <v>274</v>
      </c>
      <c r="EE269" s="80">
        <v>41</v>
      </c>
      <c r="EF269" s="80">
        <v>41</v>
      </c>
      <c r="EG269" s="80">
        <v>0</v>
      </c>
      <c r="EH269" s="80">
        <v>235</v>
      </c>
      <c r="EI269" s="80">
        <v>0</v>
      </c>
      <c r="EJ269" s="80">
        <v>235</v>
      </c>
      <c r="EK269" s="80">
        <v>19</v>
      </c>
      <c r="EL269" s="80">
        <v>2</v>
      </c>
      <c r="EM269" s="80">
        <v>17</v>
      </c>
      <c r="EN269" s="80">
        <v>0</v>
      </c>
      <c r="EO269" s="80">
        <v>20559</v>
      </c>
      <c r="EP269" s="80">
        <v>10718</v>
      </c>
      <c r="EQ269" s="80">
        <v>0</v>
      </c>
      <c r="ER269" s="80">
        <v>10584</v>
      </c>
      <c r="ES269" s="80">
        <v>0</v>
      </c>
      <c r="ET269" s="80">
        <v>10584</v>
      </c>
      <c r="EU269" s="80">
        <v>0</v>
      </c>
      <c r="EV269" s="80">
        <v>0</v>
      </c>
      <c r="EW269" s="80">
        <v>0</v>
      </c>
      <c r="EX269" s="80">
        <v>0</v>
      </c>
      <c r="EY269" s="80">
        <v>0</v>
      </c>
      <c r="EZ269" s="80">
        <v>0</v>
      </c>
      <c r="FA269" s="80">
        <v>134</v>
      </c>
      <c r="FB269" s="80">
        <v>0</v>
      </c>
      <c r="FC269" s="80">
        <v>0</v>
      </c>
      <c r="FD269" s="80">
        <v>9841</v>
      </c>
      <c r="FE269" s="80">
        <v>0</v>
      </c>
      <c r="FF269" s="80">
        <v>7155</v>
      </c>
      <c r="FG269" s="80">
        <v>6900</v>
      </c>
      <c r="FH269" s="80">
        <v>255</v>
      </c>
      <c r="FI269" s="80">
        <v>0</v>
      </c>
      <c r="FJ269" s="80">
        <v>0</v>
      </c>
      <c r="FK269" s="80">
        <v>0</v>
      </c>
      <c r="FL269" s="80">
        <v>0</v>
      </c>
      <c r="FM269" s="80">
        <v>122</v>
      </c>
      <c r="FN269" s="80">
        <v>482</v>
      </c>
      <c r="FO269" s="80">
        <v>256</v>
      </c>
      <c r="FP269" s="80">
        <v>1826</v>
      </c>
      <c r="FQ269" s="80">
        <v>31613</v>
      </c>
      <c r="FR269" s="80">
        <v>10390</v>
      </c>
      <c r="FS269" s="80">
        <v>496</v>
      </c>
      <c r="FT269" s="100">
        <v>19165.501164499503</v>
      </c>
      <c r="FU269" s="100"/>
      <c r="FV269" s="100">
        <v>12697</v>
      </c>
      <c r="FW269" s="67">
        <v>1913</v>
      </c>
      <c r="FX269" s="100">
        <f t="shared" si="25"/>
        <v>-3144</v>
      </c>
      <c r="FY269" s="100">
        <f t="shared" si="26"/>
        <v>-15843</v>
      </c>
      <c r="FZ269" s="100">
        <v>11257.061914654145</v>
      </c>
      <c r="GA269" s="67">
        <v>12699</v>
      </c>
      <c r="GB269" s="58">
        <f t="shared" si="23"/>
        <v>2</v>
      </c>
      <c r="GC269" s="67">
        <v>1971</v>
      </c>
      <c r="GD269" s="100">
        <v>1004</v>
      </c>
      <c r="GE269" s="100">
        <v>1004</v>
      </c>
      <c r="GF269" s="58">
        <f t="shared" si="24"/>
        <v>0</v>
      </c>
      <c r="GG269" s="100">
        <v>-4982.4179999999997</v>
      </c>
      <c r="GH269" s="100">
        <v>-182.49565000000004</v>
      </c>
      <c r="GI269" s="100">
        <v>-6272.3603833501465</v>
      </c>
      <c r="GJ269" s="67">
        <f t="shared" si="27"/>
        <v>58</v>
      </c>
      <c r="GK269" s="67"/>
      <c r="GM269" s="96"/>
    </row>
    <row r="270" spans="1:195" ht="13.5" customHeight="1" x14ac:dyDescent="0.2">
      <c r="A270" s="74">
        <v>850</v>
      </c>
      <c r="B270" s="75" t="s">
        <v>190</v>
      </c>
      <c r="C270" s="75" t="s">
        <v>190</v>
      </c>
      <c r="D270" s="76"/>
      <c r="E270" s="77" t="s">
        <v>231</v>
      </c>
      <c r="F270" s="78">
        <v>2</v>
      </c>
      <c r="G270" s="79">
        <v>2431</v>
      </c>
      <c r="H270" s="80">
        <v>2081</v>
      </c>
      <c r="I270" s="80">
        <v>889</v>
      </c>
      <c r="J270" s="80">
        <v>606</v>
      </c>
      <c r="K270" s="80">
        <v>223</v>
      </c>
      <c r="L270" s="80">
        <v>363</v>
      </c>
      <c r="M270" s="80">
        <v>0</v>
      </c>
      <c r="N270" s="80">
        <v>0</v>
      </c>
      <c r="O270" s="80">
        <v>15258</v>
      </c>
      <c r="P270" s="80">
        <v>6642</v>
      </c>
      <c r="Q270" s="80">
        <v>5139</v>
      </c>
      <c r="R270" s="80">
        <v>1503</v>
      </c>
      <c r="S270" s="80">
        <v>1257</v>
      </c>
      <c r="T270" s="80">
        <v>246</v>
      </c>
      <c r="U270" s="80">
        <v>6693</v>
      </c>
      <c r="V270" s="80">
        <v>860</v>
      </c>
      <c r="W270" s="80">
        <v>928</v>
      </c>
      <c r="X270" s="80">
        <v>135</v>
      </c>
      <c r="Y270" s="80">
        <v>-13177</v>
      </c>
      <c r="Z270" s="80">
        <v>7751</v>
      </c>
      <c r="AA270" s="80">
        <v>6729</v>
      </c>
      <c r="AB270" s="80">
        <v>453</v>
      </c>
      <c r="AC270" s="80">
        <v>569</v>
      </c>
      <c r="AD270" s="80">
        <v>6020</v>
      </c>
      <c r="AE270" s="80">
        <v>-14</v>
      </c>
      <c r="AF270" s="80">
        <v>0</v>
      </c>
      <c r="AG270" s="80">
        <v>34</v>
      </c>
      <c r="AH270" s="80">
        <v>25</v>
      </c>
      <c r="AI270" s="80">
        <v>33</v>
      </c>
      <c r="AJ270" s="80">
        <v>15</v>
      </c>
      <c r="AK270" s="80">
        <v>580</v>
      </c>
      <c r="AL270" s="80">
        <v>495</v>
      </c>
      <c r="AM270" s="80">
        <v>495</v>
      </c>
      <c r="AN270" s="80">
        <v>0</v>
      </c>
      <c r="AO270" s="80">
        <v>0</v>
      </c>
      <c r="AP270" s="80">
        <v>0</v>
      </c>
      <c r="AQ270" s="80">
        <v>0</v>
      </c>
      <c r="AR270" s="80">
        <v>85</v>
      </c>
      <c r="AS270" s="80">
        <v>21</v>
      </c>
      <c r="AT270" s="80">
        <v>0</v>
      </c>
      <c r="AU270" s="80">
        <v>0</v>
      </c>
      <c r="AV270" s="80">
        <v>106</v>
      </c>
      <c r="AW270" s="81"/>
      <c r="AX270" s="80">
        <v>551</v>
      </c>
      <c r="AY270" s="80">
        <v>580</v>
      </c>
      <c r="AZ270" s="80">
        <v>0</v>
      </c>
      <c r="BA270" s="80">
        <v>-29</v>
      </c>
      <c r="BB270" s="80">
        <v>-2487</v>
      </c>
      <c r="BC270" s="80">
        <v>2531</v>
      </c>
      <c r="BD270" s="80">
        <v>10</v>
      </c>
      <c r="BE270" s="80">
        <v>34</v>
      </c>
      <c r="BF270" s="80">
        <v>-1936</v>
      </c>
      <c r="BG270" s="80">
        <v>2055</v>
      </c>
      <c r="BH270" s="80">
        <v>0</v>
      </c>
      <c r="BI270" s="80">
        <v>0</v>
      </c>
      <c r="BJ270" s="80">
        <v>0</v>
      </c>
      <c r="BK270" s="80">
        <v>1616</v>
      </c>
      <c r="BL270" s="80">
        <v>2000</v>
      </c>
      <c r="BM270" s="80">
        <v>384</v>
      </c>
      <c r="BN270" s="80">
        <v>0</v>
      </c>
      <c r="BO270" s="80">
        <v>0</v>
      </c>
      <c r="BP270" s="80">
        <v>439</v>
      </c>
      <c r="BQ270" s="80">
        <v>-8</v>
      </c>
      <c r="BR270" s="80">
        <v>16</v>
      </c>
      <c r="BS270" s="80">
        <v>48</v>
      </c>
      <c r="BT270" s="80">
        <v>383</v>
      </c>
      <c r="BU270" s="80">
        <v>119</v>
      </c>
      <c r="BV270" s="80">
        <v>1149</v>
      </c>
      <c r="BW270" s="80">
        <v>1030</v>
      </c>
      <c r="BX270" s="81"/>
      <c r="BY270" s="80">
        <v>11852</v>
      </c>
      <c r="BZ270" s="80">
        <v>294</v>
      </c>
      <c r="CA270" s="80">
        <v>65</v>
      </c>
      <c r="CB270" s="80">
        <v>229</v>
      </c>
      <c r="CC270" s="80">
        <v>0</v>
      </c>
      <c r="CD270" s="80">
        <v>10169</v>
      </c>
      <c r="CE270" s="80">
        <v>1413</v>
      </c>
      <c r="CF270" s="80">
        <v>5192</v>
      </c>
      <c r="CG270" s="80">
        <v>1338</v>
      </c>
      <c r="CH270" s="80">
        <v>99</v>
      </c>
      <c r="CI270" s="80">
        <v>0</v>
      </c>
      <c r="CJ270" s="80">
        <v>0</v>
      </c>
      <c r="CK270" s="80">
        <v>2127</v>
      </c>
      <c r="CL270" s="80">
        <v>1389</v>
      </c>
      <c r="CM270" s="80">
        <v>1191</v>
      </c>
      <c r="CN270" s="80">
        <v>615</v>
      </c>
      <c r="CO270" s="80">
        <v>576</v>
      </c>
      <c r="CP270" s="80">
        <v>0</v>
      </c>
      <c r="CQ270" s="80">
        <v>198</v>
      </c>
      <c r="CR270" s="80">
        <v>0</v>
      </c>
      <c r="CS270" s="80">
        <v>0</v>
      </c>
      <c r="CT270" s="80">
        <v>198</v>
      </c>
      <c r="CU270" s="80">
        <v>0</v>
      </c>
      <c r="CV270" s="80">
        <v>0</v>
      </c>
      <c r="CW270" s="80">
        <v>0</v>
      </c>
      <c r="CX270" s="80">
        <v>0</v>
      </c>
      <c r="CY270" s="80">
        <v>0</v>
      </c>
      <c r="CZ270" s="80">
        <v>1974</v>
      </c>
      <c r="DA270" s="80">
        <v>10</v>
      </c>
      <c r="DB270" s="80">
        <v>10</v>
      </c>
      <c r="DC270" s="80">
        <v>0</v>
      </c>
      <c r="DD270" s="80">
        <v>0</v>
      </c>
      <c r="DE270" s="80">
        <v>0</v>
      </c>
      <c r="DF270" s="80">
        <v>0</v>
      </c>
      <c r="DG270" s="80">
        <v>815</v>
      </c>
      <c r="DH270" s="80">
        <v>0</v>
      </c>
      <c r="DI270" s="80">
        <v>0</v>
      </c>
      <c r="DJ270" s="80">
        <v>0</v>
      </c>
      <c r="DK270" s="80">
        <v>0</v>
      </c>
      <c r="DL270" s="80">
        <v>0</v>
      </c>
      <c r="DM270" s="80">
        <v>815</v>
      </c>
      <c r="DN270" s="80">
        <v>382</v>
      </c>
      <c r="DO270" s="80">
        <v>65</v>
      </c>
      <c r="DP270" s="80">
        <v>320</v>
      </c>
      <c r="DQ270" s="80">
        <v>48</v>
      </c>
      <c r="DR270" s="80">
        <v>37</v>
      </c>
      <c r="DS270" s="80">
        <v>37</v>
      </c>
      <c r="DT270" s="80">
        <v>0</v>
      </c>
      <c r="DU270" s="80">
        <v>0</v>
      </c>
      <c r="DV270" s="80">
        <v>0</v>
      </c>
      <c r="DW270" s="80">
        <v>1112</v>
      </c>
      <c r="DX270" s="80">
        <v>13826</v>
      </c>
      <c r="DY270" s="80">
        <v>7222</v>
      </c>
      <c r="DZ270" s="80">
        <v>5568</v>
      </c>
      <c r="EA270" s="80">
        <v>0</v>
      </c>
      <c r="EB270" s="80">
        <v>0</v>
      </c>
      <c r="EC270" s="80">
        <v>1547</v>
      </c>
      <c r="ED270" s="80">
        <v>107</v>
      </c>
      <c r="EE270" s="80">
        <v>527</v>
      </c>
      <c r="EF270" s="80">
        <v>527</v>
      </c>
      <c r="EG270" s="80">
        <v>0</v>
      </c>
      <c r="EH270" s="80">
        <v>0</v>
      </c>
      <c r="EI270" s="80">
        <v>0</v>
      </c>
      <c r="EJ270" s="80">
        <v>0</v>
      </c>
      <c r="EK270" s="80">
        <v>73</v>
      </c>
      <c r="EL270" s="80">
        <v>0</v>
      </c>
      <c r="EM270" s="80">
        <v>73</v>
      </c>
      <c r="EN270" s="80">
        <v>0</v>
      </c>
      <c r="EO270" s="80">
        <v>6004</v>
      </c>
      <c r="EP270" s="80">
        <v>3189</v>
      </c>
      <c r="EQ270" s="80">
        <v>0</v>
      </c>
      <c r="ER270" s="80">
        <v>2920</v>
      </c>
      <c r="ES270" s="80">
        <v>2100</v>
      </c>
      <c r="ET270" s="80">
        <v>820</v>
      </c>
      <c r="EU270" s="80">
        <v>0</v>
      </c>
      <c r="EV270" s="80">
        <v>0</v>
      </c>
      <c r="EW270" s="80">
        <v>269</v>
      </c>
      <c r="EX270" s="80">
        <v>0</v>
      </c>
      <c r="EY270" s="80">
        <v>0</v>
      </c>
      <c r="EZ270" s="80">
        <v>0</v>
      </c>
      <c r="FA270" s="80">
        <v>0</v>
      </c>
      <c r="FB270" s="80">
        <v>0</v>
      </c>
      <c r="FC270" s="80">
        <v>0</v>
      </c>
      <c r="FD270" s="80">
        <v>2815</v>
      </c>
      <c r="FE270" s="80">
        <v>0</v>
      </c>
      <c r="FF270" s="80">
        <v>418</v>
      </c>
      <c r="FG270" s="80">
        <v>233</v>
      </c>
      <c r="FH270" s="80">
        <v>185</v>
      </c>
      <c r="FI270" s="80">
        <v>0</v>
      </c>
      <c r="FJ270" s="80">
        <v>0</v>
      </c>
      <c r="FK270" s="80">
        <v>34</v>
      </c>
      <c r="FL270" s="80">
        <v>0</v>
      </c>
      <c r="FM270" s="80">
        <v>33</v>
      </c>
      <c r="FN270" s="80">
        <v>1389</v>
      </c>
      <c r="FO270" s="80">
        <v>265</v>
      </c>
      <c r="FP270" s="80">
        <v>676</v>
      </c>
      <c r="FQ270" s="80">
        <v>13826</v>
      </c>
      <c r="FR270" s="80">
        <v>558</v>
      </c>
      <c r="FS270" s="80">
        <v>3541</v>
      </c>
      <c r="FT270" s="100">
        <v>8992.7221789435062</v>
      </c>
      <c r="FU270" s="100"/>
      <c r="FV270" s="100">
        <v>3245</v>
      </c>
      <c r="FW270" s="67">
        <v>473</v>
      </c>
      <c r="FX270" s="100">
        <f t="shared" si="25"/>
        <v>-8819</v>
      </c>
      <c r="FY270" s="100">
        <f t="shared" si="26"/>
        <v>-12682</v>
      </c>
      <c r="FZ270" s="100">
        <v>7735.7753619412852</v>
      </c>
      <c r="GA270" s="67">
        <v>3863</v>
      </c>
      <c r="GB270" s="58">
        <f t="shared" si="23"/>
        <v>618</v>
      </c>
      <c r="GC270" s="67">
        <v>495</v>
      </c>
      <c r="GD270" s="100">
        <v>608</v>
      </c>
      <c r="GE270" s="100">
        <v>172</v>
      </c>
      <c r="GF270" s="58">
        <f t="shared" si="24"/>
        <v>436</v>
      </c>
      <c r="GG270" s="100">
        <v>-3836.66</v>
      </c>
      <c r="GH270" s="100">
        <v>-144.79525000000007</v>
      </c>
      <c r="GI270" s="100">
        <v>-3888.9568838723471</v>
      </c>
      <c r="GJ270" s="67">
        <f t="shared" si="27"/>
        <v>22</v>
      </c>
      <c r="GK270" s="67"/>
      <c r="GM270" s="96"/>
    </row>
    <row r="271" spans="1:195" ht="13.5" customHeight="1" x14ac:dyDescent="0.2">
      <c r="A271" s="74">
        <v>851</v>
      </c>
      <c r="B271" s="75" t="s">
        <v>309</v>
      </c>
      <c r="C271" s="82" t="s">
        <v>309</v>
      </c>
      <c r="D271" s="76"/>
      <c r="E271" s="77" t="s">
        <v>222</v>
      </c>
      <c r="F271" s="78">
        <v>5</v>
      </c>
      <c r="G271" s="79">
        <v>22199</v>
      </c>
      <c r="H271" s="80">
        <v>18951</v>
      </c>
      <c r="I271" s="80">
        <v>5852</v>
      </c>
      <c r="J271" s="80">
        <v>6150</v>
      </c>
      <c r="K271" s="80">
        <v>2922</v>
      </c>
      <c r="L271" s="80">
        <v>4027</v>
      </c>
      <c r="M271" s="80">
        <v>0</v>
      </c>
      <c r="N271" s="80">
        <v>0</v>
      </c>
      <c r="O271" s="80">
        <v>134037</v>
      </c>
      <c r="P271" s="80">
        <v>59609</v>
      </c>
      <c r="Q271" s="80">
        <v>45465</v>
      </c>
      <c r="R271" s="80">
        <v>14144</v>
      </c>
      <c r="S271" s="80">
        <v>11567</v>
      </c>
      <c r="T271" s="80">
        <v>2577</v>
      </c>
      <c r="U271" s="80">
        <v>55488</v>
      </c>
      <c r="V271" s="80">
        <v>7448</v>
      </c>
      <c r="W271" s="80">
        <v>9693</v>
      </c>
      <c r="X271" s="80">
        <v>1799</v>
      </c>
      <c r="Y271" s="80">
        <v>-115086</v>
      </c>
      <c r="Z271" s="80">
        <v>79404</v>
      </c>
      <c r="AA271" s="80">
        <v>71596</v>
      </c>
      <c r="AB271" s="80">
        <v>2951</v>
      </c>
      <c r="AC271" s="80">
        <v>4857</v>
      </c>
      <c r="AD271" s="80">
        <v>37712</v>
      </c>
      <c r="AE271" s="80">
        <v>-339</v>
      </c>
      <c r="AF271" s="80">
        <v>394</v>
      </c>
      <c r="AG271" s="80">
        <v>113</v>
      </c>
      <c r="AH271" s="80">
        <v>70</v>
      </c>
      <c r="AI271" s="80">
        <v>805</v>
      </c>
      <c r="AJ271" s="80">
        <v>41</v>
      </c>
      <c r="AK271" s="80">
        <v>1691</v>
      </c>
      <c r="AL271" s="80">
        <v>5415</v>
      </c>
      <c r="AM271" s="80">
        <v>5415</v>
      </c>
      <c r="AN271" s="80">
        <v>0</v>
      </c>
      <c r="AO271" s="80">
        <v>0</v>
      </c>
      <c r="AP271" s="80">
        <v>0</v>
      </c>
      <c r="AQ271" s="80">
        <v>0</v>
      </c>
      <c r="AR271" s="80">
        <v>-3724</v>
      </c>
      <c r="AS271" s="80">
        <v>0</v>
      </c>
      <c r="AT271" s="80">
        <v>38</v>
      </c>
      <c r="AU271" s="80">
        <v>0</v>
      </c>
      <c r="AV271" s="80">
        <v>-3686</v>
      </c>
      <c r="AW271" s="81"/>
      <c r="AX271" s="80">
        <v>741</v>
      </c>
      <c r="AY271" s="80">
        <v>1691</v>
      </c>
      <c r="AZ271" s="80">
        <v>0</v>
      </c>
      <c r="BA271" s="80">
        <v>-950</v>
      </c>
      <c r="BB271" s="80">
        <v>-6219</v>
      </c>
      <c r="BC271" s="80">
        <v>6980</v>
      </c>
      <c r="BD271" s="80">
        <v>197</v>
      </c>
      <c r="BE271" s="80">
        <v>564</v>
      </c>
      <c r="BF271" s="80">
        <v>-5478</v>
      </c>
      <c r="BG271" s="80">
        <v>7534</v>
      </c>
      <c r="BH271" s="80">
        <v>133</v>
      </c>
      <c r="BI271" s="80">
        <v>0</v>
      </c>
      <c r="BJ271" s="80">
        <v>133</v>
      </c>
      <c r="BK271" s="80">
        <v>6776</v>
      </c>
      <c r="BL271" s="80">
        <v>10000</v>
      </c>
      <c r="BM271" s="80">
        <v>6224</v>
      </c>
      <c r="BN271" s="80">
        <v>3000</v>
      </c>
      <c r="BO271" s="80">
        <v>0</v>
      </c>
      <c r="BP271" s="80">
        <v>625</v>
      </c>
      <c r="BQ271" s="80">
        <v>14</v>
      </c>
      <c r="BR271" s="80">
        <v>-8</v>
      </c>
      <c r="BS271" s="80">
        <v>26</v>
      </c>
      <c r="BT271" s="80">
        <v>593</v>
      </c>
      <c r="BU271" s="80">
        <v>2056</v>
      </c>
      <c r="BV271" s="80">
        <v>2457</v>
      </c>
      <c r="BW271" s="80">
        <v>401</v>
      </c>
      <c r="BX271" s="81"/>
      <c r="BY271" s="80">
        <v>119163</v>
      </c>
      <c r="BZ271" s="80">
        <v>683</v>
      </c>
      <c r="CA271" s="80">
        <v>21</v>
      </c>
      <c r="CB271" s="80">
        <v>662</v>
      </c>
      <c r="CC271" s="80">
        <v>0</v>
      </c>
      <c r="CD271" s="80">
        <v>86986</v>
      </c>
      <c r="CE271" s="80">
        <v>14685</v>
      </c>
      <c r="CF271" s="80">
        <v>52078</v>
      </c>
      <c r="CG271" s="80">
        <v>18244</v>
      </c>
      <c r="CH271" s="80">
        <v>1475</v>
      </c>
      <c r="CI271" s="80">
        <v>243</v>
      </c>
      <c r="CJ271" s="80">
        <v>243</v>
      </c>
      <c r="CK271" s="80">
        <v>261</v>
      </c>
      <c r="CL271" s="80">
        <v>31494</v>
      </c>
      <c r="CM271" s="80">
        <v>22063</v>
      </c>
      <c r="CN271" s="80">
        <v>7637</v>
      </c>
      <c r="CO271" s="80">
        <v>14426</v>
      </c>
      <c r="CP271" s="80">
        <v>0</v>
      </c>
      <c r="CQ271" s="80">
        <v>9289</v>
      </c>
      <c r="CR271" s="80">
        <v>0</v>
      </c>
      <c r="CS271" s="80">
        <v>0</v>
      </c>
      <c r="CT271" s="80">
        <v>9289</v>
      </c>
      <c r="CU271" s="80">
        <v>142</v>
      </c>
      <c r="CV271" s="80">
        <v>98</v>
      </c>
      <c r="CW271" s="80">
        <v>3</v>
      </c>
      <c r="CX271" s="80">
        <v>95</v>
      </c>
      <c r="CY271" s="80">
        <v>0</v>
      </c>
      <c r="CZ271" s="80">
        <v>8050</v>
      </c>
      <c r="DA271" s="80">
        <v>91</v>
      </c>
      <c r="DB271" s="80">
        <v>85</v>
      </c>
      <c r="DC271" s="80">
        <v>0</v>
      </c>
      <c r="DD271" s="80">
        <v>0</v>
      </c>
      <c r="DE271" s="80">
        <v>0</v>
      </c>
      <c r="DF271" s="80">
        <v>6</v>
      </c>
      <c r="DG271" s="80">
        <v>5502</v>
      </c>
      <c r="DH271" s="80">
        <v>11</v>
      </c>
      <c r="DI271" s="80">
        <v>0</v>
      </c>
      <c r="DJ271" s="80">
        <v>11</v>
      </c>
      <c r="DK271" s="80">
        <v>0</v>
      </c>
      <c r="DL271" s="80">
        <v>0</v>
      </c>
      <c r="DM271" s="80">
        <v>5491</v>
      </c>
      <c r="DN271" s="80">
        <v>2139</v>
      </c>
      <c r="DO271" s="80">
        <v>16</v>
      </c>
      <c r="DP271" s="80">
        <v>561</v>
      </c>
      <c r="DQ271" s="80">
        <v>2775</v>
      </c>
      <c r="DR271" s="80">
        <v>0</v>
      </c>
      <c r="DS271" s="80">
        <v>0</v>
      </c>
      <c r="DT271" s="80">
        <v>0</v>
      </c>
      <c r="DU271" s="80">
        <v>0</v>
      </c>
      <c r="DV271" s="80">
        <v>0</v>
      </c>
      <c r="DW271" s="80">
        <v>2457</v>
      </c>
      <c r="DX271" s="80">
        <v>127311</v>
      </c>
      <c r="DY271" s="80">
        <v>51244</v>
      </c>
      <c r="DZ271" s="80">
        <v>40134</v>
      </c>
      <c r="EA271" s="80">
        <v>0</v>
      </c>
      <c r="EB271" s="80">
        <v>900</v>
      </c>
      <c r="EC271" s="80">
        <v>13896</v>
      </c>
      <c r="ED271" s="80">
        <v>-3686</v>
      </c>
      <c r="EE271" s="80">
        <v>301</v>
      </c>
      <c r="EF271" s="80">
        <v>0</v>
      </c>
      <c r="EG271" s="80">
        <v>301</v>
      </c>
      <c r="EH271" s="80">
        <v>1771</v>
      </c>
      <c r="EI271" s="80">
        <v>0</v>
      </c>
      <c r="EJ271" s="80">
        <v>1771</v>
      </c>
      <c r="EK271" s="80">
        <v>398</v>
      </c>
      <c r="EL271" s="80">
        <v>3</v>
      </c>
      <c r="EM271" s="80">
        <v>252</v>
      </c>
      <c r="EN271" s="80">
        <v>143</v>
      </c>
      <c r="EO271" s="80">
        <v>73597</v>
      </c>
      <c r="EP271" s="80">
        <v>36158</v>
      </c>
      <c r="EQ271" s="80">
        <v>0</v>
      </c>
      <c r="ER271" s="80">
        <v>34308</v>
      </c>
      <c r="ES271" s="80">
        <v>10880</v>
      </c>
      <c r="ET271" s="80">
        <v>23428</v>
      </c>
      <c r="EU271" s="80">
        <v>0</v>
      </c>
      <c r="EV271" s="80">
        <v>0</v>
      </c>
      <c r="EW271" s="80">
        <v>11</v>
      </c>
      <c r="EX271" s="80">
        <v>0</v>
      </c>
      <c r="EY271" s="80">
        <v>0</v>
      </c>
      <c r="EZ271" s="80">
        <v>0</v>
      </c>
      <c r="FA271" s="80">
        <v>1839</v>
      </c>
      <c r="FB271" s="80">
        <v>0</v>
      </c>
      <c r="FC271" s="80">
        <v>0</v>
      </c>
      <c r="FD271" s="80">
        <v>37439</v>
      </c>
      <c r="FE271" s="80">
        <v>0</v>
      </c>
      <c r="FF271" s="80">
        <v>22007</v>
      </c>
      <c r="FG271" s="80">
        <v>9007</v>
      </c>
      <c r="FH271" s="80">
        <v>13000</v>
      </c>
      <c r="FI271" s="80">
        <v>0</v>
      </c>
      <c r="FJ271" s="80">
        <v>0</v>
      </c>
      <c r="FK271" s="80">
        <v>11</v>
      </c>
      <c r="FL271" s="80">
        <v>0</v>
      </c>
      <c r="FM271" s="80">
        <v>28</v>
      </c>
      <c r="FN271" s="80">
        <v>5358</v>
      </c>
      <c r="FO271" s="80">
        <v>1036</v>
      </c>
      <c r="FP271" s="80">
        <v>8999</v>
      </c>
      <c r="FQ271" s="80">
        <v>127311</v>
      </c>
      <c r="FR271" s="80">
        <v>30511</v>
      </c>
      <c r="FS271" s="80">
        <v>3813</v>
      </c>
      <c r="FT271" s="100">
        <v>68345.047217178799</v>
      </c>
      <c r="FU271" s="100"/>
      <c r="FV271" s="100">
        <v>22850</v>
      </c>
      <c r="FW271" s="67">
        <v>5355</v>
      </c>
      <c r="FX271" s="100">
        <f t="shared" si="25"/>
        <v>-76105</v>
      </c>
      <c r="FY271" s="100">
        <f t="shared" si="26"/>
        <v>-109671</v>
      </c>
      <c r="FZ271" s="100">
        <v>70026.817079905944</v>
      </c>
      <c r="GA271" s="67">
        <v>33566</v>
      </c>
      <c r="GB271" s="58">
        <f t="shared" si="23"/>
        <v>10716</v>
      </c>
      <c r="GC271" s="67">
        <v>5415</v>
      </c>
      <c r="GD271" s="100">
        <v>6260</v>
      </c>
      <c r="GE271" s="100">
        <v>2308</v>
      </c>
      <c r="GF271" s="58">
        <f t="shared" si="24"/>
        <v>3952</v>
      </c>
      <c r="GG271" s="100">
        <v>-42256.626000000004</v>
      </c>
      <c r="GH271" s="100">
        <v>-867.15125000000046</v>
      </c>
      <c r="GI271" s="100">
        <v>-27186.902063116235</v>
      </c>
      <c r="GJ271" s="67">
        <f t="shared" si="27"/>
        <v>60</v>
      </c>
      <c r="GK271" s="67"/>
      <c r="GM271" s="96"/>
    </row>
    <row r="272" spans="1:195" ht="13.5" customHeight="1" x14ac:dyDescent="0.2">
      <c r="A272" s="74">
        <v>186</v>
      </c>
      <c r="B272" s="75" t="s">
        <v>252</v>
      </c>
      <c r="C272" s="82" t="s">
        <v>252</v>
      </c>
      <c r="D272" s="76"/>
      <c r="E272" s="77" t="s">
        <v>218</v>
      </c>
      <c r="F272" s="78">
        <v>5</v>
      </c>
      <c r="G272" s="79">
        <v>40900</v>
      </c>
      <c r="H272" s="80">
        <v>51701</v>
      </c>
      <c r="I272" s="80">
        <v>16102</v>
      </c>
      <c r="J272" s="80">
        <v>15005</v>
      </c>
      <c r="K272" s="80">
        <v>5674</v>
      </c>
      <c r="L272" s="80">
        <v>14920</v>
      </c>
      <c r="M272" s="80">
        <v>0</v>
      </c>
      <c r="N272" s="80">
        <v>1184</v>
      </c>
      <c r="O272" s="80">
        <v>242665</v>
      </c>
      <c r="P272" s="80">
        <v>98243</v>
      </c>
      <c r="Q272" s="80">
        <v>75571</v>
      </c>
      <c r="R272" s="80">
        <v>22672</v>
      </c>
      <c r="S272" s="80">
        <v>18353</v>
      </c>
      <c r="T272" s="80">
        <v>4319</v>
      </c>
      <c r="U272" s="80">
        <v>105798</v>
      </c>
      <c r="V272" s="80">
        <v>12252</v>
      </c>
      <c r="W272" s="80">
        <v>19389</v>
      </c>
      <c r="X272" s="80">
        <v>6983</v>
      </c>
      <c r="Y272" s="80">
        <v>-189780</v>
      </c>
      <c r="Z272" s="80">
        <v>175502</v>
      </c>
      <c r="AA272" s="80">
        <v>158708</v>
      </c>
      <c r="AB272" s="80">
        <v>4673</v>
      </c>
      <c r="AC272" s="80">
        <v>12121</v>
      </c>
      <c r="AD272" s="80">
        <v>23150</v>
      </c>
      <c r="AE272" s="80">
        <v>513</v>
      </c>
      <c r="AF272" s="80">
        <v>314</v>
      </c>
      <c r="AG272" s="80">
        <v>549</v>
      </c>
      <c r="AH272" s="80">
        <v>1</v>
      </c>
      <c r="AI272" s="80">
        <v>93</v>
      </c>
      <c r="AJ272" s="80">
        <v>257</v>
      </c>
      <c r="AK272" s="80">
        <v>9385</v>
      </c>
      <c r="AL272" s="80">
        <v>15149</v>
      </c>
      <c r="AM272" s="80">
        <v>15149</v>
      </c>
      <c r="AN272" s="80">
        <v>0</v>
      </c>
      <c r="AO272" s="80">
        <v>951</v>
      </c>
      <c r="AP272" s="80">
        <v>951</v>
      </c>
      <c r="AQ272" s="80">
        <v>0</v>
      </c>
      <c r="AR272" s="80">
        <v>-4813</v>
      </c>
      <c r="AS272" s="80">
        <v>220</v>
      </c>
      <c r="AT272" s="80">
        <v>0</v>
      </c>
      <c r="AU272" s="80">
        <v>0</v>
      </c>
      <c r="AV272" s="80">
        <v>-4593</v>
      </c>
      <c r="AW272" s="81"/>
      <c r="AX272" s="80">
        <v>1829</v>
      </c>
      <c r="AY272" s="80">
        <v>9385</v>
      </c>
      <c r="AZ272" s="80">
        <v>950</v>
      </c>
      <c r="BA272" s="80">
        <v>-8506</v>
      </c>
      <c r="BB272" s="80">
        <v>-12511</v>
      </c>
      <c r="BC272" s="80">
        <v>22377</v>
      </c>
      <c r="BD272" s="80">
        <v>303</v>
      </c>
      <c r="BE272" s="80">
        <v>9563</v>
      </c>
      <c r="BF272" s="80">
        <v>-10682</v>
      </c>
      <c r="BG272" s="80">
        <v>10530</v>
      </c>
      <c r="BH272" s="80">
        <v>18</v>
      </c>
      <c r="BI272" s="80">
        <v>0</v>
      </c>
      <c r="BJ272" s="80">
        <v>18</v>
      </c>
      <c r="BK272" s="80">
        <v>10809</v>
      </c>
      <c r="BL272" s="80">
        <v>0</v>
      </c>
      <c r="BM272" s="80">
        <v>500</v>
      </c>
      <c r="BN272" s="80">
        <v>11309</v>
      </c>
      <c r="BO272" s="80">
        <v>0</v>
      </c>
      <c r="BP272" s="80">
        <v>-297</v>
      </c>
      <c r="BQ272" s="80">
        <v>-86</v>
      </c>
      <c r="BR272" s="80">
        <v>-473</v>
      </c>
      <c r="BS272" s="80">
        <v>-661</v>
      </c>
      <c r="BT272" s="80">
        <v>923</v>
      </c>
      <c r="BU272" s="80">
        <v>-152</v>
      </c>
      <c r="BV272" s="80">
        <v>1942</v>
      </c>
      <c r="BW272" s="80">
        <v>2094</v>
      </c>
      <c r="BX272" s="81"/>
      <c r="BY272" s="80">
        <v>268060</v>
      </c>
      <c r="BZ272" s="80">
        <v>464</v>
      </c>
      <c r="CA272" s="80">
        <v>456</v>
      </c>
      <c r="CB272" s="80">
        <v>8</v>
      </c>
      <c r="CC272" s="80">
        <v>0</v>
      </c>
      <c r="CD272" s="80">
        <v>216855</v>
      </c>
      <c r="CE272" s="80">
        <v>37012</v>
      </c>
      <c r="CF272" s="80">
        <v>101988</v>
      </c>
      <c r="CG272" s="80">
        <v>73195</v>
      </c>
      <c r="CH272" s="80">
        <v>2682</v>
      </c>
      <c r="CI272" s="80">
        <v>500</v>
      </c>
      <c r="CJ272" s="80">
        <v>500</v>
      </c>
      <c r="CK272" s="80">
        <v>1478</v>
      </c>
      <c r="CL272" s="80">
        <v>50741</v>
      </c>
      <c r="CM272" s="80">
        <v>45750</v>
      </c>
      <c r="CN272" s="80">
        <v>27087</v>
      </c>
      <c r="CO272" s="80">
        <v>18663</v>
      </c>
      <c r="CP272" s="80">
        <v>0</v>
      </c>
      <c r="CQ272" s="80">
        <v>4991</v>
      </c>
      <c r="CR272" s="80">
        <v>0</v>
      </c>
      <c r="CS272" s="80">
        <v>0</v>
      </c>
      <c r="CT272" s="80">
        <v>4991</v>
      </c>
      <c r="CU272" s="80">
        <v>0</v>
      </c>
      <c r="CV272" s="80">
        <v>63</v>
      </c>
      <c r="CW272" s="80">
        <v>0</v>
      </c>
      <c r="CX272" s="80">
        <v>63</v>
      </c>
      <c r="CY272" s="80">
        <v>0</v>
      </c>
      <c r="CZ272" s="80">
        <v>11853</v>
      </c>
      <c r="DA272" s="80">
        <v>570</v>
      </c>
      <c r="DB272" s="80">
        <v>570</v>
      </c>
      <c r="DC272" s="80">
        <v>0</v>
      </c>
      <c r="DD272" s="80">
        <v>0</v>
      </c>
      <c r="DE272" s="80">
        <v>0</v>
      </c>
      <c r="DF272" s="80">
        <v>0</v>
      </c>
      <c r="DG272" s="80">
        <v>9341</v>
      </c>
      <c r="DH272" s="80">
        <v>139</v>
      </c>
      <c r="DI272" s="80">
        <v>0</v>
      </c>
      <c r="DJ272" s="80">
        <v>50</v>
      </c>
      <c r="DK272" s="80">
        <v>89</v>
      </c>
      <c r="DL272" s="80">
        <v>0</v>
      </c>
      <c r="DM272" s="80">
        <v>9202</v>
      </c>
      <c r="DN272" s="80">
        <v>4540</v>
      </c>
      <c r="DO272" s="80">
        <v>17</v>
      </c>
      <c r="DP272" s="80">
        <v>3420</v>
      </c>
      <c r="DQ272" s="80">
        <v>1225</v>
      </c>
      <c r="DR272" s="80">
        <v>0</v>
      </c>
      <c r="DS272" s="80">
        <v>0</v>
      </c>
      <c r="DT272" s="80">
        <v>0</v>
      </c>
      <c r="DU272" s="80">
        <v>0</v>
      </c>
      <c r="DV272" s="80">
        <v>0</v>
      </c>
      <c r="DW272" s="80">
        <v>1942</v>
      </c>
      <c r="DX272" s="80">
        <v>279976</v>
      </c>
      <c r="DY272" s="80">
        <v>161949</v>
      </c>
      <c r="DZ272" s="80">
        <v>106875</v>
      </c>
      <c r="EA272" s="80">
        <v>1580</v>
      </c>
      <c r="EB272" s="80">
        <v>0</v>
      </c>
      <c r="EC272" s="80">
        <v>58087</v>
      </c>
      <c r="ED272" s="80">
        <v>-4593</v>
      </c>
      <c r="EE272" s="80">
        <v>3999</v>
      </c>
      <c r="EF272" s="80">
        <v>1999</v>
      </c>
      <c r="EG272" s="80">
        <v>2000</v>
      </c>
      <c r="EH272" s="80">
        <v>1791</v>
      </c>
      <c r="EI272" s="80">
        <v>0</v>
      </c>
      <c r="EJ272" s="80">
        <v>1791</v>
      </c>
      <c r="EK272" s="80">
        <v>213</v>
      </c>
      <c r="EL272" s="80">
        <v>0</v>
      </c>
      <c r="EM272" s="80">
        <v>213</v>
      </c>
      <c r="EN272" s="80">
        <v>0</v>
      </c>
      <c r="EO272" s="80">
        <v>112024</v>
      </c>
      <c r="EP272" s="80">
        <v>7088</v>
      </c>
      <c r="EQ272" s="80">
        <v>0</v>
      </c>
      <c r="ER272" s="80">
        <v>0</v>
      </c>
      <c r="ES272" s="80">
        <v>0</v>
      </c>
      <c r="ET272" s="80">
        <v>0</v>
      </c>
      <c r="EU272" s="80">
        <v>0</v>
      </c>
      <c r="EV272" s="80">
        <v>0</v>
      </c>
      <c r="EW272" s="80">
        <v>0</v>
      </c>
      <c r="EX272" s="80">
        <v>0</v>
      </c>
      <c r="EY272" s="80">
        <v>0</v>
      </c>
      <c r="EZ272" s="80">
        <v>0</v>
      </c>
      <c r="FA272" s="80">
        <v>7088</v>
      </c>
      <c r="FB272" s="80">
        <v>0</v>
      </c>
      <c r="FC272" s="80">
        <v>0</v>
      </c>
      <c r="FD272" s="80">
        <v>104936</v>
      </c>
      <c r="FE272" s="80">
        <v>73000</v>
      </c>
      <c r="FF272" s="80">
        <v>500</v>
      </c>
      <c r="FG272" s="80">
        <v>0</v>
      </c>
      <c r="FH272" s="80">
        <v>0</v>
      </c>
      <c r="FI272" s="80">
        <v>0</v>
      </c>
      <c r="FJ272" s="80">
        <v>500</v>
      </c>
      <c r="FK272" s="80">
        <v>0</v>
      </c>
      <c r="FL272" s="80">
        <v>0</v>
      </c>
      <c r="FM272" s="80">
        <v>852</v>
      </c>
      <c r="FN272" s="80">
        <v>11645</v>
      </c>
      <c r="FO272" s="80">
        <v>2156</v>
      </c>
      <c r="FP272" s="80">
        <v>16783</v>
      </c>
      <c r="FQ272" s="80">
        <v>279976</v>
      </c>
      <c r="FR272" s="80">
        <v>115967</v>
      </c>
      <c r="FS272" s="80">
        <v>4789</v>
      </c>
      <c r="FT272" s="100">
        <v>134148.28172192673</v>
      </c>
      <c r="FU272" s="100"/>
      <c r="FV272" s="100">
        <v>60986</v>
      </c>
      <c r="FW272" s="67">
        <v>15022</v>
      </c>
      <c r="FX272" s="100">
        <f t="shared" si="25"/>
        <v>-98097</v>
      </c>
      <c r="FY272" s="100">
        <f t="shared" si="26"/>
        <v>-174631</v>
      </c>
      <c r="FZ272" s="100">
        <v>122835.81669404279</v>
      </c>
      <c r="GA272" s="67">
        <v>76534</v>
      </c>
      <c r="GB272" s="58">
        <f t="shared" si="23"/>
        <v>15548</v>
      </c>
      <c r="GC272" s="67">
        <v>15149</v>
      </c>
      <c r="GD272" s="100">
        <v>15005</v>
      </c>
      <c r="GE272" s="100">
        <v>7328</v>
      </c>
      <c r="GF272" s="58">
        <f t="shared" si="24"/>
        <v>7677</v>
      </c>
      <c r="GG272" s="100">
        <v>-98227.934000000008</v>
      </c>
      <c r="GH272" s="100">
        <v>-1378.8727000000006</v>
      </c>
      <c r="GI272" s="100">
        <v>-21564.07754666507</v>
      </c>
      <c r="GJ272" s="67">
        <f t="shared" si="27"/>
        <v>127</v>
      </c>
      <c r="GK272" s="67"/>
      <c r="GM272" s="96"/>
    </row>
    <row r="273" spans="1:195" ht="13.5" customHeight="1" x14ac:dyDescent="0.2">
      <c r="A273" s="74">
        <v>858</v>
      </c>
      <c r="B273" s="75" t="s">
        <v>311</v>
      </c>
      <c r="C273" s="82" t="s">
        <v>311</v>
      </c>
      <c r="D273" s="76"/>
      <c r="E273" s="77" t="s">
        <v>218</v>
      </c>
      <c r="F273" s="78">
        <v>5</v>
      </c>
      <c r="G273" s="79">
        <v>38459</v>
      </c>
      <c r="H273" s="80">
        <v>42542</v>
      </c>
      <c r="I273" s="80">
        <v>14945</v>
      </c>
      <c r="J273" s="80">
        <v>13009</v>
      </c>
      <c r="K273" s="80">
        <v>2906</v>
      </c>
      <c r="L273" s="80">
        <v>11682</v>
      </c>
      <c r="M273" s="80">
        <v>0</v>
      </c>
      <c r="N273" s="80">
        <v>120</v>
      </c>
      <c r="O273" s="80">
        <v>222460</v>
      </c>
      <c r="P273" s="80">
        <v>96046</v>
      </c>
      <c r="Q273" s="80">
        <v>74170</v>
      </c>
      <c r="R273" s="80">
        <v>21876</v>
      </c>
      <c r="S273" s="80">
        <v>17870</v>
      </c>
      <c r="T273" s="80">
        <v>4006</v>
      </c>
      <c r="U273" s="80">
        <v>96302</v>
      </c>
      <c r="V273" s="80">
        <v>11086</v>
      </c>
      <c r="W273" s="80">
        <v>12896</v>
      </c>
      <c r="X273" s="80">
        <v>6130</v>
      </c>
      <c r="Y273" s="80">
        <v>-179798</v>
      </c>
      <c r="Z273" s="80">
        <v>171443</v>
      </c>
      <c r="AA273" s="80">
        <v>155825</v>
      </c>
      <c r="AB273" s="80">
        <v>7300</v>
      </c>
      <c r="AC273" s="80">
        <v>8318</v>
      </c>
      <c r="AD273" s="80">
        <v>19096</v>
      </c>
      <c r="AE273" s="80">
        <v>260</v>
      </c>
      <c r="AF273" s="80">
        <v>246</v>
      </c>
      <c r="AG273" s="80">
        <v>327</v>
      </c>
      <c r="AH273" s="80">
        <v>26</v>
      </c>
      <c r="AI273" s="80">
        <v>295</v>
      </c>
      <c r="AJ273" s="80">
        <v>18</v>
      </c>
      <c r="AK273" s="80">
        <v>11001</v>
      </c>
      <c r="AL273" s="80">
        <v>12154</v>
      </c>
      <c r="AM273" s="80">
        <v>12154</v>
      </c>
      <c r="AN273" s="80">
        <v>0</v>
      </c>
      <c r="AO273" s="80">
        <v>0</v>
      </c>
      <c r="AP273" s="80">
        <v>0</v>
      </c>
      <c r="AQ273" s="80">
        <v>0</v>
      </c>
      <c r="AR273" s="80">
        <v>-1153</v>
      </c>
      <c r="AS273" s="80">
        <v>100</v>
      </c>
      <c r="AT273" s="80">
        <v>0</v>
      </c>
      <c r="AU273" s="80">
        <v>0</v>
      </c>
      <c r="AV273" s="80">
        <v>-1053</v>
      </c>
      <c r="AW273" s="81"/>
      <c r="AX273" s="80">
        <v>4288</v>
      </c>
      <c r="AY273" s="80">
        <v>11001</v>
      </c>
      <c r="AZ273" s="80">
        <v>0</v>
      </c>
      <c r="BA273" s="80">
        <v>-6713</v>
      </c>
      <c r="BB273" s="80">
        <v>-11769</v>
      </c>
      <c r="BC273" s="80">
        <v>19483</v>
      </c>
      <c r="BD273" s="80">
        <v>293</v>
      </c>
      <c r="BE273" s="80">
        <v>7421</v>
      </c>
      <c r="BF273" s="80">
        <v>-7481</v>
      </c>
      <c r="BG273" s="80">
        <v>9480</v>
      </c>
      <c r="BH273" s="80">
        <v>-677</v>
      </c>
      <c r="BI273" s="80">
        <v>688</v>
      </c>
      <c r="BJ273" s="80">
        <v>11</v>
      </c>
      <c r="BK273" s="80">
        <v>7839</v>
      </c>
      <c r="BL273" s="80">
        <v>0</v>
      </c>
      <c r="BM273" s="80">
        <v>0</v>
      </c>
      <c r="BN273" s="80">
        <v>7839</v>
      </c>
      <c r="BO273" s="80">
        <v>0</v>
      </c>
      <c r="BP273" s="80">
        <v>2318</v>
      </c>
      <c r="BQ273" s="80">
        <v>5</v>
      </c>
      <c r="BR273" s="80">
        <v>0</v>
      </c>
      <c r="BS273" s="80">
        <v>1680</v>
      </c>
      <c r="BT273" s="80">
        <v>633</v>
      </c>
      <c r="BU273" s="80">
        <v>2000</v>
      </c>
      <c r="BV273" s="80">
        <v>10082</v>
      </c>
      <c r="BW273" s="80">
        <v>8082</v>
      </c>
      <c r="BX273" s="81"/>
      <c r="BY273" s="80">
        <v>254346</v>
      </c>
      <c r="BZ273" s="80">
        <v>599</v>
      </c>
      <c r="CA273" s="80">
        <v>572</v>
      </c>
      <c r="CB273" s="80">
        <v>27</v>
      </c>
      <c r="CC273" s="80">
        <v>0</v>
      </c>
      <c r="CD273" s="80">
        <v>216201</v>
      </c>
      <c r="CE273" s="80">
        <v>44821</v>
      </c>
      <c r="CF273" s="80">
        <v>99902</v>
      </c>
      <c r="CG273" s="80">
        <v>63862</v>
      </c>
      <c r="CH273" s="80">
        <v>2089</v>
      </c>
      <c r="CI273" s="80">
        <v>267</v>
      </c>
      <c r="CJ273" s="80">
        <v>267</v>
      </c>
      <c r="CK273" s="80">
        <v>5260</v>
      </c>
      <c r="CL273" s="80">
        <v>37546</v>
      </c>
      <c r="CM273" s="80">
        <v>31020</v>
      </c>
      <c r="CN273" s="80">
        <v>22181</v>
      </c>
      <c r="CO273" s="80">
        <v>8839</v>
      </c>
      <c r="CP273" s="80">
        <v>0</v>
      </c>
      <c r="CQ273" s="80">
        <v>6500</v>
      </c>
      <c r="CR273" s="80">
        <v>0</v>
      </c>
      <c r="CS273" s="80">
        <v>0</v>
      </c>
      <c r="CT273" s="80">
        <v>6500</v>
      </c>
      <c r="CU273" s="80">
        <v>26</v>
      </c>
      <c r="CV273" s="80">
        <v>95</v>
      </c>
      <c r="CW273" s="80">
        <v>66</v>
      </c>
      <c r="CX273" s="80">
        <v>29</v>
      </c>
      <c r="CY273" s="80">
        <v>0</v>
      </c>
      <c r="CZ273" s="80">
        <v>18980</v>
      </c>
      <c r="DA273" s="80">
        <v>1042</v>
      </c>
      <c r="DB273" s="80">
        <v>171</v>
      </c>
      <c r="DC273" s="80">
        <v>0</v>
      </c>
      <c r="DD273" s="80">
        <v>871</v>
      </c>
      <c r="DE273" s="80">
        <v>0</v>
      </c>
      <c r="DF273" s="80">
        <v>0</v>
      </c>
      <c r="DG273" s="80">
        <v>7856</v>
      </c>
      <c r="DH273" s="80">
        <v>387</v>
      </c>
      <c r="DI273" s="80">
        <v>0</v>
      </c>
      <c r="DJ273" s="80">
        <v>78</v>
      </c>
      <c r="DK273" s="80">
        <v>309</v>
      </c>
      <c r="DL273" s="80">
        <v>0</v>
      </c>
      <c r="DM273" s="80">
        <v>7469</v>
      </c>
      <c r="DN273" s="80">
        <v>3804</v>
      </c>
      <c r="DO273" s="80">
        <v>-14</v>
      </c>
      <c r="DP273" s="80">
        <v>1358</v>
      </c>
      <c r="DQ273" s="80">
        <v>2321</v>
      </c>
      <c r="DR273" s="80">
        <v>0</v>
      </c>
      <c r="DS273" s="80">
        <v>0</v>
      </c>
      <c r="DT273" s="80">
        <v>0</v>
      </c>
      <c r="DU273" s="80">
        <v>0</v>
      </c>
      <c r="DV273" s="80">
        <v>0</v>
      </c>
      <c r="DW273" s="80">
        <v>10082</v>
      </c>
      <c r="DX273" s="80">
        <v>273421</v>
      </c>
      <c r="DY273" s="80">
        <v>181430</v>
      </c>
      <c r="DZ273" s="80">
        <v>127516</v>
      </c>
      <c r="EA273" s="80">
        <v>0</v>
      </c>
      <c r="EB273" s="80">
        <v>7578</v>
      </c>
      <c r="EC273" s="80">
        <v>47390</v>
      </c>
      <c r="ED273" s="80">
        <v>-1054</v>
      </c>
      <c r="EE273" s="80">
        <v>0</v>
      </c>
      <c r="EF273" s="80">
        <v>0</v>
      </c>
      <c r="EG273" s="80">
        <v>0</v>
      </c>
      <c r="EH273" s="80">
        <v>1731</v>
      </c>
      <c r="EI273" s="80">
        <v>0</v>
      </c>
      <c r="EJ273" s="80">
        <v>1731</v>
      </c>
      <c r="EK273" s="80">
        <v>665</v>
      </c>
      <c r="EL273" s="80">
        <v>3</v>
      </c>
      <c r="EM273" s="80">
        <v>662</v>
      </c>
      <c r="EN273" s="80">
        <v>0</v>
      </c>
      <c r="EO273" s="80">
        <v>89596</v>
      </c>
      <c r="EP273" s="80">
        <v>23481</v>
      </c>
      <c r="EQ273" s="80">
        <v>0</v>
      </c>
      <c r="ER273" s="80">
        <v>15000</v>
      </c>
      <c r="ES273" s="80">
        <v>0</v>
      </c>
      <c r="ET273" s="80">
        <v>15000</v>
      </c>
      <c r="EU273" s="80">
        <v>0</v>
      </c>
      <c r="EV273" s="80">
        <v>0</v>
      </c>
      <c r="EW273" s="80">
        <v>0</v>
      </c>
      <c r="EX273" s="80">
        <v>0</v>
      </c>
      <c r="EY273" s="80">
        <v>0</v>
      </c>
      <c r="EZ273" s="80">
        <v>0</v>
      </c>
      <c r="FA273" s="80">
        <v>8481</v>
      </c>
      <c r="FB273" s="80">
        <v>0</v>
      </c>
      <c r="FC273" s="80">
        <v>0</v>
      </c>
      <c r="FD273" s="80">
        <v>66115</v>
      </c>
      <c r="FE273" s="80">
        <v>0</v>
      </c>
      <c r="FF273" s="80">
        <v>34000</v>
      </c>
      <c r="FG273" s="80">
        <v>25000</v>
      </c>
      <c r="FH273" s="80">
        <v>9000</v>
      </c>
      <c r="FI273" s="80">
        <v>0</v>
      </c>
      <c r="FJ273" s="80">
        <v>0</v>
      </c>
      <c r="FK273" s="80">
        <v>0</v>
      </c>
      <c r="FL273" s="80">
        <v>3295</v>
      </c>
      <c r="FM273" s="80">
        <v>832</v>
      </c>
      <c r="FN273" s="80">
        <v>9191</v>
      </c>
      <c r="FO273" s="80">
        <v>2083</v>
      </c>
      <c r="FP273" s="80">
        <v>16714</v>
      </c>
      <c r="FQ273" s="80">
        <v>273422</v>
      </c>
      <c r="FR273" s="80">
        <v>47689</v>
      </c>
      <c r="FS273" s="80">
        <v>1410</v>
      </c>
      <c r="FT273" s="100">
        <v>137310.31801922453</v>
      </c>
      <c r="FU273" s="100"/>
      <c r="FV273" s="100">
        <v>60004</v>
      </c>
      <c r="FW273" s="67">
        <v>11550</v>
      </c>
      <c r="FX273" s="100">
        <f t="shared" si="25"/>
        <v>-95132</v>
      </c>
      <c r="FY273" s="100">
        <f t="shared" si="26"/>
        <v>-167644</v>
      </c>
      <c r="FZ273" s="100">
        <v>106517.36037462107</v>
      </c>
      <c r="GA273" s="67">
        <v>72512</v>
      </c>
      <c r="GB273" s="58">
        <f t="shared" si="23"/>
        <v>12508</v>
      </c>
      <c r="GC273" s="67">
        <v>12154</v>
      </c>
      <c r="GD273" s="100">
        <v>13078</v>
      </c>
      <c r="GE273" s="100">
        <v>6847</v>
      </c>
      <c r="GF273" s="58">
        <f t="shared" si="24"/>
        <v>6231</v>
      </c>
      <c r="GG273" s="100">
        <v>-98398.866000000009</v>
      </c>
      <c r="GH273" s="100">
        <v>-2140.3492000000006</v>
      </c>
      <c r="GI273" s="100">
        <v>-5610.488481184585</v>
      </c>
      <c r="GJ273" s="67">
        <f t="shared" si="27"/>
        <v>604</v>
      </c>
      <c r="GK273" s="67"/>
      <c r="GM273" s="96"/>
    </row>
    <row r="274" spans="1:195" ht="13.5" customHeight="1" x14ac:dyDescent="0.2">
      <c r="A274" s="74">
        <v>857</v>
      </c>
      <c r="B274" s="75" t="s">
        <v>192</v>
      </c>
      <c r="C274" s="75" t="s">
        <v>192</v>
      </c>
      <c r="D274" s="76"/>
      <c r="E274" s="77" t="s">
        <v>239</v>
      </c>
      <c r="F274" s="78">
        <v>2</v>
      </c>
      <c r="G274" s="79">
        <v>2719</v>
      </c>
      <c r="H274" s="80">
        <v>3034</v>
      </c>
      <c r="I274" s="80">
        <v>1138</v>
      </c>
      <c r="J274" s="80">
        <v>892</v>
      </c>
      <c r="K274" s="80">
        <v>361</v>
      </c>
      <c r="L274" s="80">
        <v>643</v>
      </c>
      <c r="M274" s="80">
        <v>0</v>
      </c>
      <c r="N274" s="80">
        <v>0</v>
      </c>
      <c r="O274" s="80">
        <v>20042</v>
      </c>
      <c r="P274" s="80">
        <v>7346</v>
      </c>
      <c r="Q274" s="80">
        <v>5392</v>
      </c>
      <c r="R274" s="80">
        <v>1954</v>
      </c>
      <c r="S274" s="80">
        <v>1672</v>
      </c>
      <c r="T274" s="80">
        <v>282</v>
      </c>
      <c r="U274" s="80">
        <v>10279</v>
      </c>
      <c r="V274" s="80">
        <v>952</v>
      </c>
      <c r="W274" s="80">
        <v>939</v>
      </c>
      <c r="X274" s="80">
        <v>526</v>
      </c>
      <c r="Y274" s="80">
        <v>-17008</v>
      </c>
      <c r="Z274" s="80">
        <v>8523</v>
      </c>
      <c r="AA274" s="80">
        <v>6764</v>
      </c>
      <c r="AB274" s="80">
        <v>806</v>
      </c>
      <c r="AC274" s="80">
        <v>953</v>
      </c>
      <c r="AD274" s="80">
        <v>9609</v>
      </c>
      <c r="AE274" s="80">
        <v>135</v>
      </c>
      <c r="AF274" s="80">
        <v>32</v>
      </c>
      <c r="AG274" s="80">
        <v>220</v>
      </c>
      <c r="AH274" s="80">
        <v>170</v>
      </c>
      <c r="AI274" s="80">
        <v>94</v>
      </c>
      <c r="AJ274" s="80">
        <v>23</v>
      </c>
      <c r="AK274" s="80">
        <v>1259</v>
      </c>
      <c r="AL274" s="80">
        <v>1241</v>
      </c>
      <c r="AM274" s="80">
        <v>1241</v>
      </c>
      <c r="AN274" s="80">
        <v>0</v>
      </c>
      <c r="AO274" s="80">
        <v>0</v>
      </c>
      <c r="AP274" s="80">
        <v>0</v>
      </c>
      <c r="AQ274" s="80">
        <v>0</v>
      </c>
      <c r="AR274" s="80">
        <v>18</v>
      </c>
      <c r="AS274" s="80">
        <v>104</v>
      </c>
      <c r="AT274" s="80">
        <v>0</v>
      </c>
      <c r="AU274" s="80">
        <v>0</v>
      </c>
      <c r="AV274" s="80">
        <v>122</v>
      </c>
      <c r="AW274" s="81"/>
      <c r="AX274" s="80">
        <v>1237</v>
      </c>
      <c r="AY274" s="80">
        <v>1259</v>
      </c>
      <c r="AZ274" s="80">
        <v>0</v>
      </c>
      <c r="BA274" s="80">
        <v>-22</v>
      </c>
      <c r="BB274" s="80">
        <v>-1348</v>
      </c>
      <c r="BC274" s="80">
        <v>1531</v>
      </c>
      <c r="BD274" s="80">
        <v>110</v>
      </c>
      <c r="BE274" s="80">
        <v>73</v>
      </c>
      <c r="BF274" s="80">
        <v>-111</v>
      </c>
      <c r="BG274" s="80">
        <v>-134</v>
      </c>
      <c r="BH274" s="80">
        <v>0</v>
      </c>
      <c r="BI274" s="80">
        <v>0</v>
      </c>
      <c r="BJ274" s="80">
        <v>0</v>
      </c>
      <c r="BK274" s="80">
        <v>-625</v>
      </c>
      <c r="BL274" s="80">
        <v>0</v>
      </c>
      <c r="BM274" s="80">
        <v>625</v>
      </c>
      <c r="BN274" s="80">
        <v>0</v>
      </c>
      <c r="BO274" s="80">
        <v>0</v>
      </c>
      <c r="BP274" s="80">
        <v>491</v>
      </c>
      <c r="BQ274" s="80">
        <v>0</v>
      </c>
      <c r="BR274" s="80">
        <v>0</v>
      </c>
      <c r="BS274" s="80">
        <v>287</v>
      </c>
      <c r="BT274" s="80">
        <v>204</v>
      </c>
      <c r="BU274" s="80">
        <v>-245</v>
      </c>
      <c r="BV274" s="80">
        <v>2258</v>
      </c>
      <c r="BW274" s="80">
        <v>2503</v>
      </c>
      <c r="BX274" s="81"/>
      <c r="BY274" s="80">
        <v>22419</v>
      </c>
      <c r="BZ274" s="80">
        <v>945</v>
      </c>
      <c r="CA274" s="80">
        <v>0</v>
      </c>
      <c r="CB274" s="80">
        <v>945</v>
      </c>
      <c r="CC274" s="80">
        <v>0</v>
      </c>
      <c r="CD274" s="80">
        <v>14072</v>
      </c>
      <c r="CE274" s="80">
        <v>1614</v>
      </c>
      <c r="CF274" s="80">
        <v>8260</v>
      </c>
      <c r="CG274" s="80">
        <v>3461</v>
      </c>
      <c r="CH274" s="80">
        <v>426</v>
      </c>
      <c r="CI274" s="80">
        <v>15</v>
      </c>
      <c r="CJ274" s="80">
        <v>7</v>
      </c>
      <c r="CK274" s="80">
        <v>296</v>
      </c>
      <c r="CL274" s="80">
        <v>7402</v>
      </c>
      <c r="CM274" s="80">
        <v>7291</v>
      </c>
      <c r="CN274" s="80">
        <v>1595</v>
      </c>
      <c r="CO274" s="80">
        <v>5696</v>
      </c>
      <c r="CP274" s="80">
        <v>0</v>
      </c>
      <c r="CQ274" s="80">
        <v>111</v>
      </c>
      <c r="CR274" s="80">
        <v>0</v>
      </c>
      <c r="CS274" s="80">
        <v>0</v>
      </c>
      <c r="CT274" s="80">
        <v>111</v>
      </c>
      <c r="CU274" s="80">
        <v>0</v>
      </c>
      <c r="CV274" s="80">
        <v>17</v>
      </c>
      <c r="CW274" s="80">
        <v>0</v>
      </c>
      <c r="CX274" s="80">
        <v>17</v>
      </c>
      <c r="CY274" s="80">
        <v>0</v>
      </c>
      <c r="CZ274" s="80">
        <v>3099</v>
      </c>
      <c r="DA274" s="80">
        <v>0</v>
      </c>
      <c r="DB274" s="80">
        <v>0</v>
      </c>
      <c r="DC274" s="80">
        <v>0</v>
      </c>
      <c r="DD274" s="80">
        <v>0</v>
      </c>
      <c r="DE274" s="80">
        <v>0</v>
      </c>
      <c r="DF274" s="80">
        <v>0</v>
      </c>
      <c r="DG274" s="80">
        <v>841</v>
      </c>
      <c r="DH274" s="80">
        <v>5</v>
      </c>
      <c r="DI274" s="80">
        <v>0</v>
      </c>
      <c r="DJ274" s="80">
        <v>5</v>
      </c>
      <c r="DK274" s="80">
        <v>0</v>
      </c>
      <c r="DL274" s="80">
        <v>0</v>
      </c>
      <c r="DM274" s="80">
        <v>836</v>
      </c>
      <c r="DN274" s="80">
        <v>797</v>
      </c>
      <c r="DO274" s="80">
        <v>4</v>
      </c>
      <c r="DP274" s="80">
        <v>35</v>
      </c>
      <c r="DQ274" s="80">
        <v>0</v>
      </c>
      <c r="DR274" s="80">
        <v>59</v>
      </c>
      <c r="DS274" s="80">
        <v>0</v>
      </c>
      <c r="DT274" s="80">
        <v>0</v>
      </c>
      <c r="DU274" s="80">
        <v>0</v>
      </c>
      <c r="DV274" s="80">
        <v>59</v>
      </c>
      <c r="DW274" s="80">
        <v>2199</v>
      </c>
      <c r="DX274" s="80">
        <v>25535</v>
      </c>
      <c r="DY274" s="80">
        <v>15557</v>
      </c>
      <c r="DZ274" s="80">
        <v>10399</v>
      </c>
      <c r="EA274" s="80">
        <v>0</v>
      </c>
      <c r="EB274" s="80">
        <v>0</v>
      </c>
      <c r="EC274" s="80">
        <v>5036</v>
      </c>
      <c r="ED274" s="80">
        <v>122</v>
      </c>
      <c r="EE274" s="80">
        <v>2588</v>
      </c>
      <c r="EF274" s="80">
        <v>2588</v>
      </c>
      <c r="EG274" s="80">
        <v>0</v>
      </c>
      <c r="EH274" s="80">
        <v>0</v>
      </c>
      <c r="EI274" s="80">
        <v>0</v>
      </c>
      <c r="EJ274" s="80">
        <v>0</v>
      </c>
      <c r="EK274" s="80">
        <v>20</v>
      </c>
      <c r="EL274" s="80">
        <v>0</v>
      </c>
      <c r="EM274" s="80">
        <v>17</v>
      </c>
      <c r="EN274" s="80">
        <v>3</v>
      </c>
      <c r="EO274" s="80">
        <v>7370</v>
      </c>
      <c r="EP274" s="80">
        <v>4925</v>
      </c>
      <c r="EQ274" s="80">
        <v>0</v>
      </c>
      <c r="ER274" s="80">
        <v>4925</v>
      </c>
      <c r="ES274" s="80">
        <v>0</v>
      </c>
      <c r="ET274" s="80">
        <v>4925</v>
      </c>
      <c r="EU274" s="80">
        <v>0</v>
      </c>
      <c r="EV274" s="80">
        <v>0</v>
      </c>
      <c r="EW274" s="80">
        <v>0</v>
      </c>
      <c r="EX274" s="80">
        <v>0</v>
      </c>
      <c r="EY274" s="80">
        <v>0</v>
      </c>
      <c r="EZ274" s="80">
        <v>0</v>
      </c>
      <c r="FA274" s="80">
        <v>0</v>
      </c>
      <c r="FB274" s="80">
        <v>0</v>
      </c>
      <c r="FC274" s="80">
        <v>0</v>
      </c>
      <c r="FD274" s="80">
        <v>2445</v>
      </c>
      <c r="FE274" s="80">
        <v>0</v>
      </c>
      <c r="FF274" s="80">
        <v>625</v>
      </c>
      <c r="FG274" s="80">
        <v>0</v>
      </c>
      <c r="FH274" s="80">
        <v>625</v>
      </c>
      <c r="FI274" s="80">
        <v>0</v>
      </c>
      <c r="FJ274" s="80">
        <v>0</v>
      </c>
      <c r="FK274" s="80">
        <v>0</v>
      </c>
      <c r="FL274" s="80">
        <v>0</v>
      </c>
      <c r="FM274" s="80">
        <v>42</v>
      </c>
      <c r="FN274" s="80">
        <v>718</v>
      </c>
      <c r="FO274" s="80">
        <v>125</v>
      </c>
      <c r="FP274" s="80">
        <v>935</v>
      </c>
      <c r="FQ274" s="80">
        <v>25535</v>
      </c>
      <c r="FR274" s="80">
        <v>0</v>
      </c>
      <c r="FS274" s="80">
        <v>1349</v>
      </c>
      <c r="FT274" s="100">
        <v>8629.4075681519571</v>
      </c>
      <c r="FU274" s="100"/>
      <c r="FV274" s="100">
        <v>3694</v>
      </c>
      <c r="FW274" s="67">
        <v>965</v>
      </c>
      <c r="FX274" s="100">
        <f t="shared" si="25"/>
        <v>-10961</v>
      </c>
      <c r="FY274" s="100">
        <f t="shared" si="26"/>
        <v>-15767</v>
      </c>
      <c r="FZ274" s="100">
        <v>11968.121865989597</v>
      </c>
      <c r="GA274" s="67">
        <v>4806</v>
      </c>
      <c r="GB274" s="58">
        <f t="shared" si="23"/>
        <v>1112</v>
      </c>
      <c r="GC274" s="67">
        <v>1241</v>
      </c>
      <c r="GD274" s="100">
        <v>893</v>
      </c>
      <c r="GE274" s="100">
        <v>170</v>
      </c>
      <c r="GF274" s="58">
        <f t="shared" si="24"/>
        <v>723</v>
      </c>
      <c r="GG274" s="100">
        <v>-3690.2060000000001</v>
      </c>
      <c r="GH274" s="100">
        <v>-228.91600000000003</v>
      </c>
      <c r="GI274" s="100">
        <v>-8444.281705191419</v>
      </c>
      <c r="GJ274" s="67">
        <f t="shared" si="27"/>
        <v>276</v>
      </c>
      <c r="GK274" s="67"/>
      <c r="GM274" s="96"/>
    </row>
    <row r="275" spans="1:195" ht="13.5" customHeight="1" x14ac:dyDescent="0.2">
      <c r="A275" s="74">
        <v>859</v>
      </c>
      <c r="B275" s="75" t="s">
        <v>193</v>
      </c>
      <c r="C275" s="75" t="s">
        <v>193</v>
      </c>
      <c r="D275" s="76"/>
      <c r="E275" s="77" t="s">
        <v>216</v>
      </c>
      <c r="F275" s="78">
        <v>3</v>
      </c>
      <c r="G275" s="79">
        <v>6793</v>
      </c>
      <c r="H275" s="80">
        <v>4276</v>
      </c>
      <c r="I275" s="80">
        <v>717</v>
      </c>
      <c r="J275" s="80">
        <v>1635</v>
      </c>
      <c r="K275" s="80">
        <v>799</v>
      </c>
      <c r="L275" s="80">
        <v>1125</v>
      </c>
      <c r="M275" s="80">
        <v>0</v>
      </c>
      <c r="N275" s="80">
        <v>0</v>
      </c>
      <c r="O275" s="80">
        <v>38813</v>
      </c>
      <c r="P275" s="80">
        <v>17426</v>
      </c>
      <c r="Q275" s="80">
        <v>13567</v>
      </c>
      <c r="R275" s="80">
        <v>3859</v>
      </c>
      <c r="S275" s="80">
        <v>3105</v>
      </c>
      <c r="T275" s="80">
        <v>754</v>
      </c>
      <c r="U275" s="80">
        <v>16366</v>
      </c>
      <c r="V275" s="80">
        <v>2283</v>
      </c>
      <c r="W275" s="80">
        <v>2378</v>
      </c>
      <c r="X275" s="80">
        <v>360</v>
      </c>
      <c r="Y275" s="80">
        <v>-34537</v>
      </c>
      <c r="Z275" s="80">
        <v>18053</v>
      </c>
      <c r="AA275" s="80">
        <v>16603</v>
      </c>
      <c r="AB275" s="80">
        <v>583</v>
      </c>
      <c r="AC275" s="80">
        <v>867</v>
      </c>
      <c r="AD275" s="80">
        <v>18276</v>
      </c>
      <c r="AE275" s="80">
        <v>-186</v>
      </c>
      <c r="AF275" s="80">
        <v>0</v>
      </c>
      <c r="AG275" s="80">
        <v>53</v>
      </c>
      <c r="AH275" s="80">
        <v>0</v>
      </c>
      <c r="AI275" s="80">
        <v>220</v>
      </c>
      <c r="AJ275" s="80">
        <v>19</v>
      </c>
      <c r="AK275" s="80">
        <v>1606</v>
      </c>
      <c r="AL275" s="80">
        <v>1601</v>
      </c>
      <c r="AM275" s="80">
        <v>1601</v>
      </c>
      <c r="AN275" s="80">
        <v>0</v>
      </c>
      <c r="AO275" s="80">
        <v>0</v>
      </c>
      <c r="AP275" s="80">
        <v>0</v>
      </c>
      <c r="AQ275" s="80">
        <v>0</v>
      </c>
      <c r="AR275" s="80">
        <v>5</v>
      </c>
      <c r="AS275" s="80">
        <v>6</v>
      </c>
      <c r="AT275" s="80">
        <v>0</v>
      </c>
      <c r="AU275" s="80">
        <v>0</v>
      </c>
      <c r="AV275" s="80">
        <v>11</v>
      </c>
      <c r="AW275" s="81"/>
      <c r="AX275" s="80">
        <v>1348</v>
      </c>
      <c r="AY275" s="80">
        <v>1606</v>
      </c>
      <c r="AZ275" s="80">
        <v>0</v>
      </c>
      <c r="BA275" s="80">
        <v>-258</v>
      </c>
      <c r="BB275" s="80">
        <v>-1826</v>
      </c>
      <c r="BC275" s="80">
        <v>2157</v>
      </c>
      <c r="BD275" s="80">
        <v>40</v>
      </c>
      <c r="BE275" s="80">
        <v>291</v>
      </c>
      <c r="BF275" s="80">
        <v>-478</v>
      </c>
      <c r="BG275" s="80">
        <v>-64</v>
      </c>
      <c r="BH275" s="80">
        <v>2</v>
      </c>
      <c r="BI275" s="80">
        <v>0</v>
      </c>
      <c r="BJ275" s="80">
        <v>2</v>
      </c>
      <c r="BK275" s="80">
        <v>-1012</v>
      </c>
      <c r="BL275" s="80">
        <v>1500</v>
      </c>
      <c r="BM275" s="80">
        <v>2527</v>
      </c>
      <c r="BN275" s="80">
        <v>15</v>
      </c>
      <c r="BO275" s="80">
        <v>-92</v>
      </c>
      <c r="BP275" s="80">
        <v>1038</v>
      </c>
      <c r="BQ275" s="80">
        <v>-11</v>
      </c>
      <c r="BR275" s="80">
        <v>13</v>
      </c>
      <c r="BS275" s="80">
        <v>150</v>
      </c>
      <c r="BT275" s="80">
        <v>886</v>
      </c>
      <c r="BU275" s="80">
        <v>-545</v>
      </c>
      <c r="BV275" s="80">
        <v>24</v>
      </c>
      <c r="BW275" s="80">
        <v>569</v>
      </c>
      <c r="BX275" s="81"/>
      <c r="BY275" s="80">
        <v>36380</v>
      </c>
      <c r="BZ275" s="80">
        <v>123</v>
      </c>
      <c r="CA275" s="80">
        <v>113</v>
      </c>
      <c r="CB275" s="80">
        <v>0</v>
      </c>
      <c r="CC275" s="80">
        <v>10</v>
      </c>
      <c r="CD275" s="80">
        <v>31770</v>
      </c>
      <c r="CE275" s="80">
        <v>5719</v>
      </c>
      <c r="CF275" s="80">
        <v>22067</v>
      </c>
      <c r="CG275" s="80">
        <v>3712</v>
      </c>
      <c r="CH275" s="80">
        <v>151</v>
      </c>
      <c r="CI275" s="80">
        <v>35</v>
      </c>
      <c r="CJ275" s="80">
        <v>0</v>
      </c>
      <c r="CK275" s="80">
        <v>86</v>
      </c>
      <c r="CL275" s="80">
        <v>4487</v>
      </c>
      <c r="CM275" s="80">
        <v>4295</v>
      </c>
      <c r="CN275" s="80">
        <v>2484</v>
      </c>
      <c r="CO275" s="80">
        <v>1811</v>
      </c>
      <c r="CP275" s="80">
        <v>0</v>
      </c>
      <c r="CQ275" s="80">
        <v>7</v>
      </c>
      <c r="CR275" s="80">
        <v>0</v>
      </c>
      <c r="CS275" s="80">
        <v>0</v>
      </c>
      <c r="CT275" s="80">
        <v>7</v>
      </c>
      <c r="CU275" s="80">
        <v>185</v>
      </c>
      <c r="CV275" s="80">
        <v>92</v>
      </c>
      <c r="CW275" s="80">
        <v>0</v>
      </c>
      <c r="CX275" s="80">
        <v>0</v>
      </c>
      <c r="CY275" s="80">
        <v>92</v>
      </c>
      <c r="CZ275" s="80">
        <v>1639</v>
      </c>
      <c r="DA275" s="80">
        <v>56</v>
      </c>
      <c r="DB275" s="80">
        <v>0</v>
      </c>
      <c r="DC275" s="80">
        <v>0</v>
      </c>
      <c r="DD275" s="80">
        <v>0</v>
      </c>
      <c r="DE275" s="80">
        <v>56</v>
      </c>
      <c r="DF275" s="80">
        <v>0</v>
      </c>
      <c r="DG275" s="80">
        <v>1559</v>
      </c>
      <c r="DH275" s="80">
        <v>299</v>
      </c>
      <c r="DI275" s="80">
        <v>0</v>
      </c>
      <c r="DJ275" s="80">
        <v>0</v>
      </c>
      <c r="DK275" s="80">
        <v>299</v>
      </c>
      <c r="DL275" s="80">
        <v>0</v>
      </c>
      <c r="DM275" s="80">
        <v>1260</v>
      </c>
      <c r="DN275" s="80">
        <v>418</v>
      </c>
      <c r="DO275" s="80">
        <v>0</v>
      </c>
      <c r="DP275" s="80">
        <v>842</v>
      </c>
      <c r="DQ275" s="80">
        <v>0</v>
      </c>
      <c r="DR275" s="80">
        <v>0</v>
      </c>
      <c r="DS275" s="80">
        <v>0</v>
      </c>
      <c r="DT275" s="80">
        <v>0</v>
      </c>
      <c r="DU275" s="80">
        <v>0</v>
      </c>
      <c r="DV275" s="80">
        <v>0</v>
      </c>
      <c r="DW275" s="80">
        <v>24</v>
      </c>
      <c r="DX275" s="80">
        <v>38111</v>
      </c>
      <c r="DY275" s="80">
        <v>16347</v>
      </c>
      <c r="DZ275" s="80">
        <v>11246</v>
      </c>
      <c r="EA275" s="80">
        <v>0</v>
      </c>
      <c r="EB275" s="80">
        <v>0</v>
      </c>
      <c r="EC275" s="80">
        <v>5089</v>
      </c>
      <c r="ED275" s="80">
        <v>12</v>
      </c>
      <c r="EE275" s="80">
        <v>0</v>
      </c>
      <c r="EF275" s="80">
        <v>0</v>
      </c>
      <c r="EG275" s="80">
        <v>0</v>
      </c>
      <c r="EH275" s="80">
        <v>6</v>
      </c>
      <c r="EI275" s="80">
        <v>0</v>
      </c>
      <c r="EJ275" s="80">
        <v>6</v>
      </c>
      <c r="EK275" s="80">
        <v>93</v>
      </c>
      <c r="EL275" s="80">
        <v>0</v>
      </c>
      <c r="EM275" s="80">
        <v>1</v>
      </c>
      <c r="EN275" s="80">
        <v>92</v>
      </c>
      <c r="EO275" s="80">
        <v>21665</v>
      </c>
      <c r="EP275" s="80">
        <v>13596</v>
      </c>
      <c r="EQ275" s="80">
        <v>0</v>
      </c>
      <c r="ER275" s="80">
        <v>13021</v>
      </c>
      <c r="ES275" s="80">
        <v>2146</v>
      </c>
      <c r="ET275" s="80">
        <v>10875</v>
      </c>
      <c r="EU275" s="80">
        <v>0</v>
      </c>
      <c r="EV275" s="80">
        <v>0</v>
      </c>
      <c r="EW275" s="80">
        <v>575</v>
      </c>
      <c r="EX275" s="80">
        <v>0</v>
      </c>
      <c r="EY275" s="80">
        <v>0</v>
      </c>
      <c r="EZ275" s="80">
        <v>0</v>
      </c>
      <c r="FA275" s="80">
        <v>0</v>
      </c>
      <c r="FB275" s="80">
        <v>0</v>
      </c>
      <c r="FC275" s="80">
        <v>0</v>
      </c>
      <c r="FD275" s="80">
        <v>8069</v>
      </c>
      <c r="FE275" s="80">
        <v>0</v>
      </c>
      <c r="FF275" s="80">
        <v>1954</v>
      </c>
      <c r="FG275" s="80">
        <v>223</v>
      </c>
      <c r="FH275" s="80">
        <v>1731</v>
      </c>
      <c r="FI275" s="80">
        <v>0</v>
      </c>
      <c r="FJ275" s="80">
        <v>0</v>
      </c>
      <c r="FK275" s="80">
        <v>350</v>
      </c>
      <c r="FL275" s="80">
        <v>0</v>
      </c>
      <c r="FM275" s="80">
        <v>0</v>
      </c>
      <c r="FN275" s="80">
        <v>2992</v>
      </c>
      <c r="FO275" s="80">
        <v>404</v>
      </c>
      <c r="FP275" s="80">
        <v>2369</v>
      </c>
      <c r="FQ275" s="80">
        <v>38111</v>
      </c>
      <c r="FR275" s="80">
        <v>757</v>
      </c>
      <c r="FS275" s="80">
        <v>1254</v>
      </c>
      <c r="FT275" s="100">
        <v>23379.556786818415</v>
      </c>
      <c r="FU275" s="100"/>
      <c r="FV275" s="100">
        <v>7699</v>
      </c>
      <c r="FW275" s="67">
        <v>1418</v>
      </c>
      <c r="FX275" s="100">
        <f t="shared" si="25"/>
        <v>-24085</v>
      </c>
      <c r="FY275" s="100">
        <f t="shared" si="26"/>
        <v>-32936</v>
      </c>
      <c r="FZ275" s="100">
        <v>19571.856492749695</v>
      </c>
      <c r="GA275" s="67">
        <v>8851</v>
      </c>
      <c r="GB275" s="58">
        <f t="shared" si="23"/>
        <v>1152</v>
      </c>
      <c r="GC275" s="67">
        <v>1604</v>
      </c>
      <c r="GD275" s="100">
        <v>1634</v>
      </c>
      <c r="GE275" s="100">
        <v>734</v>
      </c>
      <c r="GF275" s="58">
        <f t="shared" si="24"/>
        <v>900</v>
      </c>
      <c r="GG275" s="100">
        <v>-9530.5480000000007</v>
      </c>
      <c r="GH275" s="100">
        <v>-150.51210000000009</v>
      </c>
      <c r="GI275" s="100">
        <v>-9858.5968276848344</v>
      </c>
      <c r="GJ275" s="67">
        <f t="shared" si="27"/>
        <v>186</v>
      </c>
      <c r="GK275" s="67"/>
      <c r="GM275" s="96"/>
    </row>
    <row r="276" spans="1:195" ht="13.5" customHeight="1" x14ac:dyDescent="0.2">
      <c r="A276" s="74">
        <v>833</v>
      </c>
      <c r="B276" s="75" t="s">
        <v>306</v>
      </c>
      <c r="C276" s="82" t="s">
        <v>306</v>
      </c>
      <c r="D276" s="76"/>
      <c r="E276" s="77" t="s">
        <v>219</v>
      </c>
      <c r="F276" s="78">
        <v>1</v>
      </c>
      <c r="G276" s="79">
        <v>1633</v>
      </c>
      <c r="H276" s="80">
        <v>1914</v>
      </c>
      <c r="I276" s="80">
        <v>907</v>
      </c>
      <c r="J276" s="80">
        <v>635</v>
      </c>
      <c r="K276" s="80">
        <v>75</v>
      </c>
      <c r="L276" s="80">
        <v>297</v>
      </c>
      <c r="M276" s="80">
        <v>0</v>
      </c>
      <c r="N276" s="80">
        <v>0</v>
      </c>
      <c r="O276" s="80">
        <v>11098</v>
      </c>
      <c r="P276" s="80">
        <v>4417</v>
      </c>
      <c r="Q276" s="80">
        <v>3368</v>
      </c>
      <c r="R276" s="80">
        <v>1049</v>
      </c>
      <c r="S276" s="80">
        <v>900</v>
      </c>
      <c r="T276" s="80">
        <v>149</v>
      </c>
      <c r="U276" s="80">
        <v>5248</v>
      </c>
      <c r="V276" s="80">
        <v>859</v>
      </c>
      <c r="W276" s="80">
        <v>377</v>
      </c>
      <c r="X276" s="80">
        <v>197</v>
      </c>
      <c r="Y276" s="80">
        <v>-9184</v>
      </c>
      <c r="Z276" s="80">
        <v>6288</v>
      </c>
      <c r="AA276" s="80">
        <v>4897</v>
      </c>
      <c r="AB276" s="80">
        <v>265</v>
      </c>
      <c r="AC276" s="80">
        <v>1126</v>
      </c>
      <c r="AD276" s="80">
        <v>4291</v>
      </c>
      <c r="AE276" s="80">
        <v>-137</v>
      </c>
      <c r="AF276" s="80">
        <v>4</v>
      </c>
      <c r="AG276" s="80">
        <v>11</v>
      </c>
      <c r="AH276" s="80">
        <v>4</v>
      </c>
      <c r="AI276" s="80">
        <v>150</v>
      </c>
      <c r="AJ276" s="80">
        <v>2</v>
      </c>
      <c r="AK276" s="80">
        <v>1258</v>
      </c>
      <c r="AL276" s="80">
        <v>694</v>
      </c>
      <c r="AM276" s="80">
        <v>694</v>
      </c>
      <c r="AN276" s="80">
        <v>0</v>
      </c>
      <c r="AO276" s="80">
        <v>0</v>
      </c>
      <c r="AP276" s="80">
        <v>0</v>
      </c>
      <c r="AQ276" s="80">
        <v>0</v>
      </c>
      <c r="AR276" s="80">
        <v>564</v>
      </c>
      <c r="AS276" s="80">
        <v>0</v>
      </c>
      <c r="AT276" s="80">
        <v>0</v>
      </c>
      <c r="AU276" s="80">
        <v>0</v>
      </c>
      <c r="AV276" s="80">
        <v>564</v>
      </c>
      <c r="AW276" s="81"/>
      <c r="AX276" s="80">
        <v>1258</v>
      </c>
      <c r="AY276" s="80">
        <v>1258</v>
      </c>
      <c r="AZ276" s="80">
        <v>0</v>
      </c>
      <c r="BA276" s="80">
        <v>0</v>
      </c>
      <c r="BB276" s="80">
        <v>-1074</v>
      </c>
      <c r="BC276" s="80">
        <v>1303</v>
      </c>
      <c r="BD276" s="80">
        <v>229</v>
      </c>
      <c r="BE276" s="80">
        <v>0</v>
      </c>
      <c r="BF276" s="80">
        <v>184</v>
      </c>
      <c r="BG276" s="80">
        <v>-30</v>
      </c>
      <c r="BH276" s="80">
        <v>0</v>
      </c>
      <c r="BI276" s="80">
        <v>0</v>
      </c>
      <c r="BJ276" s="80">
        <v>0</v>
      </c>
      <c r="BK276" s="80">
        <v>165</v>
      </c>
      <c r="BL276" s="80">
        <v>0</v>
      </c>
      <c r="BM276" s="80">
        <v>35</v>
      </c>
      <c r="BN276" s="80">
        <v>200</v>
      </c>
      <c r="BO276" s="80">
        <v>0</v>
      </c>
      <c r="BP276" s="80">
        <v>-195</v>
      </c>
      <c r="BQ276" s="80">
        <v>0</v>
      </c>
      <c r="BR276" s="80">
        <v>0</v>
      </c>
      <c r="BS276" s="80">
        <v>-59</v>
      </c>
      <c r="BT276" s="80">
        <v>-136</v>
      </c>
      <c r="BU276" s="80">
        <v>154</v>
      </c>
      <c r="BV276" s="80">
        <v>1316</v>
      </c>
      <c r="BW276" s="80">
        <v>1162</v>
      </c>
      <c r="BX276" s="81"/>
      <c r="BY276" s="80">
        <v>14984</v>
      </c>
      <c r="BZ276" s="80">
        <v>55</v>
      </c>
      <c r="CA276" s="80">
        <v>35</v>
      </c>
      <c r="CB276" s="80">
        <v>20</v>
      </c>
      <c r="CC276" s="80">
        <v>0</v>
      </c>
      <c r="CD276" s="80">
        <v>13330</v>
      </c>
      <c r="CE276" s="80">
        <v>1886</v>
      </c>
      <c r="CF276" s="80">
        <v>9607</v>
      </c>
      <c r="CG276" s="80">
        <v>1293</v>
      </c>
      <c r="CH276" s="80">
        <v>455</v>
      </c>
      <c r="CI276" s="80">
        <v>30</v>
      </c>
      <c r="CJ276" s="80">
        <v>30</v>
      </c>
      <c r="CK276" s="80">
        <v>59</v>
      </c>
      <c r="CL276" s="80">
        <v>1599</v>
      </c>
      <c r="CM276" s="80">
        <v>1595</v>
      </c>
      <c r="CN276" s="80">
        <v>1048</v>
      </c>
      <c r="CO276" s="80">
        <v>547</v>
      </c>
      <c r="CP276" s="80">
        <v>0</v>
      </c>
      <c r="CQ276" s="80">
        <v>4</v>
      </c>
      <c r="CR276" s="80">
        <v>0</v>
      </c>
      <c r="CS276" s="80">
        <v>0</v>
      </c>
      <c r="CT276" s="80">
        <v>4</v>
      </c>
      <c r="CU276" s="80">
        <v>0</v>
      </c>
      <c r="CV276" s="80">
        <v>304</v>
      </c>
      <c r="CW276" s="80">
        <v>0</v>
      </c>
      <c r="CX276" s="80">
        <v>304</v>
      </c>
      <c r="CY276" s="80">
        <v>0</v>
      </c>
      <c r="CZ276" s="80">
        <v>1859</v>
      </c>
      <c r="DA276" s="80">
        <v>0</v>
      </c>
      <c r="DB276" s="80">
        <v>0</v>
      </c>
      <c r="DC276" s="80">
        <v>0</v>
      </c>
      <c r="DD276" s="80">
        <v>0</v>
      </c>
      <c r="DE276" s="80">
        <v>0</v>
      </c>
      <c r="DF276" s="80">
        <v>0</v>
      </c>
      <c r="DG276" s="80">
        <v>543</v>
      </c>
      <c r="DH276" s="80">
        <v>0</v>
      </c>
      <c r="DI276" s="80">
        <v>0</v>
      </c>
      <c r="DJ276" s="80">
        <v>0</v>
      </c>
      <c r="DK276" s="80">
        <v>0</v>
      </c>
      <c r="DL276" s="80">
        <v>0</v>
      </c>
      <c r="DM276" s="80">
        <v>543</v>
      </c>
      <c r="DN276" s="80">
        <v>178</v>
      </c>
      <c r="DO276" s="80">
        <v>0</v>
      </c>
      <c r="DP276" s="80">
        <v>77</v>
      </c>
      <c r="DQ276" s="80">
        <v>288</v>
      </c>
      <c r="DR276" s="80">
        <v>0</v>
      </c>
      <c r="DS276" s="80">
        <v>0</v>
      </c>
      <c r="DT276" s="80">
        <v>0</v>
      </c>
      <c r="DU276" s="80">
        <v>0</v>
      </c>
      <c r="DV276" s="80">
        <v>0</v>
      </c>
      <c r="DW276" s="80">
        <v>1316</v>
      </c>
      <c r="DX276" s="80">
        <v>17147</v>
      </c>
      <c r="DY276" s="80">
        <v>7549</v>
      </c>
      <c r="DZ276" s="80">
        <v>3799</v>
      </c>
      <c r="EA276" s="80">
        <v>1117</v>
      </c>
      <c r="EB276" s="80">
        <v>0</v>
      </c>
      <c r="EC276" s="80">
        <v>2069</v>
      </c>
      <c r="ED276" s="80">
        <v>564</v>
      </c>
      <c r="EE276" s="80">
        <v>0</v>
      </c>
      <c r="EF276" s="80">
        <v>0</v>
      </c>
      <c r="EG276" s="80">
        <v>0</v>
      </c>
      <c r="EH276" s="80">
        <v>0</v>
      </c>
      <c r="EI276" s="80">
        <v>0</v>
      </c>
      <c r="EJ276" s="80">
        <v>0</v>
      </c>
      <c r="EK276" s="80">
        <v>307</v>
      </c>
      <c r="EL276" s="80">
        <v>0</v>
      </c>
      <c r="EM276" s="80">
        <v>307</v>
      </c>
      <c r="EN276" s="80">
        <v>0</v>
      </c>
      <c r="EO276" s="80">
        <v>9291</v>
      </c>
      <c r="EP276" s="80">
        <v>8090</v>
      </c>
      <c r="EQ276" s="80">
        <v>0</v>
      </c>
      <c r="ER276" s="80">
        <v>8074</v>
      </c>
      <c r="ES276" s="80">
        <v>0</v>
      </c>
      <c r="ET276" s="80">
        <v>8074</v>
      </c>
      <c r="EU276" s="80">
        <v>0</v>
      </c>
      <c r="EV276" s="80">
        <v>0</v>
      </c>
      <c r="EW276" s="80">
        <v>0</v>
      </c>
      <c r="EX276" s="80">
        <v>0</v>
      </c>
      <c r="EY276" s="80">
        <v>16</v>
      </c>
      <c r="EZ276" s="80">
        <v>0</v>
      </c>
      <c r="FA276" s="80">
        <v>0</v>
      </c>
      <c r="FB276" s="80">
        <v>0</v>
      </c>
      <c r="FC276" s="80">
        <v>0</v>
      </c>
      <c r="FD276" s="80">
        <v>1201</v>
      </c>
      <c r="FE276" s="80">
        <v>0</v>
      </c>
      <c r="FF276" s="80">
        <v>235</v>
      </c>
      <c r="FG276" s="80">
        <v>0</v>
      </c>
      <c r="FH276" s="80">
        <v>0</v>
      </c>
      <c r="FI276" s="80">
        <v>235</v>
      </c>
      <c r="FJ276" s="80">
        <v>0</v>
      </c>
      <c r="FK276" s="80">
        <v>0</v>
      </c>
      <c r="FL276" s="80">
        <v>0</v>
      </c>
      <c r="FM276" s="80">
        <v>0</v>
      </c>
      <c r="FN276" s="80">
        <v>290</v>
      </c>
      <c r="FO276" s="80">
        <v>84</v>
      </c>
      <c r="FP276" s="80">
        <v>592</v>
      </c>
      <c r="FQ276" s="80">
        <v>17147</v>
      </c>
      <c r="FR276" s="80">
        <v>305</v>
      </c>
      <c r="FS276" s="80">
        <v>302</v>
      </c>
      <c r="FT276" s="100">
        <v>5833.8058294034518</v>
      </c>
      <c r="FU276" s="100"/>
      <c r="FV276" s="100">
        <v>2322</v>
      </c>
      <c r="FW276" s="67">
        <v>666</v>
      </c>
      <c r="FX276" s="100">
        <f t="shared" si="25"/>
        <v>-5589</v>
      </c>
      <c r="FY276" s="100">
        <f t="shared" si="26"/>
        <v>-8490</v>
      </c>
      <c r="FZ276" s="100">
        <v>5753.8168033619195</v>
      </c>
      <c r="GA276" s="67">
        <v>2901</v>
      </c>
      <c r="GB276" s="58">
        <f t="shared" si="23"/>
        <v>579</v>
      </c>
      <c r="GC276" s="67">
        <v>694</v>
      </c>
      <c r="GD276" s="100">
        <v>640</v>
      </c>
      <c r="GE276" s="100">
        <v>212</v>
      </c>
      <c r="GF276" s="58">
        <f t="shared" si="24"/>
        <v>428</v>
      </c>
      <c r="GG276" s="100">
        <v>-2808.6770000000001</v>
      </c>
      <c r="GH276" s="100">
        <v>-67.449550000000016</v>
      </c>
      <c r="GI276" s="100">
        <v>-2936.0351303023913</v>
      </c>
      <c r="GJ276" s="67">
        <f t="shared" si="27"/>
        <v>28</v>
      </c>
      <c r="GK276" s="67"/>
      <c r="GM276" s="96"/>
    </row>
    <row r="277" spans="1:195" ht="13.5" customHeight="1" x14ac:dyDescent="0.2">
      <c r="A277" s="74">
        <v>564</v>
      </c>
      <c r="B277" s="75" t="s">
        <v>287</v>
      </c>
      <c r="C277" s="82" t="s">
        <v>287</v>
      </c>
      <c r="D277" s="76"/>
      <c r="E277" s="77" t="s">
        <v>216</v>
      </c>
      <c r="F277" s="78">
        <v>7</v>
      </c>
      <c r="G277" s="79">
        <v>198525</v>
      </c>
      <c r="H277" s="80">
        <v>255040</v>
      </c>
      <c r="I277" s="80">
        <v>89080</v>
      </c>
      <c r="J277" s="80">
        <v>69850</v>
      </c>
      <c r="K277" s="80">
        <v>36014</v>
      </c>
      <c r="L277" s="80">
        <v>60096</v>
      </c>
      <c r="M277" s="80">
        <v>0</v>
      </c>
      <c r="N277" s="80">
        <v>19345</v>
      </c>
      <c r="O277" s="80">
        <v>1203902</v>
      </c>
      <c r="P277" s="80">
        <v>521025</v>
      </c>
      <c r="Q277" s="80">
        <v>398815</v>
      </c>
      <c r="R277" s="80">
        <v>122210</v>
      </c>
      <c r="S277" s="80">
        <v>98808</v>
      </c>
      <c r="T277" s="80">
        <v>23402</v>
      </c>
      <c r="U277" s="80">
        <v>462211</v>
      </c>
      <c r="V277" s="80">
        <v>61703</v>
      </c>
      <c r="W277" s="80">
        <v>131193</v>
      </c>
      <c r="X277" s="80">
        <v>27770</v>
      </c>
      <c r="Y277" s="80">
        <v>-929517</v>
      </c>
      <c r="Z277" s="80">
        <v>734160</v>
      </c>
      <c r="AA277" s="80">
        <v>653256</v>
      </c>
      <c r="AB277" s="80">
        <v>37295</v>
      </c>
      <c r="AC277" s="80">
        <v>43609</v>
      </c>
      <c r="AD277" s="80">
        <v>253771</v>
      </c>
      <c r="AE277" s="80">
        <v>26909</v>
      </c>
      <c r="AF277" s="80">
        <v>13133</v>
      </c>
      <c r="AG277" s="80">
        <v>25837</v>
      </c>
      <c r="AH277" s="80">
        <v>22132</v>
      </c>
      <c r="AI277" s="80">
        <v>8829</v>
      </c>
      <c r="AJ277" s="80">
        <v>3232</v>
      </c>
      <c r="AK277" s="80">
        <v>85323</v>
      </c>
      <c r="AL277" s="80">
        <v>79616</v>
      </c>
      <c r="AM277" s="80">
        <v>79616</v>
      </c>
      <c r="AN277" s="80">
        <v>0</v>
      </c>
      <c r="AO277" s="80">
        <v>0</v>
      </c>
      <c r="AP277" s="80">
        <v>0</v>
      </c>
      <c r="AQ277" s="80">
        <v>0</v>
      </c>
      <c r="AR277" s="80">
        <v>5707</v>
      </c>
      <c r="AS277" s="80">
        <v>3327</v>
      </c>
      <c r="AT277" s="80">
        <v>-3900</v>
      </c>
      <c r="AU277" s="80">
        <v>0</v>
      </c>
      <c r="AV277" s="80">
        <v>5134</v>
      </c>
      <c r="AW277" s="81"/>
      <c r="AX277" s="80">
        <v>66590</v>
      </c>
      <c r="AY277" s="80">
        <v>85323</v>
      </c>
      <c r="AZ277" s="80">
        <v>0</v>
      </c>
      <c r="BA277" s="80">
        <v>-18733</v>
      </c>
      <c r="BB277" s="80">
        <v>-77755</v>
      </c>
      <c r="BC277" s="80">
        <v>115528</v>
      </c>
      <c r="BD277" s="80">
        <v>878</v>
      </c>
      <c r="BE277" s="80">
        <v>36895</v>
      </c>
      <c r="BF277" s="80">
        <v>-11165</v>
      </c>
      <c r="BG277" s="80">
        <v>42658</v>
      </c>
      <c r="BH277" s="80">
        <v>52374</v>
      </c>
      <c r="BI277" s="80">
        <v>13220</v>
      </c>
      <c r="BJ277" s="80">
        <v>65594</v>
      </c>
      <c r="BK277" s="80">
        <v>14509</v>
      </c>
      <c r="BL277" s="80">
        <v>100000</v>
      </c>
      <c r="BM277" s="80">
        <v>86269</v>
      </c>
      <c r="BN277" s="80">
        <v>778</v>
      </c>
      <c r="BO277" s="80">
        <v>0</v>
      </c>
      <c r="BP277" s="80">
        <v>-24225</v>
      </c>
      <c r="BQ277" s="80">
        <v>991</v>
      </c>
      <c r="BR277" s="80">
        <v>75</v>
      </c>
      <c r="BS277" s="80">
        <v>-22168</v>
      </c>
      <c r="BT277" s="80">
        <v>-3123</v>
      </c>
      <c r="BU277" s="80">
        <v>31492</v>
      </c>
      <c r="BV277" s="80">
        <v>167924</v>
      </c>
      <c r="BW277" s="80">
        <v>136432</v>
      </c>
      <c r="BX277" s="81"/>
      <c r="BY277" s="80">
        <v>2128358</v>
      </c>
      <c r="BZ277" s="80">
        <v>5143</v>
      </c>
      <c r="CA277" s="80">
        <v>2962</v>
      </c>
      <c r="CB277" s="80">
        <v>2181</v>
      </c>
      <c r="CC277" s="80">
        <v>0</v>
      </c>
      <c r="CD277" s="80">
        <v>1163286</v>
      </c>
      <c r="CE277" s="80">
        <v>181226</v>
      </c>
      <c r="CF277" s="80">
        <v>496450</v>
      </c>
      <c r="CG277" s="80">
        <v>402690</v>
      </c>
      <c r="CH277" s="80">
        <v>21656</v>
      </c>
      <c r="CI277" s="80">
        <v>7060</v>
      </c>
      <c r="CJ277" s="80">
        <v>251</v>
      </c>
      <c r="CK277" s="80">
        <v>54204</v>
      </c>
      <c r="CL277" s="80">
        <v>959929</v>
      </c>
      <c r="CM277" s="80">
        <v>790020</v>
      </c>
      <c r="CN277" s="80">
        <v>110773</v>
      </c>
      <c r="CO277" s="80">
        <v>679247</v>
      </c>
      <c r="CP277" s="80">
        <v>0</v>
      </c>
      <c r="CQ277" s="80">
        <v>166484</v>
      </c>
      <c r="CR277" s="80">
        <v>0</v>
      </c>
      <c r="CS277" s="80">
        <v>0</v>
      </c>
      <c r="CT277" s="80">
        <v>166484</v>
      </c>
      <c r="CU277" s="80">
        <v>3425</v>
      </c>
      <c r="CV277" s="80">
        <v>9266</v>
      </c>
      <c r="CW277" s="80">
        <v>4004</v>
      </c>
      <c r="CX277" s="80">
        <v>5262</v>
      </c>
      <c r="CY277" s="80">
        <v>0</v>
      </c>
      <c r="CZ277" s="80">
        <v>261113</v>
      </c>
      <c r="DA277" s="80">
        <v>1019</v>
      </c>
      <c r="DB277" s="80">
        <v>740</v>
      </c>
      <c r="DC277" s="80">
        <v>0</v>
      </c>
      <c r="DD277" s="80">
        <v>240</v>
      </c>
      <c r="DE277" s="80">
        <v>39</v>
      </c>
      <c r="DF277" s="80">
        <v>0</v>
      </c>
      <c r="DG277" s="80">
        <v>92170</v>
      </c>
      <c r="DH277" s="80">
        <v>9933</v>
      </c>
      <c r="DI277" s="80">
        <v>0</v>
      </c>
      <c r="DJ277" s="80">
        <v>7880</v>
      </c>
      <c r="DK277" s="80">
        <v>1641</v>
      </c>
      <c r="DL277" s="80">
        <v>412</v>
      </c>
      <c r="DM277" s="80">
        <v>82237</v>
      </c>
      <c r="DN277" s="80">
        <v>18990</v>
      </c>
      <c r="DO277" s="80">
        <v>11066</v>
      </c>
      <c r="DP277" s="80">
        <v>25117</v>
      </c>
      <c r="DQ277" s="80">
        <v>27064</v>
      </c>
      <c r="DR277" s="80">
        <v>96834</v>
      </c>
      <c r="DS277" s="80">
        <v>0</v>
      </c>
      <c r="DT277" s="80">
        <v>2284</v>
      </c>
      <c r="DU277" s="80">
        <v>42993</v>
      </c>
      <c r="DV277" s="80">
        <v>51557</v>
      </c>
      <c r="DW277" s="80">
        <v>71090</v>
      </c>
      <c r="DX277" s="80">
        <v>2398737</v>
      </c>
      <c r="DY277" s="80">
        <v>1478437</v>
      </c>
      <c r="DZ277" s="80">
        <v>609314</v>
      </c>
      <c r="EA277" s="80">
        <v>0</v>
      </c>
      <c r="EB277" s="80">
        <v>38872</v>
      </c>
      <c r="EC277" s="80">
        <v>825117</v>
      </c>
      <c r="ED277" s="80">
        <v>5134</v>
      </c>
      <c r="EE277" s="80">
        <v>43228</v>
      </c>
      <c r="EF277" s="80">
        <v>33428</v>
      </c>
      <c r="EG277" s="80">
        <v>9800</v>
      </c>
      <c r="EH277" s="80">
        <v>6582</v>
      </c>
      <c r="EI277" s="80">
        <v>2160</v>
      </c>
      <c r="EJ277" s="80">
        <v>4422</v>
      </c>
      <c r="EK277" s="80">
        <v>13956</v>
      </c>
      <c r="EL277" s="80">
        <v>4004</v>
      </c>
      <c r="EM277" s="80">
        <v>5257</v>
      </c>
      <c r="EN277" s="80">
        <v>4695</v>
      </c>
      <c r="EO277" s="80">
        <v>856536</v>
      </c>
      <c r="EP277" s="80">
        <v>475260</v>
      </c>
      <c r="EQ277" s="80">
        <v>50000</v>
      </c>
      <c r="ER277" s="80">
        <v>380686</v>
      </c>
      <c r="ES277" s="80">
        <v>0</v>
      </c>
      <c r="ET277" s="80">
        <v>176320</v>
      </c>
      <c r="EU277" s="80">
        <v>3973</v>
      </c>
      <c r="EV277" s="80">
        <v>200393</v>
      </c>
      <c r="EW277" s="80">
        <v>2002</v>
      </c>
      <c r="EX277" s="80">
        <v>0</v>
      </c>
      <c r="EY277" s="80">
        <v>1822</v>
      </c>
      <c r="EZ277" s="80">
        <v>0</v>
      </c>
      <c r="FA277" s="80">
        <v>40750</v>
      </c>
      <c r="FB277" s="80">
        <v>0</v>
      </c>
      <c r="FC277" s="80">
        <v>0</v>
      </c>
      <c r="FD277" s="80">
        <v>381276</v>
      </c>
      <c r="FE277" s="80">
        <v>0</v>
      </c>
      <c r="FF277" s="80">
        <v>28109</v>
      </c>
      <c r="FG277" s="80">
        <v>0</v>
      </c>
      <c r="FH277" s="80">
        <v>16975</v>
      </c>
      <c r="FI277" s="80">
        <v>1056</v>
      </c>
      <c r="FJ277" s="80">
        <v>10078</v>
      </c>
      <c r="FK277" s="80">
        <v>720</v>
      </c>
      <c r="FL277" s="80">
        <v>193823</v>
      </c>
      <c r="FM277" s="80">
        <v>1916</v>
      </c>
      <c r="FN277" s="80">
        <v>61415</v>
      </c>
      <c r="FO277" s="80">
        <v>10885</v>
      </c>
      <c r="FP277" s="80">
        <v>84408</v>
      </c>
      <c r="FQ277" s="80">
        <v>2398739</v>
      </c>
      <c r="FR277" s="80">
        <v>143519</v>
      </c>
      <c r="FS277" s="80">
        <v>20817</v>
      </c>
      <c r="FT277" s="100">
        <v>791785.39146218542</v>
      </c>
      <c r="FU277" s="100"/>
      <c r="FV277" s="100">
        <v>420422</v>
      </c>
      <c r="FW277" s="67">
        <v>76145</v>
      </c>
      <c r="FX277" s="100">
        <f t="shared" si="25"/>
        <v>-322471</v>
      </c>
      <c r="FY277" s="100">
        <f t="shared" si="26"/>
        <v>-849901</v>
      </c>
      <c r="FZ277" s="100">
        <v>581862.04369041894</v>
      </c>
      <c r="GA277" s="67">
        <v>527430</v>
      </c>
      <c r="GB277" s="58">
        <f t="shared" si="23"/>
        <v>107008</v>
      </c>
      <c r="GC277" s="67">
        <v>79665</v>
      </c>
      <c r="GD277" s="100">
        <v>66988</v>
      </c>
      <c r="GE277" s="100">
        <v>34688</v>
      </c>
      <c r="GF277" s="58">
        <f t="shared" si="24"/>
        <v>32300</v>
      </c>
      <c r="GG277" s="100">
        <v>-392810.79300000001</v>
      </c>
      <c r="GH277" s="100">
        <v>-10929.289800000004</v>
      </c>
      <c r="GI277" s="100">
        <v>-173921.65475618368</v>
      </c>
      <c r="GJ277" s="67">
        <f t="shared" si="27"/>
        <v>3520</v>
      </c>
      <c r="GK277" s="67"/>
      <c r="GM277" s="96"/>
    </row>
    <row r="278" spans="1:195" ht="13.5" customHeight="1" x14ac:dyDescent="0.2">
      <c r="A278" s="74">
        <v>886</v>
      </c>
      <c r="B278" s="75" t="s">
        <v>312</v>
      </c>
      <c r="C278" s="82" t="s">
        <v>312</v>
      </c>
      <c r="D278" s="76"/>
      <c r="E278" s="77" t="s">
        <v>224</v>
      </c>
      <c r="F278" s="78">
        <v>4</v>
      </c>
      <c r="G278" s="79">
        <v>13352</v>
      </c>
      <c r="H278" s="80">
        <v>8810</v>
      </c>
      <c r="I278" s="80">
        <v>4039</v>
      </c>
      <c r="J278" s="80">
        <v>1279</v>
      </c>
      <c r="K278" s="80">
        <v>967</v>
      </c>
      <c r="L278" s="80">
        <v>2525</v>
      </c>
      <c r="M278" s="80">
        <v>0</v>
      </c>
      <c r="N278" s="80">
        <v>0</v>
      </c>
      <c r="O278" s="80">
        <v>77174</v>
      </c>
      <c r="P278" s="80">
        <v>21923</v>
      </c>
      <c r="Q278" s="80">
        <v>16555</v>
      </c>
      <c r="R278" s="80">
        <v>5368</v>
      </c>
      <c r="S278" s="80">
        <v>4494</v>
      </c>
      <c r="T278" s="80">
        <v>874</v>
      </c>
      <c r="U278" s="80">
        <v>47838</v>
      </c>
      <c r="V278" s="80">
        <v>3481</v>
      </c>
      <c r="W278" s="80">
        <v>1934</v>
      </c>
      <c r="X278" s="80">
        <v>1998</v>
      </c>
      <c r="Y278" s="80">
        <v>-68364</v>
      </c>
      <c r="Z278" s="80">
        <v>48251</v>
      </c>
      <c r="AA278" s="80">
        <v>44228</v>
      </c>
      <c r="AB278" s="80">
        <v>1592</v>
      </c>
      <c r="AC278" s="80">
        <v>2431</v>
      </c>
      <c r="AD278" s="80">
        <v>18889</v>
      </c>
      <c r="AE278" s="80">
        <v>-16</v>
      </c>
      <c r="AF278" s="80">
        <v>55</v>
      </c>
      <c r="AG278" s="80">
        <v>65</v>
      </c>
      <c r="AH278" s="80">
        <v>26</v>
      </c>
      <c r="AI278" s="80">
        <v>134</v>
      </c>
      <c r="AJ278" s="80">
        <v>2</v>
      </c>
      <c r="AK278" s="80">
        <v>-1240</v>
      </c>
      <c r="AL278" s="80">
        <v>2952</v>
      </c>
      <c r="AM278" s="80">
        <v>2952</v>
      </c>
      <c r="AN278" s="80">
        <v>0</v>
      </c>
      <c r="AO278" s="80">
        <v>0</v>
      </c>
      <c r="AP278" s="80">
        <v>0</v>
      </c>
      <c r="AQ278" s="80">
        <v>0</v>
      </c>
      <c r="AR278" s="80">
        <v>-4192</v>
      </c>
      <c r="AS278" s="80">
        <v>0</v>
      </c>
      <c r="AT278" s="80">
        <v>0</v>
      </c>
      <c r="AU278" s="80">
        <v>0</v>
      </c>
      <c r="AV278" s="80">
        <v>-4192</v>
      </c>
      <c r="AW278" s="81"/>
      <c r="AX278" s="80">
        <v>-1296</v>
      </c>
      <c r="AY278" s="80">
        <v>-1240</v>
      </c>
      <c r="AZ278" s="80">
        <v>0</v>
      </c>
      <c r="BA278" s="80">
        <v>-56</v>
      </c>
      <c r="BB278" s="80">
        <v>-2813</v>
      </c>
      <c r="BC278" s="80">
        <v>3164</v>
      </c>
      <c r="BD278" s="80">
        <v>0</v>
      </c>
      <c r="BE278" s="80">
        <v>351</v>
      </c>
      <c r="BF278" s="80">
        <v>-4109</v>
      </c>
      <c r="BG278" s="80">
        <v>3601</v>
      </c>
      <c r="BH278" s="80">
        <v>30</v>
      </c>
      <c r="BI278" s="80">
        <v>0</v>
      </c>
      <c r="BJ278" s="80">
        <v>30</v>
      </c>
      <c r="BK278" s="80">
        <v>2893</v>
      </c>
      <c r="BL278" s="80">
        <v>3500</v>
      </c>
      <c r="BM278" s="80">
        <v>2107</v>
      </c>
      <c r="BN278" s="80">
        <v>1500</v>
      </c>
      <c r="BO278" s="80">
        <v>0</v>
      </c>
      <c r="BP278" s="80">
        <v>678</v>
      </c>
      <c r="BQ278" s="80">
        <v>0</v>
      </c>
      <c r="BR278" s="80">
        <v>-13</v>
      </c>
      <c r="BS278" s="80">
        <v>1294</v>
      </c>
      <c r="BT278" s="80">
        <v>-603</v>
      </c>
      <c r="BU278" s="80">
        <v>-508</v>
      </c>
      <c r="BV278" s="80">
        <v>1979</v>
      </c>
      <c r="BW278" s="80">
        <v>2487</v>
      </c>
      <c r="BX278" s="81"/>
      <c r="BY278" s="80">
        <v>63920</v>
      </c>
      <c r="BZ278" s="80">
        <v>52</v>
      </c>
      <c r="CA278" s="80">
        <v>52</v>
      </c>
      <c r="CB278" s="80">
        <v>0</v>
      </c>
      <c r="CC278" s="80">
        <v>0</v>
      </c>
      <c r="CD278" s="80">
        <v>44766</v>
      </c>
      <c r="CE278" s="80">
        <v>8216</v>
      </c>
      <c r="CF278" s="80">
        <v>22710</v>
      </c>
      <c r="CG278" s="80">
        <v>12889</v>
      </c>
      <c r="CH278" s="80">
        <v>460</v>
      </c>
      <c r="CI278" s="80">
        <v>0</v>
      </c>
      <c r="CJ278" s="80">
        <v>0</v>
      </c>
      <c r="CK278" s="80">
        <v>491</v>
      </c>
      <c r="CL278" s="80">
        <v>19102</v>
      </c>
      <c r="CM278" s="80">
        <v>16966</v>
      </c>
      <c r="CN278" s="80">
        <v>7446</v>
      </c>
      <c r="CO278" s="80">
        <v>9520</v>
      </c>
      <c r="CP278" s="80">
        <v>0</v>
      </c>
      <c r="CQ278" s="80">
        <v>2136</v>
      </c>
      <c r="CR278" s="80">
        <v>0</v>
      </c>
      <c r="CS278" s="80">
        <v>0</v>
      </c>
      <c r="CT278" s="80">
        <v>2136</v>
      </c>
      <c r="CU278" s="80">
        <v>0</v>
      </c>
      <c r="CV278" s="80">
        <v>0</v>
      </c>
      <c r="CW278" s="80">
        <v>0</v>
      </c>
      <c r="CX278" s="80">
        <v>0</v>
      </c>
      <c r="CY278" s="80">
        <v>0</v>
      </c>
      <c r="CZ278" s="80">
        <v>5136</v>
      </c>
      <c r="DA278" s="80">
        <v>132</v>
      </c>
      <c r="DB278" s="80">
        <v>132</v>
      </c>
      <c r="DC278" s="80">
        <v>0</v>
      </c>
      <c r="DD278" s="80">
        <v>0</v>
      </c>
      <c r="DE278" s="80">
        <v>0</v>
      </c>
      <c r="DF278" s="80">
        <v>0</v>
      </c>
      <c r="DG278" s="80">
        <v>3025</v>
      </c>
      <c r="DH278" s="80">
        <v>229</v>
      </c>
      <c r="DI278" s="80">
        <v>0</v>
      </c>
      <c r="DJ278" s="80">
        <v>0</v>
      </c>
      <c r="DK278" s="80">
        <v>229</v>
      </c>
      <c r="DL278" s="80">
        <v>0</v>
      </c>
      <c r="DM278" s="80">
        <v>2796</v>
      </c>
      <c r="DN278" s="80">
        <v>1186</v>
      </c>
      <c r="DO278" s="80">
        <v>29</v>
      </c>
      <c r="DP278" s="80">
        <v>150</v>
      </c>
      <c r="DQ278" s="80">
        <v>1431</v>
      </c>
      <c r="DR278" s="80">
        <v>0</v>
      </c>
      <c r="DS278" s="80">
        <v>0</v>
      </c>
      <c r="DT278" s="80">
        <v>0</v>
      </c>
      <c r="DU278" s="80">
        <v>0</v>
      </c>
      <c r="DV278" s="80">
        <v>0</v>
      </c>
      <c r="DW278" s="80">
        <v>1979</v>
      </c>
      <c r="DX278" s="80">
        <v>69056</v>
      </c>
      <c r="DY278" s="80">
        <v>42074</v>
      </c>
      <c r="DZ278" s="80">
        <v>37146</v>
      </c>
      <c r="EA278" s="80">
        <v>0</v>
      </c>
      <c r="EB278" s="80">
        <v>0</v>
      </c>
      <c r="EC278" s="80">
        <v>9120</v>
      </c>
      <c r="ED278" s="80">
        <v>-4192</v>
      </c>
      <c r="EE278" s="80">
        <v>0</v>
      </c>
      <c r="EF278" s="80">
        <v>0</v>
      </c>
      <c r="EG278" s="80">
        <v>0</v>
      </c>
      <c r="EH278" s="80">
        <v>8</v>
      </c>
      <c r="EI278" s="80">
        <v>8</v>
      </c>
      <c r="EJ278" s="80">
        <v>0</v>
      </c>
      <c r="EK278" s="80">
        <v>197</v>
      </c>
      <c r="EL278" s="80">
        <v>1</v>
      </c>
      <c r="EM278" s="80">
        <v>67</v>
      </c>
      <c r="EN278" s="80">
        <v>129</v>
      </c>
      <c r="EO278" s="80">
        <v>26777</v>
      </c>
      <c r="EP278" s="80">
        <v>15641</v>
      </c>
      <c r="EQ278" s="80">
        <v>0</v>
      </c>
      <c r="ER278" s="80">
        <v>11816</v>
      </c>
      <c r="ES278" s="80">
        <v>3829</v>
      </c>
      <c r="ET278" s="80">
        <v>7987</v>
      </c>
      <c r="EU278" s="80">
        <v>0</v>
      </c>
      <c r="EV278" s="80">
        <v>0</v>
      </c>
      <c r="EW278" s="80">
        <v>0</v>
      </c>
      <c r="EX278" s="80">
        <v>0</v>
      </c>
      <c r="EY278" s="80">
        <v>2586</v>
      </c>
      <c r="EZ278" s="80">
        <v>0</v>
      </c>
      <c r="FA278" s="80">
        <v>1239</v>
      </c>
      <c r="FB278" s="80">
        <v>0</v>
      </c>
      <c r="FC278" s="80">
        <v>0</v>
      </c>
      <c r="FD278" s="80">
        <v>11136</v>
      </c>
      <c r="FE278" s="80">
        <v>0</v>
      </c>
      <c r="FF278" s="80">
        <v>4407</v>
      </c>
      <c r="FG278" s="80">
        <v>582</v>
      </c>
      <c r="FH278" s="80">
        <v>3825</v>
      </c>
      <c r="FI278" s="80">
        <v>0</v>
      </c>
      <c r="FJ278" s="80">
        <v>0</v>
      </c>
      <c r="FK278" s="80">
        <v>0</v>
      </c>
      <c r="FL278" s="80">
        <v>0</v>
      </c>
      <c r="FM278" s="80">
        <v>169</v>
      </c>
      <c r="FN278" s="80">
        <v>2912</v>
      </c>
      <c r="FO278" s="80">
        <v>473</v>
      </c>
      <c r="FP278" s="80">
        <v>3175</v>
      </c>
      <c r="FQ278" s="80">
        <v>69056</v>
      </c>
      <c r="FR278" s="80">
        <v>13135</v>
      </c>
      <c r="FS278" s="80">
        <v>16</v>
      </c>
      <c r="FT278" s="100">
        <v>38933.370169282578</v>
      </c>
      <c r="FU278" s="100"/>
      <c r="FV278" s="100">
        <v>12386</v>
      </c>
      <c r="FW278" s="67">
        <v>2886</v>
      </c>
      <c r="FX278" s="100">
        <f t="shared" si="25"/>
        <v>-51870</v>
      </c>
      <c r="FY278" s="100">
        <f t="shared" si="26"/>
        <v>-65412</v>
      </c>
      <c r="FZ278" s="100">
        <v>42697.987551061422</v>
      </c>
      <c r="GA278" s="67">
        <v>13542</v>
      </c>
      <c r="GB278" s="58">
        <f t="shared" si="23"/>
        <v>1156</v>
      </c>
      <c r="GC278" s="67">
        <v>2953</v>
      </c>
      <c r="GD278" s="100">
        <v>1279</v>
      </c>
      <c r="GE278" s="100">
        <v>1279</v>
      </c>
      <c r="GF278" s="58">
        <f t="shared" si="24"/>
        <v>0</v>
      </c>
      <c r="GG278" s="100">
        <v>-26358.98</v>
      </c>
      <c r="GH278" s="100">
        <v>-466.28405000000021</v>
      </c>
      <c r="GI278" s="100">
        <v>-15745.461745041819</v>
      </c>
      <c r="GJ278" s="67">
        <f t="shared" si="27"/>
        <v>67</v>
      </c>
      <c r="GK278" s="67"/>
      <c r="GM278" s="96"/>
    </row>
    <row r="279" spans="1:195" ht="13.5" customHeight="1" x14ac:dyDescent="0.2">
      <c r="A279" s="74">
        <v>887</v>
      </c>
      <c r="B279" s="75" t="s">
        <v>194</v>
      </c>
      <c r="C279" s="75" t="s">
        <v>194</v>
      </c>
      <c r="D279" s="76"/>
      <c r="E279" s="77" t="s">
        <v>214</v>
      </c>
      <c r="F279" s="78">
        <v>2</v>
      </c>
      <c r="G279" s="79">
        <v>4928</v>
      </c>
      <c r="H279" s="80">
        <v>3400</v>
      </c>
      <c r="I279" s="80">
        <v>956</v>
      </c>
      <c r="J279" s="80">
        <v>993</v>
      </c>
      <c r="K279" s="80">
        <v>642</v>
      </c>
      <c r="L279" s="80">
        <v>809</v>
      </c>
      <c r="M279" s="80">
        <v>0</v>
      </c>
      <c r="N279" s="80">
        <v>0</v>
      </c>
      <c r="O279" s="80">
        <v>30776</v>
      </c>
      <c r="P279" s="80">
        <v>8209</v>
      </c>
      <c r="Q279" s="80">
        <v>6001</v>
      </c>
      <c r="R279" s="80">
        <v>2208</v>
      </c>
      <c r="S279" s="80">
        <v>1937</v>
      </c>
      <c r="T279" s="80">
        <v>271</v>
      </c>
      <c r="U279" s="80">
        <v>19545</v>
      </c>
      <c r="V279" s="80">
        <v>1352</v>
      </c>
      <c r="W279" s="80">
        <v>1325</v>
      </c>
      <c r="X279" s="80">
        <v>345</v>
      </c>
      <c r="Y279" s="80">
        <v>-27376</v>
      </c>
      <c r="Z279" s="80">
        <v>16791</v>
      </c>
      <c r="AA279" s="80">
        <v>14163</v>
      </c>
      <c r="AB279" s="80">
        <v>998</v>
      </c>
      <c r="AC279" s="80">
        <v>1630</v>
      </c>
      <c r="AD279" s="80">
        <v>13403</v>
      </c>
      <c r="AE279" s="80">
        <v>6</v>
      </c>
      <c r="AF279" s="80">
        <v>27</v>
      </c>
      <c r="AG279" s="80">
        <v>52</v>
      </c>
      <c r="AH279" s="80">
        <v>0</v>
      </c>
      <c r="AI279" s="80">
        <v>73</v>
      </c>
      <c r="AJ279" s="80">
        <v>0</v>
      </c>
      <c r="AK279" s="80">
        <v>2824</v>
      </c>
      <c r="AL279" s="80">
        <v>842</v>
      </c>
      <c r="AM279" s="80">
        <v>842</v>
      </c>
      <c r="AN279" s="80">
        <v>0</v>
      </c>
      <c r="AO279" s="80">
        <v>0</v>
      </c>
      <c r="AP279" s="80">
        <v>0</v>
      </c>
      <c r="AQ279" s="80">
        <v>0</v>
      </c>
      <c r="AR279" s="80">
        <v>1982</v>
      </c>
      <c r="AS279" s="80">
        <v>0</v>
      </c>
      <c r="AT279" s="80">
        <v>-500</v>
      </c>
      <c r="AU279" s="80">
        <v>0</v>
      </c>
      <c r="AV279" s="80">
        <v>1482</v>
      </c>
      <c r="AW279" s="81"/>
      <c r="AX279" s="80">
        <v>2808</v>
      </c>
      <c r="AY279" s="80">
        <v>2824</v>
      </c>
      <c r="AZ279" s="80">
        <v>0</v>
      </c>
      <c r="BA279" s="80">
        <v>-16</v>
      </c>
      <c r="BB279" s="80">
        <v>-4994</v>
      </c>
      <c r="BC279" s="80">
        <v>5378</v>
      </c>
      <c r="BD279" s="80">
        <v>225</v>
      </c>
      <c r="BE279" s="80">
        <v>159</v>
      </c>
      <c r="BF279" s="80">
        <v>-2186</v>
      </c>
      <c r="BG279" s="80">
        <v>4646</v>
      </c>
      <c r="BH279" s="80">
        <v>16</v>
      </c>
      <c r="BI279" s="80">
        <v>0</v>
      </c>
      <c r="BJ279" s="80">
        <v>16</v>
      </c>
      <c r="BK279" s="80">
        <v>4469</v>
      </c>
      <c r="BL279" s="80">
        <v>6000</v>
      </c>
      <c r="BM279" s="80">
        <v>1531</v>
      </c>
      <c r="BN279" s="80">
        <v>0</v>
      </c>
      <c r="BO279" s="80">
        <v>-182</v>
      </c>
      <c r="BP279" s="80">
        <v>343</v>
      </c>
      <c r="BQ279" s="80">
        <v>-39</v>
      </c>
      <c r="BR279" s="80">
        <v>6</v>
      </c>
      <c r="BS279" s="80">
        <v>-236</v>
      </c>
      <c r="BT279" s="80">
        <v>612</v>
      </c>
      <c r="BU279" s="80">
        <v>2459</v>
      </c>
      <c r="BV279" s="80">
        <v>3913</v>
      </c>
      <c r="BW279" s="80">
        <v>1454</v>
      </c>
      <c r="BX279" s="81"/>
      <c r="BY279" s="80">
        <v>22196</v>
      </c>
      <c r="BZ279" s="80">
        <v>0</v>
      </c>
      <c r="CA279" s="80">
        <v>0</v>
      </c>
      <c r="CB279" s="80">
        <v>0</v>
      </c>
      <c r="CC279" s="80">
        <v>0</v>
      </c>
      <c r="CD279" s="80">
        <v>17929</v>
      </c>
      <c r="CE279" s="80">
        <v>2444</v>
      </c>
      <c r="CF279" s="80">
        <v>11754</v>
      </c>
      <c r="CG279" s="80">
        <v>3631</v>
      </c>
      <c r="CH279" s="80">
        <v>100</v>
      </c>
      <c r="CI279" s="80">
        <v>0</v>
      </c>
      <c r="CJ279" s="80">
        <v>0</v>
      </c>
      <c r="CK279" s="80">
        <v>0</v>
      </c>
      <c r="CL279" s="80">
        <v>4267</v>
      </c>
      <c r="CM279" s="80">
        <v>3635</v>
      </c>
      <c r="CN279" s="80">
        <v>2169</v>
      </c>
      <c r="CO279" s="80">
        <v>1466</v>
      </c>
      <c r="CP279" s="80">
        <v>0</v>
      </c>
      <c r="CQ279" s="80">
        <v>632</v>
      </c>
      <c r="CR279" s="80">
        <v>0</v>
      </c>
      <c r="CS279" s="80">
        <v>0</v>
      </c>
      <c r="CT279" s="80">
        <v>632</v>
      </c>
      <c r="CU279" s="80">
        <v>0</v>
      </c>
      <c r="CV279" s="80">
        <v>0</v>
      </c>
      <c r="CW279" s="80">
        <v>0</v>
      </c>
      <c r="CX279" s="80">
        <v>0</v>
      </c>
      <c r="CY279" s="80">
        <v>0</v>
      </c>
      <c r="CZ279" s="80">
        <v>5675</v>
      </c>
      <c r="DA279" s="80">
        <v>12</v>
      </c>
      <c r="DB279" s="80">
        <v>12</v>
      </c>
      <c r="DC279" s="80">
        <v>0</v>
      </c>
      <c r="DD279" s="80">
        <v>0</v>
      </c>
      <c r="DE279" s="80">
        <v>0</v>
      </c>
      <c r="DF279" s="80">
        <v>0</v>
      </c>
      <c r="DG279" s="80">
        <v>1750</v>
      </c>
      <c r="DH279" s="80">
        <v>74</v>
      </c>
      <c r="DI279" s="80">
        <v>0</v>
      </c>
      <c r="DJ279" s="80">
        <v>0</v>
      </c>
      <c r="DK279" s="80">
        <v>74</v>
      </c>
      <c r="DL279" s="80">
        <v>0</v>
      </c>
      <c r="DM279" s="80">
        <v>1676</v>
      </c>
      <c r="DN279" s="80">
        <v>345</v>
      </c>
      <c r="DO279" s="80">
        <v>0</v>
      </c>
      <c r="DP279" s="80">
        <v>18</v>
      </c>
      <c r="DQ279" s="80">
        <v>1313</v>
      </c>
      <c r="DR279" s="80">
        <v>0</v>
      </c>
      <c r="DS279" s="80">
        <v>0</v>
      </c>
      <c r="DT279" s="80">
        <v>0</v>
      </c>
      <c r="DU279" s="80">
        <v>0</v>
      </c>
      <c r="DV279" s="80">
        <v>0</v>
      </c>
      <c r="DW279" s="80">
        <v>3913</v>
      </c>
      <c r="DX279" s="80">
        <v>27871</v>
      </c>
      <c r="DY279" s="80">
        <v>15009</v>
      </c>
      <c r="DZ279" s="80">
        <v>14389</v>
      </c>
      <c r="EA279" s="80">
        <v>0</v>
      </c>
      <c r="EB279" s="80">
        <v>0</v>
      </c>
      <c r="EC279" s="80">
        <v>-862</v>
      </c>
      <c r="ED279" s="80">
        <v>1482</v>
      </c>
      <c r="EE279" s="80">
        <v>500</v>
      </c>
      <c r="EF279" s="80">
        <v>0</v>
      </c>
      <c r="EG279" s="80">
        <v>500</v>
      </c>
      <c r="EH279" s="80">
        <v>0</v>
      </c>
      <c r="EI279" s="80">
        <v>0</v>
      </c>
      <c r="EJ279" s="80">
        <v>0</v>
      </c>
      <c r="EK279" s="80">
        <v>82</v>
      </c>
      <c r="EL279" s="80">
        <v>0</v>
      </c>
      <c r="EM279" s="80">
        <v>82</v>
      </c>
      <c r="EN279" s="80">
        <v>0</v>
      </c>
      <c r="EO279" s="80">
        <v>12280</v>
      </c>
      <c r="EP279" s="80">
        <v>8025</v>
      </c>
      <c r="EQ279" s="80">
        <v>0</v>
      </c>
      <c r="ER279" s="80">
        <v>7669</v>
      </c>
      <c r="ES279" s="80">
        <v>0</v>
      </c>
      <c r="ET279" s="80">
        <v>7669</v>
      </c>
      <c r="EU279" s="80">
        <v>0</v>
      </c>
      <c r="EV279" s="80">
        <v>0</v>
      </c>
      <c r="EW279" s="80">
        <v>0</v>
      </c>
      <c r="EX279" s="80">
        <v>0</v>
      </c>
      <c r="EY279" s="80">
        <v>0</v>
      </c>
      <c r="EZ279" s="80">
        <v>0</v>
      </c>
      <c r="FA279" s="80">
        <v>356</v>
      </c>
      <c r="FB279" s="80">
        <v>0</v>
      </c>
      <c r="FC279" s="80">
        <v>0</v>
      </c>
      <c r="FD279" s="80">
        <v>4255</v>
      </c>
      <c r="FE279" s="80">
        <v>0</v>
      </c>
      <c r="FF279" s="80">
        <v>1375</v>
      </c>
      <c r="FG279" s="80">
        <v>94</v>
      </c>
      <c r="FH279" s="80">
        <v>1281</v>
      </c>
      <c r="FI279" s="80">
        <v>0</v>
      </c>
      <c r="FJ279" s="80">
        <v>0</v>
      </c>
      <c r="FK279" s="80">
        <v>125</v>
      </c>
      <c r="FL279" s="80">
        <v>0</v>
      </c>
      <c r="FM279" s="80">
        <v>0</v>
      </c>
      <c r="FN279" s="80">
        <v>1322</v>
      </c>
      <c r="FO279" s="80">
        <v>136</v>
      </c>
      <c r="FP279" s="80">
        <v>1297</v>
      </c>
      <c r="FQ279" s="80">
        <v>27871</v>
      </c>
      <c r="FR279" s="80">
        <v>1528</v>
      </c>
      <c r="FS279" s="80">
        <v>236</v>
      </c>
      <c r="FT279" s="100">
        <v>15502.925932828495</v>
      </c>
      <c r="FU279" s="100"/>
      <c r="FV279" s="100">
        <v>5491</v>
      </c>
      <c r="FW279" s="67">
        <v>814</v>
      </c>
      <c r="FX279" s="100">
        <f t="shared" si="25"/>
        <v>-20896</v>
      </c>
      <c r="FY279" s="100">
        <f t="shared" si="26"/>
        <v>-26534</v>
      </c>
      <c r="FZ279" s="100">
        <v>16825.113775574006</v>
      </c>
      <c r="GA279" s="67">
        <v>5638</v>
      </c>
      <c r="GB279" s="58">
        <f t="shared" si="23"/>
        <v>147</v>
      </c>
      <c r="GC279" s="67">
        <v>842</v>
      </c>
      <c r="GD279" s="100">
        <v>1032</v>
      </c>
      <c r="GE279" s="100">
        <v>1013</v>
      </c>
      <c r="GF279" s="58">
        <f t="shared" si="24"/>
        <v>19</v>
      </c>
      <c r="GG279" s="100">
        <v>-7768.335</v>
      </c>
      <c r="GH279" s="100">
        <v>-286.03420000000006</v>
      </c>
      <c r="GI279" s="100">
        <v>-8953.4055930785671</v>
      </c>
      <c r="GJ279" s="67">
        <f t="shared" si="27"/>
        <v>28</v>
      </c>
      <c r="GK279" s="67"/>
      <c r="GM279" s="96"/>
    </row>
    <row r="280" spans="1:195" ht="13.5" customHeight="1" x14ac:dyDescent="0.2">
      <c r="A280" s="74">
        <v>889</v>
      </c>
      <c r="B280" s="75" t="s">
        <v>195</v>
      </c>
      <c r="C280" s="75" t="s">
        <v>195</v>
      </c>
      <c r="D280" s="76"/>
      <c r="E280" s="77" t="s">
        <v>216</v>
      </c>
      <c r="F280" s="78">
        <v>2</v>
      </c>
      <c r="G280" s="79">
        <v>2861</v>
      </c>
      <c r="H280" s="80">
        <v>3257</v>
      </c>
      <c r="I280" s="80">
        <v>1881</v>
      </c>
      <c r="J280" s="80">
        <v>187</v>
      </c>
      <c r="K280" s="80">
        <v>386</v>
      </c>
      <c r="L280" s="80">
        <v>803</v>
      </c>
      <c r="M280" s="80">
        <v>0</v>
      </c>
      <c r="N280" s="80">
        <v>0</v>
      </c>
      <c r="O280" s="80">
        <v>24076</v>
      </c>
      <c r="P280" s="80">
        <v>6811</v>
      </c>
      <c r="Q280" s="80">
        <v>5184</v>
      </c>
      <c r="R280" s="80">
        <v>1627</v>
      </c>
      <c r="S280" s="80">
        <v>1473</v>
      </c>
      <c r="T280" s="80">
        <v>154</v>
      </c>
      <c r="U280" s="80">
        <v>15042</v>
      </c>
      <c r="V280" s="80">
        <v>1433</v>
      </c>
      <c r="W280" s="80">
        <v>607</v>
      </c>
      <c r="X280" s="80">
        <v>183</v>
      </c>
      <c r="Y280" s="80">
        <v>-20819</v>
      </c>
      <c r="Z280" s="80">
        <v>10241</v>
      </c>
      <c r="AA280" s="80">
        <v>6820</v>
      </c>
      <c r="AB280" s="80">
        <v>901</v>
      </c>
      <c r="AC280" s="80">
        <v>2520</v>
      </c>
      <c r="AD280" s="80">
        <v>11955</v>
      </c>
      <c r="AE280" s="80">
        <v>14</v>
      </c>
      <c r="AF280" s="80">
        <v>64</v>
      </c>
      <c r="AG280" s="80">
        <v>33</v>
      </c>
      <c r="AH280" s="80">
        <v>24</v>
      </c>
      <c r="AI280" s="80">
        <v>82</v>
      </c>
      <c r="AJ280" s="80">
        <v>1</v>
      </c>
      <c r="AK280" s="80">
        <v>1391</v>
      </c>
      <c r="AL280" s="80">
        <v>1232</v>
      </c>
      <c r="AM280" s="80">
        <v>1232</v>
      </c>
      <c r="AN280" s="80">
        <v>0</v>
      </c>
      <c r="AO280" s="80">
        <v>0</v>
      </c>
      <c r="AP280" s="80">
        <v>0</v>
      </c>
      <c r="AQ280" s="80">
        <v>0</v>
      </c>
      <c r="AR280" s="80">
        <v>159</v>
      </c>
      <c r="AS280" s="80">
        <v>0</v>
      </c>
      <c r="AT280" s="80">
        <v>0</v>
      </c>
      <c r="AU280" s="80">
        <v>0</v>
      </c>
      <c r="AV280" s="80">
        <v>159</v>
      </c>
      <c r="AW280" s="81"/>
      <c r="AX280" s="80">
        <v>791</v>
      </c>
      <c r="AY280" s="80">
        <v>1391</v>
      </c>
      <c r="AZ280" s="80">
        <v>0</v>
      </c>
      <c r="BA280" s="80">
        <v>-600</v>
      </c>
      <c r="BB280" s="80">
        <v>-2811</v>
      </c>
      <c r="BC280" s="80">
        <v>3207</v>
      </c>
      <c r="BD280" s="80">
        <v>396</v>
      </c>
      <c r="BE280" s="80">
        <v>0</v>
      </c>
      <c r="BF280" s="80">
        <v>-2020</v>
      </c>
      <c r="BG280" s="80">
        <v>1920</v>
      </c>
      <c r="BH280" s="80">
        <v>412</v>
      </c>
      <c r="BI280" s="80">
        <v>0</v>
      </c>
      <c r="BJ280" s="80">
        <v>412</v>
      </c>
      <c r="BK280" s="80">
        <v>228</v>
      </c>
      <c r="BL280" s="80">
        <v>2500</v>
      </c>
      <c r="BM280" s="80">
        <v>972</v>
      </c>
      <c r="BN280" s="80">
        <v>-1300</v>
      </c>
      <c r="BO280" s="80">
        <v>0</v>
      </c>
      <c r="BP280" s="80">
        <v>1280</v>
      </c>
      <c r="BQ280" s="80">
        <v>0</v>
      </c>
      <c r="BR280" s="80">
        <v>0</v>
      </c>
      <c r="BS280" s="80">
        <v>309</v>
      </c>
      <c r="BT280" s="80">
        <v>971</v>
      </c>
      <c r="BU280" s="80">
        <v>-100</v>
      </c>
      <c r="BV280" s="80">
        <v>1096</v>
      </c>
      <c r="BW280" s="80">
        <v>1196</v>
      </c>
      <c r="BX280" s="81"/>
      <c r="BY280" s="80">
        <v>21674</v>
      </c>
      <c r="BZ280" s="80">
        <v>87</v>
      </c>
      <c r="CA280" s="80">
        <v>0</v>
      </c>
      <c r="CB280" s="80">
        <v>87</v>
      </c>
      <c r="CC280" s="80">
        <v>0</v>
      </c>
      <c r="CD280" s="80">
        <v>13854</v>
      </c>
      <c r="CE280" s="80">
        <v>1064</v>
      </c>
      <c r="CF280" s="80">
        <v>9064</v>
      </c>
      <c r="CG280" s="80">
        <v>2852</v>
      </c>
      <c r="CH280" s="80">
        <v>107</v>
      </c>
      <c r="CI280" s="80">
        <v>126</v>
      </c>
      <c r="CJ280" s="80">
        <v>122</v>
      </c>
      <c r="CK280" s="80">
        <v>641</v>
      </c>
      <c r="CL280" s="80">
        <v>7733</v>
      </c>
      <c r="CM280" s="80">
        <v>4790</v>
      </c>
      <c r="CN280" s="80">
        <v>2330</v>
      </c>
      <c r="CO280" s="80">
        <v>2460</v>
      </c>
      <c r="CP280" s="80">
        <v>0</v>
      </c>
      <c r="CQ280" s="80">
        <v>2943</v>
      </c>
      <c r="CR280" s="80">
        <v>0</v>
      </c>
      <c r="CS280" s="80">
        <v>0</v>
      </c>
      <c r="CT280" s="80">
        <v>2943</v>
      </c>
      <c r="CU280" s="80">
        <v>0</v>
      </c>
      <c r="CV280" s="80">
        <v>0</v>
      </c>
      <c r="CW280" s="80">
        <v>0</v>
      </c>
      <c r="CX280" s="80">
        <v>0</v>
      </c>
      <c r="CY280" s="80">
        <v>0</v>
      </c>
      <c r="CZ280" s="80">
        <v>1709</v>
      </c>
      <c r="DA280" s="80">
        <v>0</v>
      </c>
      <c r="DB280" s="80">
        <v>0</v>
      </c>
      <c r="DC280" s="80">
        <v>0</v>
      </c>
      <c r="DD280" s="80">
        <v>0</v>
      </c>
      <c r="DE280" s="80">
        <v>0</v>
      </c>
      <c r="DF280" s="80">
        <v>0</v>
      </c>
      <c r="DG280" s="80">
        <v>613</v>
      </c>
      <c r="DH280" s="80">
        <v>0</v>
      </c>
      <c r="DI280" s="80">
        <v>0</v>
      </c>
      <c r="DJ280" s="80">
        <v>0</v>
      </c>
      <c r="DK280" s="80">
        <v>0</v>
      </c>
      <c r="DL280" s="80">
        <v>0</v>
      </c>
      <c r="DM280" s="80">
        <v>613</v>
      </c>
      <c r="DN280" s="80">
        <v>316</v>
      </c>
      <c r="DO280" s="80">
        <v>0</v>
      </c>
      <c r="DP280" s="80">
        <v>126</v>
      </c>
      <c r="DQ280" s="80">
        <v>171</v>
      </c>
      <c r="DR280" s="80">
        <v>0</v>
      </c>
      <c r="DS280" s="80">
        <v>0</v>
      </c>
      <c r="DT280" s="80">
        <v>0</v>
      </c>
      <c r="DU280" s="80">
        <v>0</v>
      </c>
      <c r="DV280" s="80">
        <v>0</v>
      </c>
      <c r="DW280" s="80">
        <v>1096</v>
      </c>
      <c r="DX280" s="80">
        <v>23383</v>
      </c>
      <c r="DY280" s="80">
        <v>13147</v>
      </c>
      <c r="DZ280" s="80">
        <v>9055</v>
      </c>
      <c r="EA280" s="80">
        <v>0</v>
      </c>
      <c r="EB280" s="80">
        <v>0</v>
      </c>
      <c r="EC280" s="80">
        <v>3932</v>
      </c>
      <c r="ED280" s="80">
        <v>160</v>
      </c>
      <c r="EE280" s="80">
        <v>0</v>
      </c>
      <c r="EF280" s="80">
        <v>0</v>
      </c>
      <c r="EG280" s="80">
        <v>0</v>
      </c>
      <c r="EH280" s="80">
        <v>194</v>
      </c>
      <c r="EI280" s="80">
        <v>0</v>
      </c>
      <c r="EJ280" s="80">
        <v>194</v>
      </c>
      <c r="EK280" s="80">
        <v>2</v>
      </c>
      <c r="EL280" s="80">
        <v>0</v>
      </c>
      <c r="EM280" s="80">
        <v>2</v>
      </c>
      <c r="EN280" s="80">
        <v>0</v>
      </c>
      <c r="EO280" s="80">
        <v>10040</v>
      </c>
      <c r="EP280" s="80">
        <v>6003</v>
      </c>
      <c r="EQ280" s="80">
        <v>0</v>
      </c>
      <c r="ER280" s="80">
        <v>5687</v>
      </c>
      <c r="ES280" s="80">
        <v>290</v>
      </c>
      <c r="ET280" s="80">
        <v>4760</v>
      </c>
      <c r="EU280" s="80">
        <v>637</v>
      </c>
      <c r="EV280" s="80">
        <v>0</v>
      </c>
      <c r="EW280" s="80">
        <v>10</v>
      </c>
      <c r="EX280" s="80">
        <v>0</v>
      </c>
      <c r="EY280" s="80">
        <v>0</v>
      </c>
      <c r="EZ280" s="80">
        <v>0</v>
      </c>
      <c r="FA280" s="80">
        <v>306</v>
      </c>
      <c r="FB280" s="80">
        <v>0</v>
      </c>
      <c r="FC280" s="80">
        <v>0</v>
      </c>
      <c r="FD280" s="80">
        <v>4037</v>
      </c>
      <c r="FE280" s="80">
        <v>0</v>
      </c>
      <c r="FF280" s="80">
        <v>1026</v>
      </c>
      <c r="FG280" s="80">
        <v>207</v>
      </c>
      <c r="FH280" s="80">
        <v>734</v>
      </c>
      <c r="FI280" s="80">
        <v>85</v>
      </c>
      <c r="FJ280" s="80">
        <v>0</v>
      </c>
      <c r="FK280" s="80">
        <v>10</v>
      </c>
      <c r="FL280" s="80">
        <v>0</v>
      </c>
      <c r="FM280" s="80">
        <v>1</v>
      </c>
      <c r="FN280" s="80">
        <v>849</v>
      </c>
      <c r="FO280" s="80">
        <v>153</v>
      </c>
      <c r="FP280" s="80">
        <v>1998</v>
      </c>
      <c r="FQ280" s="80">
        <v>23383</v>
      </c>
      <c r="FR280" s="80">
        <v>6212</v>
      </c>
      <c r="FS280" s="80">
        <v>1306</v>
      </c>
      <c r="FT280" s="100">
        <v>14170.051610283481</v>
      </c>
      <c r="FU280" s="100"/>
      <c r="FV280" s="100">
        <v>4878</v>
      </c>
      <c r="FW280" s="67">
        <v>1234</v>
      </c>
      <c r="FX280" s="100">
        <f t="shared" si="25"/>
        <v>-14616</v>
      </c>
      <c r="FY280" s="100">
        <f t="shared" si="26"/>
        <v>-19587</v>
      </c>
      <c r="FZ280" s="100">
        <v>11374.159265456226</v>
      </c>
      <c r="GA280" s="67">
        <v>4971</v>
      </c>
      <c r="GB280" s="58">
        <f t="shared" si="23"/>
        <v>93</v>
      </c>
      <c r="GC280" s="67">
        <v>1234</v>
      </c>
      <c r="GD280" s="100">
        <v>187</v>
      </c>
      <c r="GE280" s="100">
        <v>187</v>
      </c>
      <c r="GF280" s="58">
        <f t="shared" si="24"/>
        <v>0</v>
      </c>
      <c r="GG280" s="100">
        <v>-3971.877</v>
      </c>
      <c r="GH280" s="100">
        <v>-287.80055000000016</v>
      </c>
      <c r="GI280" s="100">
        <v>-7553.3125495639733</v>
      </c>
      <c r="GJ280" s="67">
        <f t="shared" si="27"/>
        <v>0</v>
      </c>
      <c r="GK280" s="67"/>
      <c r="GM280" s="96"/>
    </row>
    <row r="281" spans="1:195" ht="13.5" customHeight="1" x14ac:dyDescent="0.2">
      <c r="A281" s="74">
        <v>890</v>
      </c>
      <c r="B281" s="75" t="s">
        <v>196</v>
      </c>
      <c r="C281" s="75" t="s">
        <v>196</v>
      </c>
      <c r="D281" s="76"/>
      <c r="E281" s="77" t="s">
        <v>222</v>
      </c>
      <c r="F281" s="78">
        <v>1</v>
      </c>
      <c r="G281" s="79">
        <v>1250</v>
      </c>
      <c r="H281" s="80">
        <v>2514</v>
      </c>
      <c r="I281" s="80">
        <v>430</v>
      </c>
      <c r="J281" s="80">
        <v>361</v>
      </c>
      <c r="K281" s="80">
        <v>1455</v>
      </c>
      <c r="L281" s="80">
        <v>268</v>
      </c>
      <c r="M281" s="80">
        <v>0</v>
      </c>
      <c r="N281" s="80">
        <v>0</v>
      </c>
      <c r="O281" s="80">
        <v>12958</v>
      </c>
      <c r="P281" s="80">
        <v>6705</v>
      </c>
      <c r="Q281" s="80">
        <v>5170</v>
      </c>
      <c r="R281" s="80">
        <v>1535</v>
      </c>
      <c r="S281" s="80">
        <v>1282</v>
      </c>
      <c r="T281" s="80">
        <v>253</v>
      </c>
      <c r="U281" s="80">
        <v>4887</v>
      </c>
      <c r="V281" s="80">
        <v>834</v>
      </c>
      <c r="W281" s="80">
        <v>385</v>
      </c>
      <c r="X281" s="80">
        <v>147</v>
      </c>
      <c r="Y281" s="80">
        <v>-10444</v>
      </c>
      <c r="Z281" s="80">
        <v>4252</v>
      </c>
      <c r="AA281" s="80">
        <v>3571</v>
      </c>
      <c r="AB281" s="80">
        <v>134</v>
      </c>
      <c r="AC281" s="80">
        <v>547</v>
      </c>
      <c r="AD281" s="80">
        <v>6707</v>
      </c>
      <c r="AE281" s="80">
        <v>-44</v>
      </c>
      <c r="AF281" s="80">
        <v>3</v>
      </c>
      <c r="AG281" s="80">
        <v>11</v>
      </c>
      <c r="AH281" s="80">
        <v>4</v>
      </c>
      <c r="AI281" s="80">
        <v>54</v>
      </c>
      <c r="AJ281" s="80">
        <v>4</v>
      </c>
      <c r="AK281" s="80">
        <v>471</v>
      </c>
      <c r="AL281" s="80">
        <v>527</v>
      </c>
      <c r="AM281" s="80">
        <v>527</v>
      </c>
      <c r="AN281" s="80">
        <v>0</v>
      </c>
      <c r="AO281" s="80">
        <v>73</v>
      </c>
      <c r="AP281" s="80">
        <v>73</v>
      </c>
      <c r="AQ281" s="80">
        <v>0</v>
      </c>
      <c r="AR281" s="80">
        <v>17</v>
      </c>
      <c r="AS281" s="80">
        <v>0</v>
      </c>
      <c r="AT281" s="80">
        <v>0</v>
      </c>
      <c r="AU281" s="80">
        <v>0</v>
      </c>
      <c r="AV281" s="80">
        <v>17</v>
      </c>
      <c r="AW281" s="81"/>
      <c r="AX281" s="80">
        <v>529</v>
      </c>
      <c r="AY281" s="80">
        <v>471</v>
      </c>
      <c r="AZ281" s="80">
        <v>73</v>
      </c>
      <c r="BA281" s="80">
        <v>-15</v>
      </c>
      <c r="BB281" s="80">
        <v>-1420</v>
      </c>
      <c r="BC281" s="80">
        <v>1967</v>
      </c>
      <c r="BD281" s="80">
        <v>530</v>
      </c>
      <c r="BE281" s="80">
        <v>17</v>
      </c>
      <c r="BF281" s="80">
        <v>-891</v>
      </c>
      <c r="BG281" s="80">
        <v>958</v>
      </c>
      <c r="BH281" s="80">
        <v>27</v>
      </c>
      <c r="BI281" s="80">
        <v>0</v>
      </c>
      <c r="BJ281" s="80">
        <v>27</v>
      </c>
      <c r="BK281" s="80">
        <v>454</v>
      </c>
      <c r="BL281" s="80">
        <v>1000</v>
      </c>
      <c r="BM281" s="80">
        <v>546</v>
      </c>
      <c r="BN281" s="80">
        <v>0</v>
      </c>
      <c r="BO281" s="80">
        <v>0</v>
      </c>
      <c r="BP281" s="80">
        <v>477</v>
      </c>
      <c r="BQ281" s="80">
        <v>0</v>
      </c>
      <c r="BR281" s="80">
        <v>2</v>
      </c>
      <c r="BS281" s="80">
        <v>-169</v>
      </c>
      <c r="BT281" s="80">
        <v>644</v>
      </c>
      <c r="BU281" s="80">
        <v>67</v>
      </c>
      <c r="BV281" s="80">
        <v>121</v>
      </c>
      <c r="BW281" s="80">
        <v>54</v>
      </c>
      <c r="BX281" s="81"/>
      <c r="BY281" s="80">
        <v>8477</v>
      </c>
      <c r="BZ281" s="80">
        <v>203</v>
      </c>
      <c r="CA281" s="80">
        <v>67</v>
      </c>
      <c r="CB281" s="80">
        <v>136</v>
      </c>
      <c r="CC281" s="80">
        <v>0</v>
      </c>
      <c r="CD281" s="80">
        <v>6104</v>
      </c>
      <c r="CE281" s="80">
        <v>496</v>
      </c>
      <c r="CF281" s="80">
        <v>4468</v>
      </c>
      <c r="CG281" s="80">
        <v>288</v>
      </c>
      <c r="CH281" s="80">
        <v>126</v>
      </c>
      <c r="CI281" s="80">
        <v>0</v>
      </c>
      <c r="CJ281" s="80">
        <v>0</v>
      </c>
      <c r="CK281" s="80">
        <v>726</v>
      </c>
      <c r="CL281" s="80">
        <v>2170</v>
      </c>
      <c r="CM281" s="80">
        <v>1473</v>
      </c>
      <c r="CN281" s="80">
        <v>240</v>
      </c>
      <c r="CO281" s="80">
        <v>1233</v>
      </c>
      <c r="CP281" s="80">
        <v>0</v>
      </c>
      <c r="CQ281" s="80">
        <v>697</v>
      </c>
      <c r="CR281" s="80">
        <v>0</v>
      </c>
      <c r="CS281" s="80">
        <v>0</v>
      </c>
      <c r="CT281" s="80">
        <v>697</v>
      </c>
      <c r="CU281" s="80">
        <v>0</v>
      </c>
      <c r="CV281" s="80">
        <v>0</v>
      </c>
      <c r="CW281" s="80">
        <v>0</v>
      </c>
      <c r="CX281" s="80">
        <v>0</v>
      </c>
      <c r="CY281" s="80">
        <v>0</v>
      </c>
      <c r="CZ281" s="80">
        <v>1344</v>
      </c>
      <c r="DA281" s="80">
        <v>23</v>
      </c>
      <c r="DB281" s="80">
        <v>0</v>
      </c>
      <c r="DC281" s="80">
        <v>0</v>
      </c>
      <c r="DD281" s="80">
        <v>0</v>
      </c>
      <c r="DE281" s="80">
        <v>23</v>
      </c>
      <c r="DF281" s="80">
        <v>0</v>
      </c>
      <c r="DG281" s="80">
        <v>1200</v>
      </c>
      <c r="DH281" s="80">
        <v>0</v>
      </c>
      <c r="DI281" s="80">
        <v>0</v>
      </c>
      <c r="DJ281" s="80">
        <v>0</v>
      </c>
      <c r="DK281" s="80">
        <v>0</v>
      </c>
      <c r="DL281" s="80">
        <v>0</v>
      </c>
      <c r="DM281" s="80">
        <v>1200</v>
      </c>
      <c r="DN281" s="80">
        <v>411</v>
      </c>
      <c r="DO281" s="80">
        <v>0</v>
      </c>
      <c r="DP281" s="80">
        <v>483</v>
      </c>
      <c r="DQ281" s="80">
        <v>306</v>
      </c>
      <c r="DR281" s="80">
        <v>0</v>
      </c>
      <c r="DS281" s="80">
        <v>0</v>
      </c>
      <c r="DT281" s="80">
        <v>0</v>
      </c>
      <c r="DU281" s="80">
        <v>0</v>
      </c>
      <c r="DV281" s="80">
        <v>0</v>
      </c>
      <c r="DW281" s="80">
        <v>121</v>
      </c>
      <c r="DX281" s="80">
        <v>9821</v>
      </c>
      <c r="DY281" s="80">
        <v>3530</v>
      </c>
      <c r="DZ281" s="80">
        <v>2384</v>
      </c>
      <c r="EA281" s="80">
        <v>106</v>
      </c>
      <c r="EB281" s="80">
        <v>0</v>
      </c>
      <c r="EC281" s="80">
        <v>1023</v>
      </c>
      <c r="ED281" s="80">
        <v>17</v>
      </c>
      <c r="EE281" s="80">
        <v>76</v>
      </c>
      <c r="EF281" s="80">
        <v>76</v>
      </c>
      <c r="EG281" s="80">
        <v>0</v>
      </c>
      <c r="EH281" s="80">
        <v>7</v>
      </c>
      <c r="EI281" s="80">
        <v>0</v>
      </c>
      <c r="EJ281" s="80">
        <v>7</v>
      </c>
      <c r="EK281" s="80">
        <v>0</v>
      </c>
      <c r="EL281" s="80">
        <v>0</v>
      </c>
      <c r="EM281" s="80">
        <v>0</v>
      </c>
      <c r="EN281" s="80">
        <v>0</v>
      </c>
      <c r="EO281" s="80">
        <v>6208</v>
      </c>
      <c r="EP281" s="80">
        <v>3761</v>
      </c>
      <c r="EQ281" s="80">
        <v>0</v>
      </c>
      <c r="ER281" s="80">
        <v>3761</v>
      </c>
      <c r="ES281" s="80">
        <v>667</v>
      </c>
      <c r="ET281" s="80">
        <v>3094</v>
      </c>
      <c r="EU281" s="80">
        <v>0</v>
      </c>
      <c r="EV281" s="80">
        <v>0</v>
      </c>
      <c r="EW281" s="80">
        <v>0</v>
      </c>
      <c r="EX281" s="80">
        <v>0</v>
      </c>
      <c r="EY281" s="80">
        <v>0</v>
      </c>
      <c r="EZ281" s="80">
        <v>0</v>
      </c>
      <c r="FA281" s="80">
        <v>0</v>
      </c>
      <c r="FB281" s="80">
        <v>0</v>
      </c>
      <c r="FC281" s="80">
        <v>0</v>
      </c>
      <c r="FD281" s="80">
        <v>2447</v>
      </c>
      <c r="FE281" s="80">
        <v>0</v>
      </c>
      <c r="FF281" s="80">
        <v>520</v>
      </c>
      <c r="FG281" s="80">
        <v>211</v>
      </c>
      <c r="FH281" s="80">
        <v>309</v>
      </c>
      <c r="FI281" s="80">
        <v>0</v>
      </c>
      <c r="FJ281" s="80">
        <v>0</v>
      </c>
      <c r="FK281" s="80">
        <v>0</v>
      </c>
      <c r="FL281" s="80">
        <v>0</v>
      </c>
      <c r="FM281" s="80">
        <v>91</v>
      </c>
      <c r="FN281" s="80">
        <v>824</v>
      </c>
      <c r="FO281" s="80">
        <v>130</v>
      </c>
      <c r="FP281" s="80">
        <v>882</v>
      </c>
      <c r="FQ281" s="80">
        <v>9821</v>
      </c>
      <c r="FR281" s="80">
        <v>1591</v>
      </c>
      <c r="FS281" s="80">
        <v>256</v>
      </c>
      <c r="FT281" s="100">
        <v>7245.9962623744586</v>
      </c>
      <c r="FU281" s="100"/>
      <c r="FV281" s="100">
        <v>3197</v>
      </c>
      <c r="FW281" s="67">
        <v>444</v>
      </c>
      <c r="FX281" s="100">
        <f t="shared" si="25"/>
        <v>-6167</v>
      </c>
      <c r="FY281" s="100">
        <f t="shared" si="26"/>
        <v>-9917</v>
      </c>
      <c r="FZ281" s="100">
        <v>6412.5728445595214</v>
      </c>
      <c r="GA281" s="67">
        <v>3750</v>
      </c>
      <c r="GB281" s="58">
        <f t="shared" si="23"/>
        <v>553</v>
      </c>
      <c r="GC281" s="67">
        <v>527</v>
      </c>
      <c r="GD281" s="100">
        <v>364</v>
      </c>
      <c r="GE281" s="100">
        <v>103</v>
      </c>
      <c r="GF281" s="58">
        <f t="shared" si="24"/>
        <v>261</v>
      </c>
      <c r="GG281" s="100">
        <v>-2158.404</v>
      </c>
      <c r="GH281" s="100">
        <v>-43.498700000000021</v>
      </c>
      <c r="GI281" s="100">
        <v>-4336.3316532675572</v>
      </c>
      <c r="GJ281" s="67">
        <f t="shared" si="27"/>
        <v>83</v>
      </c>
      <c r="GK281" s="67"/>
      <c r="GM281" s="96"/>
    </row>
    <row r="282" spans="1:195" ht="13.5" customHeight="1" x14ac:dyDescent="0.2">
      <c r="A282" s="74">
        <v>892</v>
      </c>
      <c r="B282" s="75" t="s">
        <v>197</v>
      </c>
      <c r="C282" s="75" t="s">
        <v>197</v>
      </c>
      <c r="D282" s="76"/>
      <c r="E282" s="77" t="s">
        <v>231</v>
      </c>
      <c r="F282" s="78">
        <v>2</v>
      </c>
      <c r="G282" s="79">
        <v>3666</v>
      </c>
      <c r="H282" s="80">
        <v>3311</v>
      </c>
      <c r="I282" s="80">
        <v>1566</v>
      </c>
      <c r="J282" s="80">
        <v>747</v>
      </c>
      <c r="K282" s="80">
        <v>382</v>
      </c>
      <c r="L282" s="80">
        <v>616</v>
      </c>
      <c r="M282" s="80">
        <v>0</v>
      </c>
      <c r="N282" s="80">
        <v>25</v>
      </c>
      <c r="O282" s="80">
        <v>21641</v>
      </c>
      <c r="P282" s="80">
        <v>8871</v>
      </c>
      <c r="Q282" s="80">
        <v>6907</v>
      </c>
      <c r="R282" s="80">
        <v>1964</v>
      </c>
      <c r="S282" s="80">
        <v>1619</v>
      </c>
      <c r="T282" s="80">
        <v>345</v>
      </c>
      <c r="U282" s="80">
        <v>9817</v>
      </c>
      <c r="V282" s="80">
        <v>1217</v>
      </c>
      <c r="W282" s="80">
        <v>1388</v>
      </c>
      <c r="X282" s="80">
        <v>348</v>
      </c>
      <c r="Y282" s="80">
        <v>-18305</v>
      </c>
      <c r="Z282" s="80">
        <v>10403</v>
      </c>
      <c r="AA282" s="80">
        <v>9279</v>
      </c>
      <c r="AB282" s="80">
        <v>549</v>
      </c>
      <c r="AC282" s="80">
        <v>575</v>
      </c>
      <c r="AD282" s="80">
        <v>9007</v>
      </c>
      <c r="AE282" s="80">
        <v>84</v>
      </c>
      <c r="AF282" s="80">
        <v>0</v>
      </c>
      <c r="AG282" s="80">
        <v>232</v>
      </c>
      <c r="AH282" s="80">
        <v>54</v>
      </c>
      <c r="AI282" s="80">
        <v>126</v>
      </c>
      <c r="AJ282" s="80">
        <v>22</v>
      </c>
      <c r="AK282" s="80">
        <v>1189</v>
      </c>
      <c r="AL282" s="80">
        <v>1069</v>
      </c>
      <c r="AM282" s="80">
        <v>1069</v>
      </c>
      <c r="AN282" s="80">
        <v>0</v>
      </c>
      <c r="AO282" s="80">
        <v>0</v>
      </c>
      <c r="AP282" s="80">
        <v>0</v>
      </c>
      <c r="AQ282" s="80">
        <v>0</v>
      </c>
      <c r="AR282" s="80">
        <v>120</v>
      </c>
      <c r="AS282" s="80">
        <v>15</v>
      </c>
      <c r="AT282" s="80">
        <v>0</v>
      </c>
      <c r="AU282" s="80">
        <v>0</v>
      </c>
      <c r="AV282" s="80">
        <v>135</v>
      </c>
      <c r="AW282" s="81"/>
      <c r="AX282" s="80">
        <v>1144</v>
      </c>
      <c r="AY282" s="80">
        <v>1189</v>
      </c>
      <c r="AZ282" s="80">
        <v>0</v>
      </c>
      <c r="BA282" s="80">
        <v>-45</v>
      </c>
      <c r="BB282" s="80">
        <v>-749</v>
      </c>
      <c r="BC282" s="80">
        <v>948</v>
      </c>
      <c r="BD282" s="80">
        <v>125</v>
      </c>
      <c r="BE282" s="80">
        <v>74</v>
      </c>
      <c r="BF282" s="80">
        <v>395</v>
      </c>
      <c r="BG282" s="80">
        <v>-33</v>
      </c>
      <c r="BH282" s="80">
        <v>0</v>
      </c>
      <c r="BI282" s="80">
        <v>0</v>
      </c>
      <c r="BJ282" s="80">
        <v>0</v>
      </c>
      <c r="BK282" s="80">
        <v>83</v>
      </c>
      <c r="BL282" s="80">
        <v>3553</v>
      </c>
      <c r="BM282" s="80">
        <v>3470</v>
      </c>
      <c r="BN282" s="80">
        <v>0</v>
      </c>
      <c r="BO282" s="80">
        <v>0</v>
      </c>
      <c r="BP282" s="80">
        <v>-116</v>
      </c>
      <c r="BQ282" s="80">
        <v>-11</v>
      </c>
      <c r="BR282" s="80">
        <v>16</v>
      </c>
      <c r="BS282" s="80">
        <v>109</v>
      </c>
      <c r="BT282" s="80">
        <v>-230</v>
      </c>
      <c r="BU282" s="80">
        <v>362</v>
      </c>
      <c r="BV282" s="80">
        <v>3378</v>
      </c>
      <c r="BW282" s="80">
        <v>3016</v>
      </c>
      <c r="BX282" s="81"/>
      <c r="BY282" s="80">
        <v>23919</v>
      </c>
      <c r="BZ282" s="80">
        <v>157</v>
      </c>
      <c r="CA282" s="80">
        <v>13</v>
      </c>
      <c r="CB282" s="80">
        <v>144</v>
      </c>
      <c r="CC282" s="80">
        <v>0</v>
      </c>
      <c r="CD282" s="80">
        <v>19913</v>
      </c>
      <c r="CE282" s="80">
        <v>2865</v>
      </c>
      <c r="CF282" s="80">
        <v>13027</v>
      </c>
      <c r="CG282" s="80">
        <v>3149</v>
      </c>
      <c r="CH282" s="80">
        <v>176</v>
      </c>
      <c r="CI282" s="80">
        <v>0</v>
      </c>
      <c r="CJ282" s="80">
        <v>0</v>
      </c>
      <c r="CK282" s="80">
        <v>696</v>
      </c>
      <c r="CL282" s="80">
        <v>3849</v>
      </c>
      <c r="CM282" s="80">
        <v>3023</v>
      </c>
      <c r="CN282" s="80">
        <v>859</v>
      </c>
      <c r="CO282" s="80">
        <v>2164</v>
      </c>
      <c r="CP282" s="80">
        <v>0</v>
      </c>
      <c r="CQ282" s="80">
        <v>484</v>
      </c>
      <c r="CR282" s="80">
        <v>0</v>
      </c>
      <c r="CS282" s="80">
        <v>0</v>
      </c>
      <c r="CT282" s="80">
        <v>484</v>
      </c>
      <c r="CU282" s="80">
        <v>342</v>
      </c>
      <c r="CV282" s="80">
        <v>42</v>
      </c>
      <c r="CW282" s="80">
        <v>27</v>
      </c>
      <c r="CX282" s="80">
        <v>15</v>
      </c>
      <c r="CY282" s="80">
        <v>0</v>
      </c>
      <c r="CZ282" s="80">
        <v>4290</v>
      </c>
      <c r="DA282" s="80">
        <v>180</v>
      </c>
      <c r="DB282" s="80">
        <v>0</v>
      </c>
      <c r="DC282" s="80">
        <v>0</v>
      </c>
      <c r="DD282" s="80">
        <v>0</v>
      </c>
      <c r="DE282" s="80">
        <v>180</v>
      </c>
      <c r="DF282" s="80">
        <v>0</v>
      </c>
      <c r="DG282" s="80">
        <v>732</v>
      </c>
      <c r="DH282" s="80">
        <v>3</v>
      </c>
      <c r="DI282" s="80">
        <v>0</v>
      </c>
      <c r="DJ282" s="80">
        <v>3</v>
      </c>
      <c r="DK282" s="80">
        <v>0</v>
      </c>
      <c r="DL282" s="80">
        <v>0</v>
      </c>
      <c r="DM282" s="80">
        <v>729</v>
      </c>
      <c r="DN282" s="80">
        <v>510</v>
      </c>
      <c r="DO282" s="80">
        <v>3</v>
      </c>
      <c r="DP282" s="80">
        <v>107</v>
      </c>
      <c r="DQ282" s="80">
        <v>109</v>
      </c>
      <c r="DR282" s="80">
        <v>3160</v>
      </c>
      <c r="DS282" s="80">
        <v>0</v>
      </c>
      <c r="DT282" s="80">
        <v>0</v>
      </c>
      <c r="DU282" s="80">
        <v>0</v>
      </c>
      <c r="DV282" s="80">
        <v>3160</v>
      </c>
      <c r="DW282" s="80">
        <v>218</v>
      </c>
      <c r="DX282" s="80">
        <v>28251</v>
      </c>
      <c r="DY282" s="80">
        <v>13803</v>
      </c>
      <c r="DZ282" s="80">
        <v>7333</v>
      </c>
      <c r="EA282" s="80">
        <v>0</v>
      </c>
      <c r="EB282" s="80">
        <v>3249</v>
      </c>
      <c r="EC282" s="80">
        <v>3085</v>
      </c>
      <c r="ED282" s="80">
        <v>136</v>
      </c>
      <c r="EE282" s="80">
        <v>576</v>
      </c>
      <c r="EF282" s="80">
        <v>576</v>
      </c>
      <c r="EG282" s="80">
        <v>0</v>
      </c>
      <c r="EH282" s="80">
        <v>0</v>
      </c>
      <c r="EI282" s="80">
        <v>0</v>
      </c>
      <c r="EJ282" s="80">
        <v>0</v>
      </c>
      <c r="EK282" s="80">
        <v>27</v>
      </c>
      <c r="EL282" s="80">
        <v>12</v>
      </c>
      <c r="EM282" s="80">
        <v>15</v>
      </c>
      <c r="EN282" s="80">
        <v>0</v>
      </c>
      <c r="EO282" s="80">
        <v>13845</v>
      </c>
      <c r="EP282" s="80">
        <v>10381</v>
      </c>
      <c r="EQ282" s="80">
        <v>0</v>
      </c>
      <c r="ER282" s="80">
        <v>9894</v>
      </c>
      <c r="ES282" s="80">
        <v>232</v>
      </c>
      <c r="ET282" s="80">
        <v>9662</v>
      </c>
      <c r="EU282" s="80">
        <v>0</v>
      </c>
      <c r="EV282" s="80">
        <v>0</v>
      </c>
      <c r="EW282" s="80">
        <v>279</v>
      </c>
      <c r="EX282" s="80">
        <v>0</v>
      </c>
      <c r="EY282" s="80">
        <v>0</v>
      </c>
      <c r="EZ282" s="80">
        <v>0</v>
      </c>
      <c r="FA282" s="80">
        <v>208</v>
      </c>
      <c r="FB282" s="80">
        <v>0</v>
      </c>
      <c r="FC282" s="80">
        <v>0</v>
      </c>
      <c r="FD282" s="80">
        <v>3464</v>
      </c>
      <c r="FE282" s="80">
        <v>0</v>
      </c>
      <c r="FF282" s="80">
        <v>792</v>
      </c>
      <c r="FG282" s="80">
        <v>22</v>
      </c>
      <c r="FH282" s="80">
        <v>770</v>
      </c>
      <c r="FI282" s="80">
        <v>0</v>
      </c>
      <c r="FJ282" s="80">
        <v>0</v>
      </c>
      <c r="FK282" s="80">
        <v>43</v>
      </c>
      <c r="FL282" s="80">
        <v>0</v>
      </c>
      <c r="FM282" s="80">
        <v>85</v>
      </c>
      <c r="FN282" s="80">
        <v>1131</v>
      </c>
      <c r="FO282" s="80">
        <v>153</v>
      </c>
      <c r="FP282" s="80">
        <v>1260</v>
      </c>
      <c r="FQ282" s="80">
        <v>28251</v>
      </c>
      <c r="FR282" s="80">
        <v>3829</v>
      </c>
      <c r="FS282" s="80">
        <v>3212</v>
      </c>
      <c r="FT282" s="100">
        <v>12654.080386998576</v>
      </c>
      <c r="FU282" s="100"/>
      <c r="FV282" s="100">
        <v>4042</v>
      </c>
      <c r="FW282" s="67">
        <v>981</v>
      </c>
      <c r="FX282" s="100">
        <f t="shared" si="25"/>
        <v>-12024</v>
      </c>
      <c r="FY282" s="100">
        <f t="shared" si="26"/>
        <v>-17236</v>
      </c>
      <c r="FZ282" s="100">
        <v>10317.677324983626</v>
      </c>
      <c r="GA282" s="67">
        <v>5212</v>
      </c>
      <c r="GB282" s="58">
        <f t="shared" si="23"/>
        <v>1170</v>
      </c>
      <c r="GC282" s="67">
        <v>1068</v>
      </c>
      <c r="GD282" s="100">
        <v>747</v>
      </c>
      <c r="GE282" s="100">
        <v>234</v>
      </c>
      <c r="GF282" s="58">
        <f t="shared" si="24"/>
        <v>513</v>
      </c>
      <c r="GG282" s="100">
        <v>-5277.8760000000002</v>
      </c>
      <c r="GH282" s="100">
        <v>-170.81955000000011</v>
      </c>
      <c r="GI282" s="100">
        <v>-4773.3041169043618</v>
      </c>
      <c r="GJ282" s="67">
        <f t="shared" si="27"/>
        <v>87</v>
      </c>
      <c r="GK282" s="67"/>
      <c r="GM282" s="96"/>
    </row>
    <row r="283" spans="1:195" ht="13.5" customHeight="1" x14ac:dyDescent="0.2">
      <c r="A283" s="74">
        <v>785</v>
      </c>
      <c r="B283" s="75" t="s">
        <v>180</v>
      </c>
      <c r="C283" s="75" t="s">
        <v>180</v>
      </c>
      <c r="D283" s="76"/>
      <c r="E283" s="77">
        <v>17</v>
      </c>
      <c r="F283" s="78">
        <v>2</v>
      </c>
      <c r="G283" s="79">
        <v>3074</v>
      </c>
      <c r="H283" s="80">
        <v>3758</v>
      </c>
      <c r="I283" s="80">
        <v>2237</v>
      </c>
      <c r="J283" s="80">
        <v>264</v>
      </c>
      <c r="K283" s="80">
        <v>353</v>
      </c>
      <c r="L283" s="80">
        <v>904</v>
      </c>
      <c r="M283" s="80">
        <v>0</v>
      </c>
      <c r="N283" s="80">
        <v>46</v>
      </c>
      <c r="O283" s="80">
        <v>25868</v>
      </c>
      <c r="P283" s="80">
        <v>7343</v>
      </c>
      <c r="Q283" s="80">
        <v>5331</v>
      </c>
      <c r="R283" s="80">
        <v>2012</v>
      </c>
      <c r="S283" s="80">
        <v>1728</v>
      </c>
      <c r="T283" s="80">
        <v>284</v>
      </c>
      <c r="U283" s="80">
        <v>16093</v>
      </c>
      <c r="V283" s="80">
        <v>1670</v>
      </c>
      <c r="W283" s="80">
        <v>448</v>
      </c>
      <c r="X283" s="80">
        <v>314</v>
      </c>
      <c r="Y283" s="80">
        <v>-22064</v>
      </c>
      <c r="Z283" s="80">
        <v>11509</v>
      </c>
      <c r="AA283" s="80">
        <v>8293</v>
      </c>
      <c r="AB283" s="80">
        <v>668</v>
      </c>
      <c r="AC283" s="80">
        <v>2548</v>
      </c>
      <c r="AD283" s="80">
        <v>13085</v>
      </c>
      <c r="AE283" s="80">
        <v>-122</v>
      </c>
      <c r="AF283" s="80">
        <v>10</v>
      </c>
      <c r="AG283" s="80">
        <v>30</v>
      </c>
      <c r="AH283" s="80">
        <v>26</v>
      </c>
      <c r="AI283" s="80">
        <v>162</v>
      </c>
      <c r="AJ283" s="80">
        <v>0</v>
      </c>
      <c r="AK283" s="80">
        <v>2408</v>
      </c>
      <c r="AL283" s="80">
        <v>1448</v>
      </c>
      <c r="AM283" s="80">
        <v>1448</v>
      </c>
      <c r="AN283" s="80">
        <v>0</v>
      </c>
      <c r="AO283" s="80">
        <v>0</v>
      </c>
      <c r="AP283" s="80">
        <v>0</v>
      </c>
      <c r="AQ283" s="80">
        <v>0</v>
      </c>
      <c r="AR283" s="80">
        <v>960</v>
      </c>
      <c r="AS283" s="80">
        <v>58</v>
      </c>
      <c r="AT283" s="80">
        <v>0</v>
      </c>
      <c r="AU283" s="80">
        <v>0</v>
      </c>
      <c r="AV283" s="80">
        <v>1018</v>
      </c>
      <c r="AW283" s="81"/>
      <c r="AX283" s="80">
        <v>2427</v>
      </c>
      <c r="AY283" s="80">
        <v>2408</v>
      </c>
      <c r="AZ283" s="80">
        <v>0</v>
      </c>
      <c r="BA283" s="80">
        <v>19</v>
      </c>
      <c r="BB283" s="80">
        <v>-2050</v>
      </c>
      <c r="BC283" s="80">
        <v>2725</v>
      </c>
      <c r="BD283" s="80">
        <v>161</v>
      </c>
      <c r="BE283" s="80">
        <v>514</v>
      </c>
      <c r="BF283" s="80">
        <v>377</v>
      </c>
      <c r="BG283" s="80">
        <v>-457</v>
      </c>
      <c r="BH283" s="80">
        <v>122</v>
      </c>
      <c r="BI283" s="80">
        <v>-120</v>
      </c>
      <c r="BJ283" s="80">
        <v>2</v>
      </c>
      <c r="BK283" s="80">
        <v>-159</v>
      </c>
      <c r="BL283" s="80">
        <v>2947</v>
      </c>
      <c r="BM283" s="80">
        <v>1906</v>
      </c>
      <c r="BN283" s="80">
        <v>-1200</v>
      </c>
      <c r="BO283" s="80">
        <v>0</v>
      </c>
      <c r="BP283" s="80">
        <v>-420</v>
      </c>
      <c r="BQ283" s="80">
        <v>-1</v>
      </c>
      <c r="BR283" s="80">
        <v>0</v>
      </c>
      <c r="BS283" s="80">
        <v>-79</v>
      </c>
      <c r="BT283" s="80">
        <v>-340</v>
      </c>
      <c r="BU283" s="80">
        <v>-80</v>
      </c>
      <c r="BV283" s="80">
        <v>1441</v>
      </c>
      <c r="BW283" s="80">
        <v>1521</v>
      </c>
      <c r="BX283" s="81"/>
      <c r="BY283" s="80">
        <v>27096</v>
      </c>
      <c r="BZ283" s="80">
        <v>38</v>
      </c>
      <c r="CA283" s="80">
        <v>38</v>
      </c>
      <c r="CB283" s="80">
        <v>0</v>
      </c>
      <c r="CC283" s="80">
        <v>0</v>
      </c>
      <c r="CD283" s="80">
        <v>23146</v>
      </c>
      <c r="CE283" s="80">
        <v>3192</v>
      </c>
      <c r="CF283" s="80">
        <v>14702</v>
      </c>
      <c r="CG283" s="80">
        <v>3785</v>
      </c>
      <c r="CH283" s="80">
        <v>534</v>
      </c>
      <c r="CI283" s="80">
        <v>61</v>
      </c>
      <c r="CJ283" s="80">
        <v>61</v>
      </c>
      <c r="CK283" s="80">
        <v>872</v>
      </c>
      <c r="CL283" s="80">
        <v>3912</v>
      </c>
      <c r="CM283" s="80">
        <v>2645</v>
      </c>
      <c r="CN283" s="80">
        <v>2318</v>
      </c>
      <c r="CO283" s="80">
        <v>327</v>
      </c>
      <c r="CP283" s="80">
        <v>0</v>
      </c>
      <c r="CQ283" s="80">
        <v>1228</v>
      </c>
      <c r="CR283" s="80">
        <v>0</v>
      </c>
      <c r="CS283" s="80">
        <v>0</v>
      </c>
      <c r="CT283" s="80">
        <v>1228</v>
      </c>
      <c r="CU283" s="80">
        <v>39</v>
      </c>
      <c r="CV283" s="80">
        <v>0</v>
      </c>
      <c r="CW283" s="80">
        <v>0</v>
      </c>
      <c r="CX283" s="80">
        <v>0</v>
      </c>
      <c r="CY283" s="80">
        <v>0</v>
      </c>
      <c r="CZ283" s="80">
        <v>3704</v>
      </c>
      <c r="DA283" s="80">
        <v>9</v>
      </c>
      <c r="DB283" s="80">
        <v>9</v>
      </c>
      <c r="DC283" s="80">
        <v>0</v>
      </c>
      <c r="DD283" s="80">
        <v>0</v>
      </c>
      <c r="DE283" s="80">
        <v>0</v>
      </c>
      <c r="DF283" s="80">
        <v>0</v>
      </c>
      <c r="DG283" s="80">
        <v>2244</v>
      </c>
      <c r="DH283" s="80">
        <v>523</v>
      </c>
      <c r="DI283" s="80">
        <v>296</v>
      </c>
      <c r="DJ283" s="80">
        <v>227</v>
      </c>
      <c r="DK283" s="80">
        <v>0</v>
      </c>
      <c r="DL283" s="80">
        <v>0</v>
      </c>
      <c r="DM283" s="80">
        <v>1721</v>
      </c>
      <c r="DN283" s="80">
        <v>1104</v>
      </c>
      <c r="DO283" s="80">
        <v>29</v>
      </c>
      <c r="DP283" s="80">
        <v>252</v>
      </c>
      <c r="DQ283" s="80">
        <v>336</v>
      </c>
      <c r="DR283" s="80">
        <v>299</v>
      </c>
      <c r="DS283" s="80">
        <v>299</v>
      </c>
      <c r="DT283" s="80">
        <v>0</v>
      </c>
      <c r="DU283" s="80">
        <v>0</v>
      </c>
      <c r="DV283" s="80">
        <v>0</v>
      </c>
      <c r="DW283" s="80">
        <v>1152</v>
      </c>
      <c r="DX283" s="80">
        <v>30800</v>
      </c>
      <c r="DY283" s="80">
        <v>14042</v>
      </c>
      <c r="DZ283" s="80">
        <v>10523</v>
      </c>
      <c r="EA283" s="80">
        <v>1567</v>
      </c>
      <c r="EB283" s="80">
        <v>0</v>
      </c>
      <c r="EC283" s="80">
        <v>934</v>
      </c>
      <c r="ED283" s="80">
        <v>1018</v>
      </c>
      <c r="EE283" s="80">
        <v>1107</v>
      </c>
      <c r="EF283" s="80">
        <v>1107</v>
      </c>
      <c r="EG283" s="80">
        <v>0</v>
      </c>
      <c r="EH283" s="80">
        <v>190</v>
      </c>
      <c r="EI283" s="80">
        <v>0</v>
      </c>
      <c r="EJ283" s="80">
        <v>190</v>
      </c>
      <c r="EK283" s="80">
        <v>14</v>
      </c>
      <c r="EL283" s="80">
        <v>0</v>
      </c>
      <c r="EM283" s="80">
        <v>10</v>
      </c>
      <c r="EN283" s="80">
        <v>4</v>
      </c>
      <c r="EO283" s="80">
        <v>15447</v>
      </c>
      <c r="EP283" s="80">
        <v>11797</v>
      </c>
      <c r="EQ283" s="80">
        <v>0</v>
      </c>
      <c r="ER283" s="80">
        <v>11012</v>
      </c>
      <c r="ES283" s="80">
        <v>3054</v>
      </c>
      <c r="ET283" s="80">
        <v>7943</v>
      </c>
      <c r="EU283" s="80">
        <v>15</v>
      </c>
      <c r="EV283" s="80">
        <v>0</v>
      </c>
      <c r="EW283" s="80">
        <v>471</v>
      </c>
      <c r="EX283" s="80">
        <v>0</v>
      </c>
      <c r="EY283" s="80">
        <v>6</v>
      </c>
      <c r="EZ283" s="80">
        <v>0</v>
      </c>
      <c r="FA283" s="80">
        <v>308</v>
      </c>
      <c r="FB283" s="80">
        <v>0</v>
      </c>
      <c r="FC283" s="80">
        <v>0</v>
      </c>
      <c r="FD283" s="80">
        <v>3650</v>
      </c>
      <c r="FE283" s="80">
        <v>0</v>
      </c>
      <c r="FF283" s="80">
        <v>1457</v>
      </c>
      <c r="FG283" s="80">
        <v>453</v>
      </c>
      <c r="FH283" s="80">
        <v>999</v>
      </c>
      <c r="FI283" s="80">
        <v>5</v>
      </c>
      <c r="FJ283" s="80">
        <v>0</v>
      </c>
      <c r="FK283" s="80">
        <v>356</v>
      </c>
      <c r="FL283" s="80">
        <v>0</v>
      </c>
      <c r="FM283" s="80">
        <v>0</v>
      </c>
      <c r="FN283" s="80">
        <v>756</v>
      </c>
      <c r="FO283" s="80">
        <v>131</v>
      </c>
      <c r="FP283" s="80">
        <v>950</v>
      </c>
      <c r="FQ283" s="80">
        <v>30800</v>
      </c>
      <c r="FR283" s="80">
        <v>132</v>
      </c>
      <c r="FS283" s="80">
        <v>623</v>
      </c>
      <c r="FT283" s="100">
        <v>13801.873731406007</v>
      </c>
      <c r="FU283" s="100"/>
      <c r="FV283" s="100">
        <v>5719</v>
      </c>
      <c r="FW283" s="67">
        <v>1434</v>
      </c>
      <c r="FX283" s="100">
        <f t="shared" si="25"/>
        <v>-14804</v>
      </c>
      <c r="FY283" s="100">
        <f t="shared" si="26"/>
        <v>-20616</v>
      </c>
      <c r="FZ283" s="100">
        <v>13275.15771310827</v>
      </c>
      <c r="GA283" s="67">
        <v>5812</v>
      </c>
      <c r="GB283" s="58">
        <f t="shared" si="23"/>
        <v>93</v>
      </c>
      <c r="GC283" s="67">
        <v>1449</v>
      </c>
      <c r="GD283" s="100">
        <v>263</v>
      </c>
      <c r="GE283" s="100">
        <v>263</v>
      </c>
      <c r="GF283" s="58">
        <f t="shared" si="24"/>
        <v>0</v>
      </c>
      <c r="GG283" s="100">
        <v>-4612.3620000000001</v>
      </c>
      <c r="GH283" s="100">
        <v>-195.3193500000001</v>
      </c>
      <c r="GI283" s="100">
        <v>-8949.4018118065069</v>
      </c>
      <c r="GJ283" s="67">
        <f t="shared" si="27"/>
        <v>15</v>
      </c>
      <c r="GK283" s="67"/>
      <c r="GM283" s="96"/>
    </row>
    <row r="284" spans="1:195" ht="13.5" customHeight="1" x14ac:dyDescent="0.2">
      <c r="A284" s="74">
        <v>908</v>
      </c>
      <c r="B284" s="75" t="s">
        <v>198</v>
      </c>
      <c r="C284" s="75" t="s">
        <v>198</v>
      </c>
      <c r="D284" s="76"/>
      <c r="E284" s="77" t="s">
        <v>214</v>
      </c>
      <c r="F284" s="78">
        <v>5</v>
      </c>
      <c r="G284" s="79">
        <v>21332</v>
      </c>
      <c r="H284" s="80">
        <v>25070</v>
      </c>
      <c r="I284" s="80">
        <v>10353</v>
      </c>
      <c r="J284" s="80">
        <v>7801</v>
      </c>
      <c r="K284" s="80">
        <v>3304</v>
      </c>
      <c r="L284" s="80">
        <v>3612</v>
      </c>
      <c r="M284" s="80">
        <v>0</v>
      </c>
      <c r="N284" s="80">
        <v>283</v>
      </c>
      <c r="O284" s="80">
        <v>132633</v>
      </c>
      <c r="P284" s="80">
        <v>62759</v>
      </c>
      <c r="Q284" s="80">
        <v>47497</v>
      </c>
      <c r="R284" s="80">
        <v>15262</v>
      </c>
      <c r="S284" s="80">
        <v>12563</v>
      </c>
      <c r="T284" s="80">
        <v>2699</v>
      </c>
      <c r="U284" s="80">
        <v>51186</v>
      </c>
      <c r="V284" s="80">
        <v>7859</v>
      </c>
      <c r="W284" s="80">
        <v>8255</v>
      </c>
      <c r="X284" s="80">
        <v>2574</v>
      </c>
      <c r="Y284" s="80">
        <v>-107280</v>
      </c>
      <c r="Z284" s="80">
        <v>78285</v>
      </c>
      <c r="AA284" s="80">
        <v>69569</v>
      </c>
      <c r="AB284" s="80">
        <v>3852</v>
      </c>
      <c r="AC284" s="80">
        <v>4864</v>
      </c>
      <c r="AD284" s="80">
        <v>33663</v>
      </c>
      <c r="AE284" s="80">
        <v>1694</v>
      </c>
      <c r="AF284" s="80">
        <v>147</v>
      </c>
      <c r="AG284" s="80">
        <v>2126</v>
      </c>
      <c r="AH284" s="80">
        <v>1829</v>
      </c>
      <c r="AI284" s="80">
        <v>567</v>
      </c>
      <c r="AJ284" s="80">
        <v>12</v>
      </c>
      <c r="AK284" s="80">
        <v>6362</v>
      </c>
      <c r="AL284" s="80">
        <v>9254</v>
      </c>
      <c r="AM284" s="80">
        <v>8965</v>
      </c>
      <c r="AN284" s="80">
        <v>289</v>
      </c>
      <c r="AO284" s="80">
        <v>0</v>
      </c>
      <c r="AP284" s="80">
        <v>0</v>
      </c>
      <c r="AQ284" s="80">
        <v>0</v>
      </c>
      <c r="AR284" s="80">
        <v>-2892</v>
      </c>
      <c r="AS284" s="80">
        <v>227</v>
      </c>
      <c r="AT284" s="80">
        <v>143</v>
      </c>
      <c r="AU284" s="80">
        <v>0</v>
      </c>
      <c r="AV284" s="80">
        <v>-2522</v>
      </c>
      <c r="AW284" s="81"/>
      <c r="AX284" s="80">
        <v>5621</v>
      </c>
      <c r="AY284" s="80">
        <v>6362</v>
      </c>
      <c r="AZ284" s="80">
        <v>0</v>
      </c>
      <c r="BA284" s="80">
        <v>-741</v>
      </c>
      <c r="BB284" s="80">
        <v>-6993</v>
      </c>
      <c r="BC284" s="80">
        <v>11653</v>
      </c>
      <c r="BD284" s="80">
        <v>79</v>
      </c>
      <c r="BE284" s="80">
        <v>4581</v>
      </c>
      <c r="BF284" s="80">
        <v>-1372</v>
      </c>
      <c r="BG284" s="80">
        <v>-474</v>
      </c>
      <c r="BH284" s="80">
        <v>-196</v>
      </c>
      <c r="BI284" s="80">
        <v>200</v>
      </c>
      <c r="BJ284" s="80">
        <v>4</v>
      </c>
      <c r="BK284" s="80">
        <v>447</v>
      </c>
      <c r="BL284" s="80">
        <v>8500</v>
      </c>
      <c r="BM284" s="80">
        <v>5849</v>
      </c>
      <c r="BN284" s="80">
        <v>-2204</v>
      </c>
      <c r="BO284" s="80">
        <v>0</v>
      </c>
      <c r="BP284" s="80">
        <v>-725</v>
      </c>
      <c r="BQ284" s="80">
        <v>54</v>
      </c>
      <c r="BR284" s="80">
        <v>0</v>
      </c>
      <c r="BS284" s="80">
        <v>-1928</v>
      </c>
      <c r="BT284" s="80">
        <v>1149</v>
      </c>
      <c r="BU284" s="80">
        <v>-1846</v>
      </c>
      <c r="BV284" s="80">
        <v>9568</v>
      </c>
      <c r="BW284" s="80">
        <v>11414</v>
      </c>
      <c r="BX284" s="81"/>
      <c r="BY284" s="80">
        <v>157527</v>
      </c>
      <c r="BZ284" s="80">
        <v>1379</v>
      </c>
      <c r="CA284" s="80">
        <v>10</v>
      </c>
      <c r="CB284" s="80">
        <v>1369</v>
      </c>
      <c r="CC284" s="80">
        <v>0</v>
      </c>
      <c r="CD284" s="80">
        <v>103471</v>
      </c>
      <c r="CE284" s="80">
        <v>18576</v>
      </c>
      <c r="CF284" s="80">
        <v>58033</v>
      </c>
      <c r="CG284" s="80">
        <v>22075</v>
      </c>
      <c r="CH284" s="80">
        <v>1785</v>
      </c>
      <c r="CI284" s="80">
        <v>458</v>
      </c>
      <c r="CJ284" s="80">
        <v>458</v>
      </c>
      <c r="CK284" s="80">
        <v>2544</v>
      </c>
      <c r="CL284" s="80">
        <v>52677</v>
      </c>
      <c r="CM284" s="80">
        <v>51881</v>
      </c>
      <c r="CN284" s="80">
        <v>14829</v>
      </c>
      <c r="CO284" s="80">
        <v>37052</v>
      </c>
      <c r="CP284" s="80">
        <v>0</v>
      </c>
      <c r="CQ284" s="80">
        <v>615</v>
      </c>
      <c r="CR284" s="80">
        <v>0</v>
      </c>
      <c r="CS284" s="80">
        <v>0</v>
      </c>
      <c r="CT284" s="80">
        <v>615</v>
      </c>
      <c r="CU284" s="80">
        <v>181</v>
      </c>
      <c r="CV284" s="80">
        <v>58</v>
      </c>
      <c r="CW284" s="80">
        <v>0</v>
      </c>
      <c r="CX284" s="80">
        <v>58</v>
      </c>
      <c r="CY284" s="80">
        <v>0</v>
      </c>
      <c r="CZ284" s="80">
        <v>25441</v>
      </c>
      <c r="DA284" s="80">
        <v>8</v>
      </c>
      <c r="DB284" s="80">
        <v>8</v>
      </c>
      <c r="DC284" s="80">
        <v>0</v>
      </c>
      <c r="DD284" s="80">
        <v>0</v>
      </c>
      <c r="DE284" s="80">
        <v>0</v>
      </c>
      <c r="DF284" s="80">
        <v>0</v>
      </c>
      <c r="DG284" s="80">
        <v>15865</v>
      </c>
      <c r="DH284" s="80">
        <v>8221</v>
      </c>
      <c r="DI284" s="80">
        <v>8176</v>
      </c>
      <c r="DJ284" s="80">
        <v>0</v>
      </c>
      <c r="DK284" s="80">
        <v>0</v>
      </c>
      <c r="DL284" s="80">
        <v>45</v>
      </c>
      <c r="DM284" s="80">
        <v>7644</v>
      </c>
      <c r="DN284" s="80">
        <v>4632</v>
      </c>
      <c r="DO284" s="80">
        <v>429</v>
      </c>
      <c r="DP284" s="80">
        <v>919</v>
      </c>
      <c r="DQ284" s="80">
        <v>1664</v>
      </c>
      <c r="DR284" s="80">
        <v>5</v>
      </c>
      <c r="DS284" s="80">
        <v>5</v>
      </c>
      <c r="DT284" s="80">
        <v>0</v>
      </c>
      <c r="DU284" s="80">
        <v>0</v>
      </c>
      <c r="DV284" s="80">
        <v>0</v>
      </c>
      <c r="DW284" s="80">
        <v>9563</v>
      </c>
      <c r="DX284" s="80">
        <v>183026</v>
      </c>
      <c r="DY284" s="80">
        <v>105598</v>
      </c>
      <c r="DZ284" s="80">
        <v>98259</v>
      </c>
      <c r="EA284" s="80">
        <v>0</v>
      </c>
      <c r="EB284" s="80">
        <v>0</v>
      </c>
      <c r="EC284" s="80">
        <v>9861</v>
      </c>
      <c r="ED284" s="80">
        <v>-2522</v>
      </c>
      <c r="EE284" s="80">
        <v>6977</v>
      </c>
      <c r="EF284" s="80">
        <v>3977</v>
      </c>
      <c r="EG284" s="80">
        <v>3000</v>
      </c>
      <c r="EH284" s="80">
        <v>747</v>
      </c>
      <c r="EI284" s="80">
        <v>9</v>
      </c>
      <c r="EJ284" s="80">
        <v>738</v>
      </c>
      <c r="EK284" s="80">
        <v>460</v>
      </c>
      <c r="EL284" s="80">
        <v>0</v>
      </c>
      <c r="EM284" s="80">
        <v>390</v>
      </c>
      <c r="EN284" s="80">
        <v>70</v>
      </c>
      <c r="EO284" s="80">
        <v>69244</v>
      </c>
      <c r="EP284" s="80">
        <v>36670</v>
      </c>
      <c r="EQ284" s="80">
        <v>0</v>
      </c>
      <c r="ER284" s="80">
        <v>34559</v>
      </c>
      <c r="ES284" s="80">
        <v>579</v>
      </c>
      <c r="ET284" s="80">
        <v>21850</v>
      </c>
      <c r="EU284" s="80">
        <v>12130</v>
      </c>
      <c r="EV284" s="80">
        <v>0</v>
      </c>
      <c r="EW284" s="80">
        <v>0</v>
      </c>
      <c r="EX284" s="80">
        <v>0</v>
      </c>
      <c r="EY284" s="80">
        <v>3</v>
      </c>
      <c r="EZ284" s="80">
        <v>0</v>
      </c>
      <c r="FA284" s="80">
        <v>2108</v>
      </c>
      <c r="FB284" s="80">
        <v>0</v>
      </c>
      <c r="FC284" s="80">
        <v>0</v>
      </c>
      <c r="FD284" s="80">
        <v>32574</v>
      </c>
      <c r="FE284" s="80">
        <v>0</v>
      </c>
      <c r="FF284" s="80">
        <v>11108</v>
      </c>
      <c r="FG284" s="80">
        <v>498</v>
      </c>
      <c r="FH284" s="80">
        <v>9200</v>
      </c>
      <c r="FI284" s="80">
        <v>1410</v>
      </c>
      <c r="FJ284" s="80">
        <v>0</v>
      </c>
      <c r="FK284" s="80">
        <v>0</v>
      </c>
      <c r="FL284" s="80">
        <v>5854</v>
      </c>
      <c r="FM284" s="80">
        <v>0</v>
      </c>
      <c r="FN284" s="80">
        <v>3954</v>
      </c>
      <c r="FO284" s="80">
        <v>1314</v>
      </c>
      <c r="FP284" s="80">
        <v>10344</v>
      </c>
      <c r="FQ284" s="80">
        <v>183026</v>
      </c>
      <c r="FR284" s="80">
        <v>14462</v>
      </c>
      <c r="FS284" s="80">
        <v>2081</v>
      </c>
      <c r="FT284" s="100">
        <v>83082.94254918737</v>
      </c>
      <c r="FU284" s="100"/>
      <c r="FV284" s="100">
        <v>42687</v>
      </c>
      <c r="FW284" s="67">
        <v>9171</v>
      </c>
      <c r="FX284" s="100">
        <f t="shared" si="25"/>
        <v>-45157</v>
      </c>
      <c r="FY284" s="100">
        <f t="shared" si="26"/>
        <v>-98026</v>
      </c>
      <c r="FZ284" s="100">
        <v>69580.688091800475</v>
      </c>
      <c r="GA284" s="67">
        <v>52869</v>
      </c>
      <c r="GB284" s="58">
        <f t="shared" si="23"/>
        <v>10182</v>
      </c>
      <c r="GC284" s="67">
        <v>9254</v>
      </c>
      <c r="GD284" s="100">
        <v>7867</v>
      </c>
      <c r="GE284" s="100">
        <v>2889</v>
      </c>
      <c r="GF284" s="58">
        <f t="shared" si="24"/>
        <v>4978</v>
      </c>
      <c r="GG284" s="100">
        <v>-42831.912000000004</v>
      </c>
      <c r="GH284" s="100">
        <v>-1228.0966000000001</v>
      </c>
      <c r="GI284" s="100">
        <v>-24899.37807824041</v>
      </c>
      <c r="GJ284" s="67">
        <f t="shared" si="27"/>
        <v>83</v>
      </c>
      <c r="GK284" s="67"/>
      <c r="GM284" s="96"/>
    </row>
    <row r="285" spans="1:195" ht="13.5" customHeight="1" x14ac:dyDescent="0.2">
      <c r="A285" s="74">
        <v>911</v>
      </c>
      <c r="B285" s="75" t="s">
        <v>199</v>
      </c>
      <c r="C285" s="75" t="s">
        <v>199</v>
      </c>
      <c r="D285" s="76"/>
      <c r="E285" s="77" t="s">
        <v>242</v>
      </c>
      <c r="F285" s="78">
        <v>2</v>
      </c>
      <c r="G285" s="79">
        <v>2324</v>
      </c>
      <c r="H285" s="80">
        <v>6823</v>
      </c>
      <c r="I285" s="80">
        <v>4961</v>
      </c>
      <c r="J285" s="80">
        <v>1045</v>
      </c>
      <c r="K285" s="80">
        <v>390</v>
      </c>
      <c r="L285" s="80">
        <v>427</v>
      </c>
      <c r="M285" s="80">
        <v>0</v>
      </c>
      <c r="N285" s="80">
        <v>23</v>
      </c>
      <c r="O285" s="80">
        <v>23253</v>
      </c>
      <c r="P285" s="80">
        <v>10168</v>
      </c>
      <c r="Q285" s="80">
        <v>7490</v>
      </c>
      <c r="R285" s="80">
        <v>2678</v>
      </c>
      <c r="S285" s="80">
        <v>2115</v>
      </c>
      <c r="T285" s="80">
        <v>563</v>
      </c>
      <c r="U285" s="80">
        <v>10981</v>
      </c>
      <c r="V285" s="80">
        <v>995</v>
      </c>
      <c r="W285" s="80">
        <v>898</v>
      </c>
      <c r="X285" s="80">
        <v>211</v>
      </c>
      <c r="Y285" s="80">
        <v>-16407</v>
      </c>
      <c r="Z285" s="80">
        <v>6902</v>
      </c>
      <c r="AA285" s="80">
        <v>5413</v>
      </c>
      <c r="AB285" s="80">
        <v>1090</v>
      </c>
      <c r="AC285" s="80">
        <v>399</v>
      </c>
      <c r="AD285" s="80">
        <v>9396</v>
      </c>
      <c r="AE285" s="80">
        <v>-343</v>
      </c>
      <c r="AF285" s="80">
        <v>113</v>
      </c>
      <c r="AG285" s="80">
        <v>225</v>
      </c>
      <c r="AH285" s="80">
        <v>150</v>
      </c>
      <c r="AI285" s="80">
        <v>32</v>
      </c>
      <c r="AJ285" s="80">
        <v>649</v>
      </c>
      <c r="AK285" s="80">
        <v>-452</v>
      </c>
      <c r="AL285" s="80">
        <v>940</v>
      </c>
      <c r="AM285" s="80">
        <v>940</v>
      </c>
      <c r="AN285" s="80">
        <v>0</v>
      </c>
      <c r="AO285" s="80">
        <v>0</v>
      </c>
      <c r="AP285" s="80">
        <v>0</v>
      </c>
      <c r="AQ285" s="80">
        <v>0</v>
      </c>
      <c r="AR285" s="80">
        <v>-1392</v>
      </c>
      <c r="AS285" s="80">
        <v>-72</v>
      </c>
      <c r="AT285" s="80">
        <v>106</v>
      </c>
      <c r="AU285" s="80">
        <v>0</v>
      </c>
      <c r="AV285" s="80">
        <v>-1358</v>
      </c>
      <c r="AW285" s="81"/>
      <c r="AX285" s="80">
        <v>-499</v>
      </c>
      <c r="AY285" s="80">
        <v>-452</v>
      </c>
      <c r="AZ285" s="80">
        <v>0</v>
      </c>
      <c r="BA285" s="80">
        <v>-47</v>
      </c>
      <c r="BB285" s="80">
        <v>-3493</v>
      </c>
      <c r="BC285" s="80">
        <v>4849</v>
      </c>
      <c r="BD285" s="80">
        <v>1307</v>
      </c>
      <c r="BE285" s="80">
        <v>49</v>
      </c>
      <c r="BF285" s="80">
        <v>-3992</v>
      </c>
      <c r="BG285" s="80">
        <v>206</v>
      </c>
      <c r="BH285" s="80">
        <v>479</v>
      </c>
      <c r="BI285" s="80">
        <v>28</v>
      </c>
      <c r="BJ285" s="80">
        <v>507</v>
      </c>
      <c r="BK285" s="80">
        <v>-7</v>
      </c>
      <c r="BL285" s="80">
        <v>0</v>
      </c>
      <c r="BM285" s="80">
        <v>7</v>
      </c>
      <c r="BN285" s="80">
        <v>0</v>
      </c>
      <c r="BO285" s="80">
        <v>0</v>
      </c>
      <c r="BP285" s="80">
        <v>-266</v>
      </c>
      <c r="BQ285" s="80">
        <v>0</v>
      </c>
      <c r="BR285" s="80">
        <v>0</v>
      </c>
      <c r="BS285" s="80">
        <v>-808</v>
      </c>
      <c r="BT285" s="80">
        <v>542</v>
      </c>
      <c r="BU285" s="80">
        <v>-3787</v>
      </c>
      <c r="BV285" s="80">
        <v>2521</v>
      </c>
      <c r="BW285" s="80">
        <v>6308</v>
      </c>
      <c r="BX285" s="81"/>
      <c r="BY285" s="80">
        <v>17156</v>
      </c>
      <c r="BZ285" s="80">
        <v>1016</v>
      </c>
      <c r="CA285" s="80">
        <v>0</v>
      </c>
      <c r="CB285" s="80">
        <v>1016</v>
      </c>
      <c r="CC285" s="80">
        <v>0</v>
      </c>
      <c r="CD285" s="80">
        <v>13796</v>
      </c>
      <c r="CE285" s="80">
        <v>2093</v>
      </c>
      <c r="CF285" s="80">
        <v>7201</v>
      </c>
      <c r="CG285" s="80">
        <v>2229</v>
      </c>
      <c r="CH285" s="80">
        <v>246</v>
      </c>
      <c r="CI285" s="80">
        <v>4</v>
      </c>
      <c r="CJ285" s="80">
        <v>0</v>
      </c>
      <c r="CK285" s="80">
        <v>2023</v>
      </c>
      <c r="CL285" s="80">
        <v>2344</v>
      </c>
      <c r="CM285" s="80">
        <v>2223</v>
      </c>
      <c r="CN285" s="80">
        <v>1755</v>
      </c>
      <c r="CO285" s="80">
        <v>468</v>
      </c>
      <c r="CP285" s="80">
        <v>0</v>
      </c>
      <c r="CQ285" s="80">
        <v>0</v>
      </c>
      <c r="CR285" s="80">
        <v>0</v>
      </c>
      <c r="CS285" s="80">
        <v>0</v>
      </c>
      <c r="CT285" s="80">
        <v>0</v>
      </c>
      <c r="CU285" s="80">
        <v>121</v>
      </c>
      <c r="CV285" s="80">
        <v>2</v>
      </c>
      <c r="CW285" s="80">
        <v>0</v>
      </c>
      <c r="CX285" s="80">
        <v>2</v>
      </c>
      <c r="CY285" s="80">
        <v>0</v>
      </c>
      <c r="CZ285" s="80">
        <v>5477</v>
      </c>
      <c r="DA285" s="80">
        <v>0</v>
      </c>
      <c r="DB285" s="80">
        <v>0</v>
      </c>
      <c r="DC285" s="80">
        <v>0</v>
      </c>
      <c r="DD285" s="80">
        <v>0</v>
      </c>
      <c r="DE285" s="80">
        <v>0</v>
      </c>
      <c r="DF285" s="80">
        <v>0</v>
      </c>
      <c r="DG285" s="80">
        <v>2955</v>
      </c>
      <c r="DH285" s="80">
        <v>600</v>
      </c>
      <c r="DI285" s="80">
        <v>0</v>
      </c>
      <c r="DJ285" s="80">
        <v>507</v>
      </c>
      <c r="DK285" s="80">
        <v>93</v>
      </c>
      <c r="DL285" s="80">
        <v>0</v>
      </c>
      <c r="DM285" s="80">
        <v>2355</v>
      </c>
      <c r="DN285" s="80">
        <v>633</v>
      </c>
      <c r="DO285" s="80">
        <v>41</v>
      </c>
      <c r="DP285" s="80">
        <v>696</v>
      </c>
      <c r="DQ285" s="80">
        <v>985</v>
      </c>
      <c r="DR285" s="80">
        <v>0</v>
      </c>
      <c r="DS285" s="80">
        <v>0</v>
      </c>
      <c r="DT285" s="80">
        <v>0</v>
      </c>
      <c r="DU285" s="80">
        <v>0</v>
      </c>
      <c r="DV285" s="80">
        <v>0</v>
      </c>
      <c r="DW285" s="80">
        <v>2522</v>
      </c>
      <c r="DX285" s="80">
        <v>22635</v>
      </c>
      <c r="DY285" s="80">
        <v>16013</v>
      </c>
      <c r="DZ285" s="80">
        <v>11000</v>
      </c>
      <c r="EA285" s="80">
        <v>747</v>
      </c>
      <c r="EB285" s="80">
        <v>0</v>
      </c>
      <c r="EC285" s="80">
        <v>5624</v>
      </c>
      <c r="ED285" s="80">
        <v>-1358</v>
      </c>
      <c r="EE285" s="80">
        <v>778</v>
      </c>
      <c r="EF285" s="80">
        <v>778</v>
      </c>
      <c r="EG285" s="80">
        <v>0</v>
      </c>
      <c r="EH285" s="80">
        <v>0</v>
      </c>
      <c r="EI285" s="80">
        <v>0</v>
      </c>
      <c r="EJ285" s="80">
        <v>0</v>
      </c>
      <c r="EK285" s="80">
        <v>2</v>
      </c>
      <c r="EL285" s="80">
        <v>0</v>
      </c>
      <c r="EM285" s="80">
        <v>2</v>
      </c>
      <c r="EN285" s="80">
        <v>0</v>
      </c>
      <c r="EO285" s="80">
        <v>5842</v>
      </c>
      <c r="EP285" s="80">
        <v>2329</v>
      </c>
      <c r="EQ285" s="80">
        <v>0</v>
      </c>
      <c r="ER285" s="80">
        <v>2329</v>
      </c>
      <c r="ES285" s="80">
        <v>0</v>
      </c>
      <c r="ET285" s="80">
        <v>2329</v>
      </c>
      <c r="EU285" s="80">
        <v>0</v>
      </c>
      <c r="EV285" s="80">
        <v>0</v>
      </c>
      <c r="EW285" s="80">
        <v>0</v>
      </c>
      <c r="EX285" s="80">
        <v>0</v>
      </c>
      <c r="EY285" s="80">
        <v>0</v>
      </c>
      <c r="EZ285" s="80">
        <v>0</v>
      </c>
      <c r="FA285" s="80">
        <v>0</v>
      </c>
      <c r="FB285" s="80">
        <v>0</v>
      </c>
      <c r="FC285" s="80">
        <v>0</v>
      </c>
      <c r="FD285" s="80">
        <v>3513</v>
      </c>
      <c r="FE285" s="80">
        <v>0</v>
      </c>
      <c r="FF285" s="80">
        <v>7</v>
      </c>
      <c r="FG285" s="80">
        <v>0</v>
      </c>
      <c r="FH285" s="80">
        <v>7</v>
      </c>
      <c r="FI285" s="80">
        <v>0</v>
      </c>
      <c r="FJ285" s="80">
        <v>0</v>
      </c>
      <c r="FK285" s="80">
        <v>0</v>
      </c>
      <c r="FL285" s="80">
        <v>0</v>
      </c>
      <c r="FM285" s="80">
        <v>0</v>
      </c>
      <c r="FN285" s="80">
        <v>1209</v>
      </c>
      <c r="FO285" s="80">
        <v>166</v>
      </c>
      <c r="FP285" s="80">
        <v>2131</v>
      </c>
      <c r="FQ285" s="80">
        <v>22635</v>
      </c>
      <c r="FR285" s="80">
        <v>0</v>
      </c>
      <c r="FS285" s="80">
        <v>1465</v>
      </c>
      <c r="FT285" s="100">
        <v>12398.587625019769</v>
      </c>
      <c r="FU285" s="100"/>
      <c r="FV285" s="100">
        <v>7563</v>
      </c>
      <c r="FW285" s="67">
        <v>940</v>
      </c>
      <c r="FX285" s="100">
        <f t="shared" si="25"/>
        <v>-7147</v>
      </c>
      <c r="FY285" s="100">
        <f t="shared" si="26"/>
        <v>-15467</v>
      </c>
      <c r="FZ285" s="100">
        <v>11516.647353422022</v>
      </c>
      <c r="GA285" s="67">
        <v>8320</v>
      </c>
      <c r="GB285" s="58">
        <f t="shared" si="23"/>
        <v>757</v>
      </c>
      <c r="GC285" s="67">
        <v>940</v>
      </c>
      <c r="GD285" s="100">
        <v>1114</v>
      </c>
      <c r="GE285" s="100">
        <v>641</v>
      </c>
      <c r="GF285" s="58">
        <f t="shared" si="24"/>
        <v>473</v>
      </c>
      <c r="GG285" s="100">
        <v>-3160.998</v>
      </c>
      <c r="GH285" s="100">
        <v>-322.89570000000009</v>
      </c>
      <c r="GI285" s="100">
        <v>-8203.6455971930991</v>
      </c>
      <c r="GJ285" s="67">
        <f t="shared" si="27"/>
        <v>0</v>
      </c>
      <c r="GK285" s="67"/>
      <c r="GM285" s="96"/>
    </row>
    <row r="286" spans="1:195" ht="13.5" customHeight="1" x14ac:dyDescent="0.2">
      <c r="A286" s="74">
        <v>92</v>
      </c>
      <c r="B286" s="75" t="s">
        <v>316</v>
      </c>
      <c r="C286" s="82" t="s">
        <v>316</v>
      </c>
      <c r="D286" s="76"/>
      <c r="E286" s="77" t="s">
        <v>218</v>
      </c>
      <c r="F286" s="78">
        <v>7</v>
      </c>
      <c r="G286" s="79">
        <v>214605</v>
      </c>
      <c r="H286" s="80">
        <v>274391</v>
      </c>
      <c r="I286" s="80">
        <v>67700</v>
      </c>
      <c r="J286" s="80">
        <v>100055</v>
      </c>
      <c r="K286" s="80">
        <v>41954</v>
      </c>
      <c r="L286" s="80">
        <v>64682</v>
      </c>
      <c r="M286" s="80">
        <v>0</v>
      </c>
      <c r="N286" s="80">
        <v>109842</v>
      </c>
      <c r="O286" s="80">
        <v>1399831</v>
      </c>
      <c r="P286" s="80">
        <v>486177</v>
      </c>
      <c r="Q286" s="80">
        <v>371723</v>
      </c>
      <c r="R286" s="80">
        <v>114454</v>
      </c>
      <c r="S286" s="80">
        <v>93872</v>
      </c>
      <c r="T286" s="80">
        <v>20582</v>
      </c>
      <c r="U286" s="80">
        <v>698005</v>
      </c>
      <c r="V286" s="80">
        <v>49465</v>
      </c>
      <c r="W286" s="80">
        <v>119253</v>
      </c>
      <c r="X286" s="80">
        <v>46931</v>
      </c>
      <c r="Y286" s="80">
        <v>-1015598</v>
      </c>
      <c r="Z286" s="80">
        <v>934027</v>
      </c>
      <c r="AA286" s="80">
        <v>786218</v>
      </c>
      <c r="AB286" s="80">
        <v>75658</v>
      </c>
      <c r="AC286" s="80">
        <v>72151</v>
      </c>
      <c r="AD286" s="80">
        <v>150502</v>
      </c>
      <c r="AE286" s="80">
        <v>29504</v>
      </c>
      <c r="AF286" s="80">
        <v>14646</v>
      </c>
      <c r="AG286" s="80">
        <v>21070</v>
      </c>
      <c r="AH286" s="80">
        <v>18454</v>
      </c>
      <c r="AI286" s="80">
        <v>5861</v>
      </c>
      <c r="AJ286" s="80">
        <v>351</v>
      </c>
      <c r="AK286" s="80">
        <v>98435</v>
      </c>
      <c r="AL286" s="80">
        <v>98084</v>
      </c>
      <c r="AM286" s="80">
        <v>93318</v>
      </c>
      <c r="AN286" s="80">
        <v>4766</v>
      </c>
      <c r="AO286" s="80">
        <v>1000</v>
      </c>
      <c r="AP286" s="80">
        <v>1000</v>
      </c>
      <c r="AQ286" s="80">
        <v>0</v>
      </c>
      <c r="AR286" s="80">
        <v>1351</v>
      </c>
      <c r="AS286" s="80">
        <v>-893</v>
      </c>
      <c r="AT286" s="80">
        <v>-81</v>
      </c>
      <c r="AU286" s="80">
        <v>285</v>
      </c>
      <c r="AV286" s="80">
        <v>662</v>
      </c>
      <c r="AW286" s="81"/>
      <c r="AX286" s="80">
        <v>62101</v>
      </c>
      <c r="AY286" s="80">
        <v>98435</v>
      </c>
      <c r="AZ286" s="80">
        <v>1000</v>
      </c>
      <c r="BA286" s="80">
        <v>-37334</v>
      </c>
      <c r="BB286" s="80">
        <v>-98694</v>
      </c>
      <c r="BC286" s="80">
        <v>152836</v>
      </c>
      <c r="BD286" s="80">
        <v>5767</v>
      </c>
      <c r="BE286" s="80">
        <v>48375</v>
      </c>
      <c r="BF286" s="80">
        <v>-36593</v>
      </c>
      <c r="BG286" s="80">
        <v>12054</v>
      </c>
      <c r="BH286" s="80">
        <v>-621</v>
      </c>
      <c r="BI286" s="80">
        <v>2977</v>
      </c>
      <c r="BJ286" s="80">
        <v>2356</v>
      </c>
      <c r="BK286" s="80">
        <v>22089</v>
      </c>
      <c r="BL286" s="80">
        <v>152000</v>
      </c>
      <c r="BM286" s="80">
        <v>136864</v>
      </c>
      <c r="BN286" s="80">
        <v>6953</v>
      </c>
      <c r="BO286" s="80">
        <v>10045</v>
      </c>
      <c r="BP286" s="80">
        <v>-19459</v>
      </c>
      <c r="BQ286" s="80">
        <v>-95</v>
      </c>
      <c r="BR286" s="80">
        <v>-10591</v>
      </c>
      <c r="BS286" s="80">
        <v>-10550</v>
      </c>
      <c r="BT286" s="80">
        <v>1777</v>
      </c>
      <c r="BU286" s="80">
        <v>-24539</v>
      </c>
      <c r="BV286" s="80">
        <v>166159</v>
      </c>
      <c r="BW286" s="80">
        <v>190698</v>
      </c>
      <c r="BX286" s="81"/>
      <c r="BY286" s="80">
        <v>1859860</v>
      </c>
      <c r="BZ286" s="80">
        <v>93594</v>
      </c>
      <c r="CA286" s="80">
        <v>3423</v>
      </c>
      <c r="CB286" s="80">
        <v>90171</v>
      </c>
      <c r="CC286" s="80">
        <v>0</v>
      </c>
      <c r="CD286" s="80">
        <v>1161890</v>
      </c>
      <c r="CE286" s="80">
        <v>243801</v>
      </c>
      <c r="CF286" s="80">
        <v>560486</v>
      </c>
      <c r="CG286" s="80">
        <v>304654</v>
      </c>
      <c r="CH286" s="80">
        <v>16451</v>
      </c>
      <c r="CI286" s="80">
        <v>317</v>
      </c>
      <c r="CJ286" s="80">
        <v>317</v>
      </c>
      <c r="CK286" s="80">
        <v>36181</v>
      </c>
      <c r="CL286" s="80">
        <v>604376</v>
      </c>
      <c r="CM286" s="80">
        <v>310230</v>
      </c>
      <c r="CN286" s="80">
        <v>148040</v>
      </c>
      <c r="CO286" s="80">
        <v>162190</v>
      </c>
      <c r="CP286" s="80">
        <v>0</v>
      </c>
      <c r="CQ286" s="80">
        <v>293759</v>
      </c>
      <c r="CR286" s="80">
        <v>0</v>
      </c>
      <c r="CS286" s="80">
        <v>234783</v>
      </c>
      <c r="CT286" s="80">
        <v>58976</v>
      </c>
      <c r="CU286" s="80">
        <v>387</v>
      </c>
      <c r="CV286" s="80">
        <v>2139</v>
      </c>
      <c r="CW286" s="80">
        <v>2135</v>
      </c>
      <c r="CX286" s="80">
        <v>4</v>
      </c>
      <c r="CY286" s="80">
        <v>0</v>
      </c>
      <c r="CZ286" s="80">
        <v>301116</v>
      </c>
      <c r="DA286" s="80">
        <v>39145</v>
      </c>
      <c r="DB286" s="80">
        <v>804</v>
      </c>
      <c r="DC286" s="80">
        <v>0</v>
      </c>
      <c r="DD286" s="80">
        <v>0</v>
      </c>
      <c r="DE286" s="80">
        <v>38341</v>
      </c>
      <c r="DF286" s="80">
        <v>0</v>
      </c>
      <c r="DG286" s="80">
        <v>95812</v>
      </c>
      <c r="DH286" s="80">
        <v>14059</v>
      </c>
      <c r="DI286" s="80">
        <v>0</v>
      </c>
      <c r="DJ286" s="80">
        <v>339</v>
      </c>
      <c r="DK286" s="80">
        <v>0</v>
      </c>
      <c r="DL286" s="80">
        <v>13720</v>
      </c>
      <c r="DM286" s="80">
        <v>81753</v>
      </c>
      <c r="DN286" s="80">
        <v>28568</v>
      </c>
      <c r="DO286" s="80">
        <v>12313</v>
      </c>
      <c r="DP286" s="80">
        <v>19661</v>
      </c>
      <c r="DQ286" s="80">
        <v>21211</v>
      </c>
      <c r="DR286" s="80">
        <v>1086</v>
      </c>
      <c r="DS286" s="80">
        <v>1086</v>
      </c>
      <c r="DT286" s="80">
        <v>0</v>
      </c>
      <c r="DU286" s="80">
        <v>0</v>
      </c>
      <c r="DV286" s="80">
        <v>0</v>
      </c>
      <c r="DW286" s="80">
        <v>165073</v>
      </c>
      <c r="DX286" s="80">
        <v>2163115</v>
      </c>
      <c r="DY286" s="80">
        <v>834954</v>
      </c>
      <c r="DZ286" s="80">
        <v>349118</v>
      </c>
      <c r="EA286" s="80">
        <v>0</v>
      </c>
      <c r="EB286" s="80">
        <v>122975</v>
      </c>
      <c r="EC286" s="80">
        <v>362199</v>
      </c>
      <c r="ED286" s="80">
        <v>662</v>
      </c>
      <c r="EE286" s="80">
        <v>3547</v>
      </c>
      <c r="EF286" s="80">
        <v>1210</v>
      </c>
      <c r="EG286" s="80">
        <v>2337</v>
      </c>
      <c r="EH286" s="80">
        <v>8891</v>
      </c>
      <c r="EI286" s="80">
        <v>438</v>
      </c>
      <c r="EJ286" s="80">
        <v>8453</v>
      </c>
      <c r="EK286" s="80">
        <v>2688</v>
      </c>
      <c r="EL286" s="80">
        <v>2274</v>
      </c>
      <c r="EM286" s="80">
        <v>414</v>
      </c>
      <c r="EN286" s="80">
        <v>0</v>
      </c>
      <c r="EO286" s="80">
        <v>1313035</v>
      </c>
      <c r="EP286" s="80">
        <v>980206</v>
      </c>
      <c r="EQ286" s="80">
        <v>211567</v>
      </c>
      <c r="ER286" s="80">
        <v>762418</v>
      </c>
      <c r="ES286" s="80">
        <v>60000</v>
      </c>
      <c r="ET286" s="80">
        <v>242910</v>
      </c>
      <c r="EU286" s="80">
        <v>0</v>
      </c>
      <c r="EV286" s="80">
        <v>459508</v>
      </c>
      <c r="EW286" s="80">
        <v>6221</v>
      </c>
      <c r="EX286" s="80">
        <v>0</v>
      </c>
      <c r="EY286" s="80">
        <v>0</v>
      </c>
      <c r="EZ286" s="80">
        <v>0</v>
      </c>
      <c r="FA286" s="80">
        <v>0</v>
      </c>
      <c r="FB286" s="80">
        <v>0</v>
      </c>
      <c r="FC286" s="80">
        <v>0</v>
      </c>
      <c r="FD286" s="80">
        <v>332829</v>
      </c>
      <c r="FE286" s="80">
        <v>5733</v>
      </c>
      <c r="FF286" s="80">
        <v>91570</v>
      </c>
      <c r="FG286" s="80">
        <v>70000</v>
      </c>
      <c r="FH286" s="80">
        <v>989</v>
      </c>
      <c r="FI286" s="80">
        <v>0</v>
      </c>
      <c r="FJ286" s="80">
        <v>20581</v>
      </c>
      <c r="FK286" s="80">
        <v>517</v>
      </c>
      <c r="FL286" s="80">
        <v>62039</v>
      </c>
      <c r="FM286" s="80">
        <v>23784</v>
      </c>
      <c r="FN286" s="80">
        <v>63108</v>
      </c>
      <c r="FO286" s="80">
        <v>20465</v>
      </c>
      <c r="FP286" s="80">
        <v>65613</v>
      </c>
      <c r="FQ286" s="80">
        <v>2163115</v>
      </c>
      <c r="FR286" s="80">
        <v>407112</v>
      </c>
      <c r="FS286" s="80">
        <v>16891</v>
      </c>
      <c r="FT286" s="100">
        <v>785746.36462916946</v>
      </c>
      <c r="FU286" s="100"/>
      <c r="FV286" s="100">
        <v>334144</v>
      </c>
      <c r="FW286" s="67">
        <v>95483</v>
      </c>
      <c r="FX286" s="100">
        <f t="shared" si="25"/>
        <v>-472457</v>
      </c>
      <c r="FY286" s="100">
        <f t="shared" si="26"/>
        <v>-917514</v>
      </c>
      <c r="FZ286" s="100">
        <v>608058.16128644615</v>
      </c>
      <c r="GA286" s="67">
        <v>445057</v>
      </c>
      <c r="GB286" s="58">
        <f t="shared" si="23"/>
        <v>110913</v>
      </c>
      <c r="GC286" s="67">
        <v>98084</v>
      </c>
      <c r="GD286" s="100">
        <v>98103</v>
      </c>
      <c r="GE286" s="100">
        <v>60268</v>
      </c>
      <c r="GF286" s="58">
        <f t="shared" si="24"/>
        <v>37835</v>
      </c>
      <c r="GG286" s="100">
        <v>-506068.59099999996</v>
      </c>
      <c r="GH286" s="100">
        <v>-21514.098900000015</v>
      </c>
      <c r="GI286" s="100">
        <v>-70907.980142107102</v>
      </c>
      <c r="GJ286" s="67">
        <f t="shared" si="27"/>
        <v>2601</v>
      </c>
      <c r="GK286" s="67"/>
      <c r="GM286" s="96"/>
    </row>
    <row r="287" spans="1:195" ht="13.5" customHeight="1" x14ac:dyDescent="0.2">
      <c r="A287" s="74">
        <v>915</v>
      </c>
      <c r="B287" s="75" t="s">
        <v>200</v>
      </c>
      <c r="C287" s="75" t="s">
        <v>200</v>
      </c>
      <c r="D287" s="76"/>
      <c r="E287" s="77" t="s">
        <v>239</v>
      </c>
      <c r="F287" s="78">
        <v>5</v>
      </c>
      <c r="G287" s="79">
        <v>21638</v>
      </c>
      <c r="H287" s="80">
        <v>48827</v>
      </c>
      <c r="I287" s="80">
        <v>30554</v>
      </c>
      <c r="J287" s="80">
        <v>9745</v>
      </c>
      <c r="K287" s="80">
        <v>3606</v>
      </c>
      <c r="L287" s="80">
        <v>4922</v>
      </c>
      <c r="M287" s="80">
        <v>0</v>
      </c>
      <c r="N287" s="80">
        <v>338</v>
      </c>
      <c r="O287" s="80">
        <v>169163</v>
      </c>
      <c r="P287" s="80">
        <v>78482</v>
      </c>
      <c r="Q287" s="80">
        <v>59169</v>
      </c>
      <c r="R287" s="80">
        <v>19313</v>
      </c>
      <c r="S287" s="80">
        <v>16322</v>
      </c>
      <c r="T287" s="80">
        <v>2991</v>
      </c>
      <c r="U287" s="80">
        <v>68217</v>
      </c>
      <c r="V287" s="80">
        <v>9001</v>
      </c>
      <c r="W287" s="80">
        <v>10011</v>
      </c>
      <c r="X287" s="80">
        <v>3452</v>
      </c>
      <c r="Y287" s="80">
        <v>-119998</v>
      </c>
      <c r="Z287" s="80">
        <v>80009</v>
      </c>
      <c r="AA287" s="80">
        <v>69485</v>
      </c>
      <c r="AB287" s="80">
        <v>5310</v>
      </c>
      <c r="AC287" s="80">
        <v>5214</v>
      </c>
      <c r="AD287" s="80">
        <v>46872</v>
      </c>
      <c r="AE287" s="80">
        <v>1402</v>
      </c>
      <c r="AF287" s="80">
        <v>858</v>
      </c>
      <c r="AG287" s="80">
        <v>1549</v>
      </c>
      <c r="AH287" s="80">
        <v>989</v>
      </c>
      <c r="AI287" s="80">
        <v>878</v>
      </c>
      <c r="AJ287" s="80">
        <v>127</v>
      </c>
      <c r="AK287" s="80">
        <v>8285</v>
      </c>
      <c r="AL287" s="80">
        <v>5048</v>
      </c>
      <c r="AM287" s="80">
        <v>5048</v>
      </c>
      <c r="AN287" s="80">
        <v>0</v>
      </c>
      <c r="AO287" s="80">
        <v>0</v>
      </c>
      <c r="AP287" s="80">
        <v>0</v>
      </c>
      <c r="AQ287" s="80">
        <v>0</v>
      </c>
      <c r="AR287" s="80">
        <v>3237</v>
      </c>
      <c r="AS287" s="80">
        <v>0</v>
      </c>
      <c r="AT287" s="80">
        <v>0</v>
      </c>
      <c r="AU287" s="80">
        <v>0</v>
      </c>
      <c r="AV287" s="80">
        <v>3237</v>
      </c>
      <c r="AW287" s="81"/>
      <c r="AX287" s="80">
        <v>7971</v>
      </c>
      <c r="AY287" s="80">
        <v>8285</v>
      </c>
      <c r="AZ287" s="80">
        <v>0</v>
      </c>
      <c r="BA287" s="80">
        <v>-314</v>
      </c>
      <c r="BB287" s="80">
        <v>-8882</v>
      </c>
      <c r="BC287" s="80">
        <v>9424</v>
      </c>
      <c r="BD287" s="80">
        <v>154</v>
      </c>
      <c r="BE287" s="80">
        <v>388</v>
      </c>
      <c r="BF287" s="80">
        <v>-911</v>
      </c>
      <c r="BG287" s="80">
        <v>879</v>
      </c>
      <c r="BH287" s="80">
        <v>2520</v>
      </c>
      <c r="BI287" s="80">
        <v>0</v>
      </c>
      <c r="BJ287" s="80">
        <v>2520</v>
      </c>
      <c r="BK287" s="80">
        <v>-1718</v>
      </c>
      <c r="BL287" s="80">
        <v>3000</v>
      </c>
      <c r="BM287" s="80">
        <v>4718</v>
      </c>
      <c r="BN287" s="80">
        <v>0</v>
      </c>
      <c r="BO287" s="80">
        <v>0</v>
      </c>
      <c r="BP287" s="80">
        <v>77</v>
      </c>
      <c r="BQ287" s="80">
        <v>6</v>
      </c>
      <c r="BR287" s="80">
        <v>35</v>
      </c>
      <c r="BS287" s="80">
        <v>-642</v>
      </c>
      <c r="BT287" s="80">
        <v>678</v>
      </c>
      <c r="BU287" s="80">
        <v>-32</v>
      </c>
      <c r="BV287" s="80">
        <v>6308</v>
      </c>
      <c r="BW287" s="80">
        <v>6340</v>
      </c>
      <c r="BX287" s="81"/>
      <c r="BY287" s="80">
        <v>181218</v>
      </c>
      <c r="BZ287" s="80">
        <v>685</v>
      </c>
      <c r="CA287" s="80">
        <v>662</v>
      </c>
      <c r="CB287" s="80">
        <v>23</v>
      </c>
      <c r="CC287" s="80">
        <v>0</v>
      </c>
      <c r="CD287" s="80">
        <v>89946</v>
      </c>
      <c r="CE287" s="80">
        <v>27408</v>
      </c>
      <c r="CF287" s="80">
        <v>50506</v>
      </c>
      <c r="CG287" s="80">
        <v>9434</v>
      </c>
      <c r="CH287" s="80">
        <v>2238</v>
      </c>
      <c r="CI287" s="80">
        <v>0</v>
      </c>
      <c r="CJ287" s="80">
        <v>0</v>
      </c>
      <c r="CK287" s="80">
        <v>360</v>
      </c>
      <c r="CL287" s="80">
        <v>90587</v>
      </c>
      <c r="CM287" s="80">
        <v>43908</v>
      </c>
      <c r="CN287" s="80">
        <v>15285</v>
      </c>
      <c r="CO287" s="80">
        <v>28623</v>
      </c>
      <c r="CP287" s="80">
        <v>0</v>
      </c>
      <c r="CQ287" s="80">
        <v>46646</v>
      </c>
      <c r="CR287" s="80">
        <v>0</v>
      </c>
      <c r="CS287" s="80">
        <v>0</v>
      </c>
      <c r="CT287" s="80">
        <v>46646</v>
      </c>
      <c r="CU287" s="80">
        <v>33</v>
      </c>
      <c r="CV287" s="80">
        <v>26</v>
      </c>
      <c r="CW287" s="80">
        <v>26</v>
      </c>
      <c r="CX287" s="80">
        <v>0</v>
      </c>
      <c r="CY287" s="80">
        <v>0</v>
      </c>
      <c r="CZ287" s="80">
        <v>13039</v>
      </c>
      <c r="DA287" s="80">
        <v>171</v>
      </c>
      <c r="DB287" s="80">
        <v>171</v>
      </c>
      <c r="DC287" s="80">
        <v>0</v>
      </c>
      <c r="DD287" s="80">
        <v>0</v>
      </c>
      <c r="DE287" s="80">
        <v>0</v>
      </c>
      <c r="DF287" s="80">
        <v>0</v>
      </c>
      <c r="DG287" s="80">
        <v>6560</v>
      </c>
      <c r="DH287" s="80">
        <v>10</v>
      </c>
      <c r="DI287" s="80">
        <v>0</v>
      </c>
      <c r="DJ287" s="80">
        <v>10</v>
      </c>
      <c r="DK287" s="80">
        <v>0</v>
      </c>
      <c r="DL287" s="80">
        <v>0</v>
      </c>
      <c r="DM287" s="80">
        <v>6550</v>
      </c>
      <c r="DN287" s="80">
        <v>3450</v>
      </c>
      <c r="DO287" s="80">
        <v>0</v>
      </c>
      <c r="DP287" s="80">
        <v>3100</v>
      </c>
      <c r="DQ287" s="80">
        <v>0</v>
      </c>
      <c r="DR287" s="80">
        <v>0</v>
      </c>
      <c r="DS287" s="80">
        <v>0</v>
      </c>
      <c r="DT287" s="80">
        <v>0</v>
      </c>
      <c r="DU287" s="80">
        <v>0</v>
      </c>
      <c r="DV287" s="80">
        <v>0</v>
      </c>
      <c r="DW287" s="80">
        <v>6308</v>
      </c>
      <c r="DX287" s="80">
        <v>194283</v>
      </c>
      <c r="DY287" s="80">
        <v>111177</v>
      </c>
      <c r="DZ287" s="80">
        <v>91232</v>
      </c>
      <c r="EA287" s="80">
        <v>0</v>
      </c>
      <c r="EB287" s="80">
        <v>948</v>
      </c>
      <c r="EC287" s="80">
        <v>15760</v>
      </c>
      <c r="ED287" s="80">
        <v>3237</v>
      </c>
      <c r="EE287" s="80">
        <v>10000</v>
      </c>
      <c r="EF287" s="80">
        <v>0</v>
      </c>
      <c r="EG287" s="80">
        <v>10000</v>
      </c>
      <c r="EH287" s="80">
        <v>1193</v>
      </c>
      <c r="EI287" s="80">
        <v>14</v>
      </c>
      <c r="EJ287" s="80">
        <v>1179</v>
      </c>
      <c r="EK287" s="80">
        <v>30</v>
      </c>
      <c r="EL287" s="80">
        <v>30</v>
      </c>
      <c r="EM287" s="80">
        <v>0</v>
      </c>
      <c r="EN287" s="80">
        <v>0</v>
      </c>
      <c r="EO287" s="80">
        <v>71883</v>
      </c>
      <c r="EP287" s="80">
        <v>46638</v>
      </c>
      <c r="EQ287" s="80">
        <v>0</v>
      </c>
      <c r="ER287" s="80">
        <v>46621</v>
      </c>
      <c r="ES287" s="80">
        <v>13934</v>
      </c>
      <c r="ET287" s="80">
        <v>32687</v>
      </c>
      <c r="EU287" s="80">
        <v>0</v>
      </c>
      <c r="EV287" s="80">
        <v>0</v>
      </c>
      <c r="EW287" s="80">
        <v>0</v>
      </c>
      <c r="EX287" s="80">
        <v>0</v>
      </c>
      <c r="EY287" s="80">
        <v>0</v>
      </c>
      <c r="EZ287" s="80">
        <v>0</v>
      </c>
      <c r="FA287" s="80">
        <v>17</v>
      </c>
      <c r="FB287" s="80">
        <v>0</v>
      </c>
      <c r="FC287" s="80">
        <v>0</v>
      </c>
      <c r="FD287" s="80">
        <v>25245</v>
      </c>
      <c r="FE287" s="80">
        <v>0</v>
      </c>
      <c r="FF287" s="80">
        <v>4717</v>
      </c>
      <c r="FG287" s="80">
        <v>2182</v>
      </c>
      <c r="FH287" s="80">
        <v>2535</v>
      </c>
      <c r="FI287" s="80">
        <v>0</v>
      </c>
      <c r="FJ287" s="80">
        <v>0</v>
      </c>
      <c r="FK287" s="80">
        <v>0</v>
      </c>
      <c r="FL287" s="80">
        <v>0</v>
      </c>
      <c r="FM287" s="80">
        <v>13</v>
      </c>
      <c r="FN287" s="80">
        <v>8574</v>
      </c>
      <c r="FO287" s="80">
        <v>2711</v>
      </c>
      <c r="FP287" s="80">
        <v>9230</v>
      </c>
      <c r="FQ287" s="80">
        <v>194283</v>
      </c>
      <c r="FR287" s="80">
        <v>65081</v>
      </c>
      <c r="FS287" s="80">
        <v>854</v>
      </c>
      <c r="FT287" s="100">
        <v>70107.842349000362</v>
      </c>
      <c r="FU287" s="100"/>
      <c r="FV287" s="100">
        <v>30244</v>
      </c>
      <c r="FW287" s="67">
        <v>4449</v>
      </c>
      <c r="FX287" s="100">
        <f t="shared" si="25"/>
        <v>-39819</v>
      </c>
      <c r="FY287" s="100">
        <f t="shared" si="26"/>
        <v>-114950</v>
      </c>
      <c r="FZ287" s="100">
        <v>80146.353617550354</v>
      </c>
      <c r="GA287" s="67">
        <v>75131</v>
      </c>
      <c r="GB287" s="58">
        <f t="shared" si="23"/>
        <v>44887</v>
      </c>
      <c r="GC287" s="67">
        <v>5048</v>
      </c>
      <c r="GD287" s="100">
        <v>9747</v>
      </c>
      <c r="GE287" s="100">
        <v>1707</v>
      </c>
      <c r="GF287" s="58">
        <f t="shared" si="24"/>
        <v>8040</v>
      </c>
      <c r="GG287" s="100">
        <v>-40832.669000000002</v>
      </c>
      <c r="GH287" s="100">
        <v>-1289.6837000000003</v>
      </c>
      <c r="GI287" s="100">
        <v>-39300.762973620011</v>
      </c>
      <c r="GJ287" s="67">
        <f t="shared" si="27"/>
        <v>599</v>
      </c>
      <c r="GK287" s="67"/>
      <c r="GM287" s="96"/>
    </row>
    <row r="288" spans="1:195" ht="13.5" customHeight="1" x14ac:dyDescent="0.2">
      <c r="A288" s="74">
        <v>905</v>
      </c>
      <c r="B288" s="75" t="s">
        <v>315</v>
      </c>
      <c r="C288" s="82" t="s">
        <v>315</v>
      </c>
      <c r="D288" s="76"/>
      <c r="E288" s="77" t="s">
        <v>248</v>
      </c>
      <c r="F288" s="78">
        <v>6</v>
      </c>
      <c r="G288" s="79">
        <v>67619</v>
      </c>
      <c r="H288" s="80">
        <v>121024</v>
      </c>
      <c r="I288" s="80">
        <v>57712</v>
      </c>
      <c r="J288" s="80">
        <v>27951</v>
      </c>
      <c r="K288" s="80">
        <v>14702</v>
      </c>
      <c r="L288" s="80">
        <v>20659</v>
      </c>
      <c r="M288" s="80">
        <v>0</v>
      </c>
      <c r="N288" s="80">
        <v>2474</v>
      </c>
      <c r="O288" s="80">
        <v>500499</v>
      </c>
      <c r="P288" s="80">
        <v>252974</v>
      </c>
      <c r="Q288" s="80">
        <v>196635</v>
      </c>
      <c r="R288" s="80">
        <v>56339</v>
      </c>
      <c r="S288" s="80">
        <v>45146</v>
      </c>
      <c r="T288" s="80">
        <v>11193</v>
      </c>
      <c r="U288" s="80">
        <v>177340</v>
      </c>
      <c r="V288" s="80">
        <v>27131</v>
      </c>
      <c r="W288" s="80">
        <v>32945</v>
      </c>
      <c r="X288" s="80">
        <v>10109</v>
      </c>
      <c r="Y288" s="80">
        <v>-377001</v>
      </c>
      <c r="Z288" s="80">
        <v>278217</v>
      </c>
      <c r="AA288" s="80">
        <v>227656</v>
      </c>
      <c r="AB288" s="80">
        <v>31282</v>
      </c>
      <c r="AC288" s="80">
        <v>19279</v>
      </c>
      <c r="AD288" s="80">
        <v>99697</v>
      </c>
      <c r="AE288" s="80">
        <v>10679</v>
      </c>
      <c r="AF288" s="80">
        <v>757</v>
      </c>
      <c r="AG288" s="80">
        <v>13094</v>
      </c>
      <c r="AH288" s="80">
        <v>12207</v>
      </c>
      <c r="AI288" s="80">
        <v>2962</v>
      </c>
      <c r="AJ288" s="80">
        <v>210</v>
      </c>
      <c r="AK288" s="80">
        <v>11592</v>
      </c>
      <c r="AL288" s="80">
        <v>30908</v>
      </c>
      <c r="AM288" s="80">
        <v>30858</v>
      </c>
      <c r="AN288" s="80">
        <v>50</v>
      </c>
      <c r="AO288" s="80">
        <v>0</v>
      </c>
      <c r="AP288" s="80">
        <v>0</v>
      </c>
      <c r="AQ288" s="80">
        <v>0</v>
      </c>
      <c r="AR288" s="80">
        <v>-19316</v>
      </c>
      <c r="AS288" s="80">
        <v>-965</v>
      </c>
      <c r="AT288" s="80">
        <v>2400</v>
      </c>
      <c r="AU288" s="80">
        <v>313</v>
      </c>
      <c r="AV288" s="80">
        <v>-17568</v>
      </c>
      <c r="AW288" s="81"/>
      <c r="AX288" s="80">
        <v>8051</v>
      </c>
      <c r="AY288" s="80">
        <v>11592</v>
      </c>
      <c r="AZ288" s="80">
        <v>0</v>
      </c>
      <c r="BA288" s="80">
        <v>-3541</v>
      </c>
      <c r="BB288" s="80">
        <v>-38765</v>
      </c>
      <c r="BC288" s="80">
        <v>46046</v>
      </c>
      <c r="BD288" s="80">
        <v>2862</v>
      </c>
      <c r="BE288" s="80">
        <v>4419</v>
      </c>
      <c r="BF288" s="80">
        <v>-30714</v>
      </c>
      <c r="BG288" s="80">
        <v>34517</v>
      </c>
      <c r="BH288" s="80">
        <v>187</v>
      </c>
      <c r="BI288" s="80">
        <v>21</v>
      </c>
      <c r="BJ288" s="80">
        <v>208</v>
      </c>
      <c r="BK288" s="80">
        <v>34489</v>
      </c>
      <c r="BL288" s="80">
        <v>40000</v>
      </c>
      <c r="BM288" s="80">
        <v>24263</v>
      </c>
      <c r="BN288" s="80">
        <v>18752</v>
      </c>
      <c r="BO288" s="80">
        <v>0</v>
      </c>
      <c r="BP288" s="80">
        <v>-159</v>
      </c>
      <c r="BQ288" s="80">
        <v>-124</v>
      </c>
      <c r="BR288" s="80">
        <v>-140</v>
      </c>
      <c r="BS288" s="80">
        <v>-246</v>
      </c>
      <c r="BT288" s="80">
        <v>351</v>
      </c>
      <c r="BU288" s="80">
        <v>3803</v>
      </c>
      <c r="BV288" s="80">
        <v>12529</v>
      </c>
      <c r="BW288" s="80">
        <v>8726</v>
      </c>
      <c r="BX288" s="81"/>
      <c r="BY288" s="80">
        <v>589085</v>
      </c>
      <c r="BZ288" s="80">
        <v>14850</v>
      </c>
      <c r="CA288" s="80">
        <v>0</v>
      </c>
      <c r="CB288" s="80">
        <v>14850</v>
      </c>
      <c r="CC288" s="80">
        <v>0</v>
      </c>
      <c r="CD288" s="80">
        <v>467104</v>
      </c>
      <c r="CE288" s="80">
        <v>165028</v>
      </c>
      <c r="CF288" s="80">
        <v>186771</v>
      </c>
      <c r="CG288" s="80">
        <v>87434</v>
      </c>
      <c r="CH288" s="80">
        <v>16391</v>
      </c>
      <c r="CI288" s="80">
        <v>0</v>
      </c>
      <c r="CJ288" s="80">
        <v>0</v>
      </c>
      <c r="CK288" s="80">
        <v>11480</v>
      </c>
      <c r="CL288" s="80">
        <v>107131</v>
      </c>
      <c r="CM288" s="80">
        <v>87450</v>
      </c>
      <c r="CN288" s="80">
        <v>41951</v>
      </c>
      <c r="CO288" s="80">
        <v>45499</v>
      </c>
      <c r="CP288" s="80">
        <v>0</v>
      </c>
      <c r="CQ288" s="80">
        <v>17603</v>
      </c>
      <c r="CR288" s="80">
        <v>0</v>
      </c>
      <c r="CS288" s="80">
        <v>0</v>
      </c>
      <c r="CT288" s="80">
        <v>17603</v>
      </c>
      <c r="CU288" s="80">
        <v>2078</v>
      </c>
      <c r="CV288" s="80">
        <v>22651</v>
      </c>
      <c r="CW288" s="80">
        <v>0</v>
      </c>
      <c r="CX288" s="80">
        <v>22420</v>
      </c>
      <c r="CY288" s="80">
        <v>231</v>
      </c>
      <c r="CZ288" s="80">
        <v>47469</v>
      </c>
      <c r="DA288" s="80">
        <v>2547</v>
      </c>
      <c r="DB288" s="80">
        <v>549</v>
      </c>
      <c r="DC288" s="80">
        <v>1989</v>
      </c>
      <c r="DD288" s="80">
        <v>9</v>
      </c>
      <c r="DE288" s="80">
        <v>0</v>
      </c>
      <c r="DF288" s="80">
        <v>0</v>
      </c>
      <c r="DG288" s="80">
        <v>32393</v>
      </c>
      <c r="DH288" s="80">
        <v>2019</v>
      </c>
      <c r="DI288" s="80">
        <v>0</v>
      </c>
      <c r="DJ288" s="80">
        <v>0</v>
      </c>
      <c r="DK288" s="80">
        <v>11</v>
      </c>
      <c r="DL288" s="80">
        <v>2008</v>
      </c>
      <c r="DM288" s="80">
        <v>30374</v>
      </c>
      <c r="DN288" s="80">
        <v>15224</v>
      </c>
      <c r="DO288" s="80">
        <v>5216</v>
      </c>
      <c r="DP288" s="80">
        <v>7432</v>
      </c>
      <c r="DQ288" s="80">
        <v>2502</v>
      </c>
      <c r="DR288" s="80">
        <v>2236</v>
      </c>
      <c r="DS288" s="80">
        <v>0</v>
      </c>
      <c r="DT288" s="80">
        <v>2236</v>
      </c>
      <c r="DU288" s="80">
        <v>0</v>
      </c>
      <c r="DV288" s="80">
        <v>0</v>
      </c>
      <c r="DW288" s="80">
        <v>10293</v>
      </c>
      <c r="DX288" s="80">
        <v>659205</v>
      </c>
      <c r="DY288" s="80">
        <v>303691</v>
      </c>
      <c r="DZ288" s="80">
        <v>191910</v>
      </c>
      <c r="EA288" s="80">
        <v>122626</v>
      </c>
      <c r="EB288" s="80">
        <v>10438</v>
      </c>
      <c r="EC288" s="80">
        <v>-3715</v>
      </c>
      <c r="ED288" s="80">
        <v>-17568</v>
      </c>
      <c r="EE288" s="80">
        <v>6048</v>
      </c>
      <c r="EF288" s="80">
        <v>5988</v>
      </c>
      <c r="EG288" s="80">
        <v>60</v>
      </c>
      <c r="EH288" s="80">
        <v>4443</v>
      </c>
      <c r="EI288" s="80">
        <v>878</v>
      </c>
      <c r="EJ288" s="80">
        <v>3565</v>
      </c>
      <c r="EK288" s="80">
        <v>23043</v>
      </c>
      <c r="EL288" s="80">
        <v>96</v>
      </c>
      <c r="EM288" s="80">
        <v>22513</v>
      </c>
      <c r="EN288" s="80">
        <v>434</v>
      </c>
      <c r="EO288" s="80">
        <v>321980</v>
      </c>
      <c r="EP288" s="80">
        <v>194322</v>
      </c>
      <c r="EQ288" s="80">
        <v>40000</v>
      </c>
      <c r="ER288" s="80">
        <v>149163</v>
      </c>
      <c r="ES288" s="80">
        <v>47186</v>
      </c>
      <c r="ET288" s="80">
        <v>76877</v>
      </c>
      <c r="EU288" s="80">
        <v>0</v>
      </c>
      <c r="EV288" s="80">
        <v>25100</v>
      </c>
      <c r="EW288" s="80">
        <v>1400</v>
      </c>
      <c r="EX288" s="80">
        <v>0</v>
      </c>
      <c r="EY288" s="80">
        <v>0</v>
      </c>
      <c r="EZ288" s="80">
        <v>0</v>
      </c>
      <c r="FA288" s="80">
        <v>3759</v>
      </c>
      <c r="FB288" s="80">
        <v>0</v>
      </c>
      <c r="FC288" s="80">
        <v>0</v>
      </c>
      <c r="FD288" s="80">
        <v>127658</v>
      </c>
      <c r="FE288" s="80">
        <v>0</v>
      </c>
      <c r="FF288" s="80">
        <v>55301</v>
      </c>
      <c r="FG288" s="80">
        <v>20242</v>
      </c>
      <c r="FH288" s="80">
        <v>31259</v>
      </c>
      <c r="FI288" s="80">
        <v>0</v>
      </c>
      <c r="FJ288" s="80">
        <v>3800</v>
      </c>
      <c r="FK288" s="80">
        <v>350</v>
      </c>
      <c r="FL288" s="80">
        <v>1133</v>
      </c>
      <c r="FM288" s="80">
        <v>2636</v>
      </c>
      <c r="FN288" s="80">
        <v>20365</v>
      </c>
      <c r="FO288" s="80">
        <v>9679</v>
      </c>
      <c r="FP288" s="80">
        <v>38194</v>
      </c>
      <c r="FQ288" s="80">
        <v>659205</v>
      </c>
      <c r="FR288" s="80">
        <v>109320</v>
      </c>
      <c r="FS288" s="80">
        <v>31117</v>
      </c>
      <c r="FT288" s="100">
        <v>295983.28212117765</v>
      </c>
      <c r="FU288" s="100"/>
      <c r="FV288" s="100">
        <v>145616</v>
      </c>
      <c r="FW288" s="67">
        <v>29352</v>
      </c>
      <c r="FX288" s="100">
        <f t="shared" si="25"/>
        <v>-145720</v>
      </c>
      <c r="FY288" s="100">
        <f t="shared" si="26"/>
        <v>-346093</v>
      </c>
      <c r="FZ288" s="100">
        <v>234827.91259904881</v>
      </c>
      <c r="GA288" s="67">
        <v>200373</v>
      </c>
      <c r="GB288" s="58">
        <f t="shared" si="23"/>
        <v>54757</v>
      </c>
      <c r="GC288" s="67">
        <v>30904</v>
      </c>
      <c r="GD288" s="100">
        <v>28076</v>
      </c>
      <c r="GE288" s="100">
        <v>13641</v>
      </c>
      <c r="GF288" s="58">
        <f t="shared" si="24"/>
        <v>14435</v>
      </c>
      <c r="GG288" s="100">
        <v>-139805.46400000001</v>
      </c>
      <c r="GH288" s="100">
        <v>-10086.785400000002</v>
      </c>
      <c r="GI288" s="100">
        <v>-83774.998075105686</v>
      </c>
      <c r="GJ288" s="67">
        <f t="shared" si="27"/>
        <v>1552</v>
      </c>
      <c r="GK288" s="67"/>
      <c r="GM288" s="96"/>
    </row>
    <row r="289" spans="1:195" ht="13.5" customHeight="1" x14ac:dyDescent="0.2">
      <c r="A289" s="74">
        <v>918</v>
      </c>
      <c r="B289" s="75" t="s">
        <v>201</v>
      </c>
      <c r="C289" s="75" t="s">
        <v>201</v>
      </c>
      <c r="D289" s="76"/>
      <c r="E289" s="77" t="s">
        <v>219</v>
      </c>
      <c r="F289" s="78">
        <v>2</v>
      </c>
      <c r="G289" s="79">
        <v>2276</v>
      </c>
      <c r="H289" s="80">
        <v>5479</v>
      </c>
      <c r="I289" s="80">
        <v>3494</v>
      </c>
      <c r="J289" s="80">
        <v>891</v>
      </c>
      <c r="K289" s="80">
        <v>248</v>
      </c>
      <c r="L289" s="80">
        <v>846</v>
      </c>
      <c r="M289" s="80">
        <v>0</v>
      </c>
      <c r="N289" s="80">
        <v>0</v>
      </c>
      <c r="O289" s="80">
        <v>18847</v>
      </c>
      <c r="P289" s="80">
        <v>7940</v>
      </c>
      <c r="Q289" s="80">
        <v>6074</v>
      </c>
      <c r="R289" s="80">
        <v>1866</v>
      </c>
      <c r="S289" s="80">
        <v>1514</v>
      </c>
      <c r="T289" s="80">
        <v>352</v>
      </c>
      <c r="U289" s="80">
        <v>8888</v>
      </c>
      <c r="V289" s="80">
        <v>935</v>
      </c>
      <c r="W289" s="80">
        <v>517</v>
      </c>
      <c r="X289" s="80">
        <v>567</v>
      </c>
      <c r="Y289" s="80">
        <v>-13368</v>
      </c>
      <c r="Z289" s="80">
        <v>7735</v>
      </c>
      <c r="AA289" s="80">
        <v>6672</v>
      </c>
      <c r="AB289" s="80">
        <v>362</v>
      </c>
      <c r="AC289" s="80">
        <v>701</v>
      </c>
      <c r="AD289" s="80">
        <v>5399</v>
      </c>
      <c r="AE289" s="80">
        <v>-120</v>
      </c>
      <c r="AF289" s="80">
        <v>0</v>
      </c>
      <c r="AG289" s="80">
        <v>6</v>
      </c>
      <c r="AH289" s="80">
        <v>4</v>
      </c>
      <c r="AI289" s="80">
        <v>126</v>
      </c>
      <c r="AJ289" s="80">
        <v>0</v>
      </c>
      <c r="AK289" s="80">
        <v>-354</v>
      </c>
      <c r="AL289" s="80">
        <v>391</v>
      </c>
      <c r="AM289" s="80">
        <v>391</v>
      </c>
      <c r="AN289" s="80">
        <v>0</v>
      </c>
      <c r="AO289" s="80">
        <v>-38</v>
      </c>
      <c r="AP289" s="80">
        <v>0</v>
      </c>
      <c r="AQ289" s="80">
        <v>38</v>
      </c>
      <c r="AR289" s="80">
        <v>-783</v>
      </c>
      <c r="AS289" s="80">
        <v>0</v>
      </c>
      <c r="AT289" s="80">
        <v>0</v>
      </c>
      <c r="AU289" s="80">
        <v>0</v>
      </c>
      <c r="AV289" s="80">
        <v>-783</v>
      </c>
      <c r="AW289" s="81"/>
      <c r="AX289" s="80">
        <v>-367</v>
      </c>
      <c r="AY289" s="80">
        <v>-354</v>
      </c>
      <c r="AZ289" s="80">
        <v>-38</v>
      </c>
      <c r="BA289" s="80">
        <v>25</v>
      </c>
      <c r="BB289" s="80">
        <v>-1019</v>
      </c>
      <c r="BC289" s="80">
        <v>1058</v>
      </c>
      <c r="BD289" s="80">
        <v>45</v>
      </c>
      <c r="BE289" s="80">
        <v>-6</v>
      </c>
      <c r="BF289" s="80">
        <v>-1386</v>
      </c>
      <c r="BG289" s="80">
        <v>1381</v>
      </c>
      <c r="BH289" s="80">
        <v>-19</v>
      </c>
      <c r="BI289" s="80">
        <v>19</v>
      </c>
      <c r="BJ289" s="80">
        <v>0</v>
      </c>
      <c r="BK289" s="80">
        <v>-364</v>
      </c>
      <c r="BL289" s="80">
        <v>0</v>
      </c>
      <c r="BM289" s="80">
        <v>364</v>
      </c>
      <c r="BN289" s="80">
        <v>0</v>
      </c>
      <c r="BO289" s="80">
        <v>0</v>
      </c>
      <c r="BP289" s="80">
        <v>1764</v>
      </c>
      <c r="BQ289" s="80">
        <v>-3</v>
      </c>
      <c r="BR289" s="80">
        <v>-4</v>
      </c>
      <c r="BS289" s="80">
        <v>-88</v>
      </c>
      <c r="BT289" s="80">
        <v>1859</v>
      </c>
      <c r="BU289" s="80">
        <v>-5</v>
      </c>
      <c r="BV289" s="80">
        <v>342</v>
      </c>
      <c r="BW289" s="80">
        <v>347</v>
      </c>
      <c r="BX289" s="81"/>
      <c r="BY289" s="80">
        <v>13638</v>
      </c>
      <c r="BZ289" s="80">
        <v>112</v>
      </c>
      <c r="CA289" s="80">
        <v>19</v>
      </c>
      <c r="CB289" s="80">
        <v>93</v>
      </c>
      <c r="CC289" s="80">
        <v>0</v>
      </c>
      <c r="CD289" s="80">
        <v>11438</v>
      </c>
      <c r="CE289" s="80">
        <v>1045</v>
      </c>
      <c r="CF289" s="80">
        <v>7144</v>
      </c>
      <c r="CG289" s="80">
        <v>1297</v>
      </c>
      <c r="CH289" s="80">
        <v>65</v>
      </c>
      <c r="CI289" s="80">
        <v>0</v>
      </c>
      <c r="CJ289" s="80">
        <v>0</v>
      </c>
      <c r="CK289" s="80">
        <v>1887</v>
      </c>
      <c r="CL289" s="80">
        <v>2088</v>
      </c>
      <c r="CM289" s="80">
        <v>1790</v>
      </c>
      <c r="CN289" s="80">
        <v>1628</v>
      </c>
      <c r="CO289" s="80">
        <v>162</v>
      </c>
      <c r="CP289" s="80">
        <v>0</v>
      </c>
      <c r="CQ289" s="80">
        <v>298</v>
      </c>
      <c r="CR289" s="80">
        <v>0</v>
      </c>
      <c r="CS289" s="80">
        <v>0</v>
      </c>
      <c r="CT289" s="80">
        <v>298</v>
      </c>
      <c r="CU289" s="80">
        <v>0</v>
      </c>
      <c r="CV289" s="80">
        <v>0</v>
      </c>
      <c r="CW289" s="80">
        <v>0</v>
      </c>
      <c r="CX289" s="80">
        <v>0</v>
      </c>
      <c r="CY289" s="80">
        <v>0</v>
      </c>
      <c r="CZ289" s="80">
        <v>1572</v>
      </c>
      <c r="DA289" s="80">
        <v>23</v>
      </c>
      <c r="DB289" s="80">
        <v>23</v>
      </c>
      <c r="DC289" s="80">
        <v>0</v>
      </c>
      <c r="DD289" s="80">
        <v>0</v>
      </c>
      <c r="DE289" s="80">
        <v>0</v>
      </c>
      <c r="DF289" s="80">
        <v>0</v>
      </c>
      <c r="DG289" s="80">
        <v>1207</v>
      </c>
      <c r="DH289" s="80">
        <v>104</v>
      </c>
      <c r="DI289" s="80">
        <v>0</v>
      </c>
      <c r="DJ289" s="80">
        <v>104</v>
      </c>
      <c r="DK289" s="80">
        <v>0</v>
      </c>
      <c r="DL289" s="80">
        <v>0</v>
      </c>
      <c r="DM289" s="80">
        <v>1103</v>
      </c>
      <c r="DN289" s="80">
        <v>473</v>
      </c>
      <c r="DO289" s="80">
        <v>0</v>
      </c>
      <c r="DP289" s="80">
        <v>66</v>
      </c>
      <c r="DQ289" s="80">
        <v>564</v>
      </c>
      <c r="DR289" s="80">
        <v>0</v>
      </c>
      <c r="DS289" s="80">
        <v>0</v>
      </c>
      <c r="DT289" s="80">
        <v>0</v>
      </c>
      <c r="DU289" s="80">
        <v>0</v>
      </c>
      <c r="DV289" s="80">
        <v>0</v>
      </c>
      <c r="DW289" s="80">
        <v>342</v>
      </c>
      <c r="DX289" s="80">
        <v>15210</v>
      </c>
      <c r="DY289" s="80">
        <v>5743</v>
      </c>
      <c r="DZ289" s="80">
        <v>5804</v>
      </c>
      <c r="EA289" s="80">
        <v>0</v>
      </c>
      <c r="EB289" s="80">
        <v>0</v>
      </c>
      <c r="EC289" s="80">
        <v>722</v>
      </c>
      <c r="ED289" s="80">
        <v>-783</v>
      </c>
      <c r="EE289" s="80">
        <v>0</v>
      </c>
      <c r="EF289" s="80">
        <v>0</v>
      </c>
      <c r="EG289" s="80">
        <v>0</v>
      </c>
      <c r="EH289" s="80">
        <v>0</v>
      </c>
      <c r="EI289" s="80">
        <v>0</v>
      </c>
      <c r="EJ289" s="80">
        <v>0</v>
      </c>
      <c r="EK289" s="80">
        <v>21</v>
      </c>
      <c r="EL289" s="80">
        <v>0</v>
      </c>
      <c r="EM289" s="80">
        <v>21</v>
      </c>
      <c r="EN289" s="80">
        <v>0</v>
      </c>
      <c r="EO289" s="80">
        <v>9446</v>
      </c>
      <c r="EP289" s="80">
        <v>4808</v>
      </c>
      <c r="EQ289" s="80">
        <v>0</v>
      </c>
      <c r="ER289" s="80">
        <v>4423</v>
      </c>
      <c r="ES289" s="80">
        <v>1808</v>
      </c>
      <c r="ET289" s="80">
        <v>2615</v>
      </c>
      <c r="EU289" s="80">
        <v>0</v>
      </c>
      <c r="EV289" s="80">
        <v>0</v>
      </c>
      <c r="EW289" s="80">
        <v>0</v>
      </c>
      <c r="EX289" s="80">
        <v>0</v>
      </c>
      <c r="EY289" s="80">
        <v>0</v>
      </c>
      <c r="EZ289" s="80">
        <v>0</v>
      </c>
      <c r="FA289" s="80">
        <v>385</v>
      </c>
      <c r="FB289" s="80">
        <v>0</v>
      </c>
      <c r="FC289" s="80">
        <v>0</v>
      </c>
      <c r="FD289" s="80">
        <v>4638</v>
      </c>
      <c r="FE289" s="80">
        <v>0</v>
      </c>
      <c r="FF289" s="80">
        <v>344</v>
      </c>
      <c r="FG289" s="80">
        <v>121</v>
      </c>
      <c r="FH289" s="80">
        <v>223</v>
      </c>
      <c r="FI289" s="80">
        <v>0</v>
      </c>
      <c r="FJ289" s="80">
        <v>0</v>
      </c>
      <c r="FK289" s="80">
        <v>0</v>
      </c>
      <c r="FL289" s="80">
        <v>0</v>
      </c>
      <c r="FM289" s="80">
        <v>1</v>
      </c>
      <c r="FN289" s="80">
        <v>1052</v>
      </c>
      <c r="FO289" s="80">
        <v>128</v>
      </c>
      <c r="FP289" s="80">
        <v>3113</v>
      </c>
      <c r="FQ289" s="80">
        <v>15210</v>
      </c>
      <c r="FR289" s="80">
        <v>0</v>
      </c>
      <c r="FS289" s="80">
        <v>673</v>
      </c>
      <c r="FT289" s="100">
        <v>9566.7376690770998</v>
      </c>
      <c r="FU289" s="100"/>
      <c r="FV289" s="100">
        <v>5515</v>
      </c>
      <c r="FW289" s="67">
        <v>378</v>
      </c>
      <c r="FX289" s="100">
        <f t="shared" si="25"/>
        <v>-6010</v>
      </c>
      <c r="FY289" s="100">
        <f t="shared" si="26"/>
        <v>-12977</v>
      </c>
      <c r="FZ289" s="100">
        <v>9340.743208553251</v>
      </c>
      <c r="GA289" s="67">
        <v>6967</v>
      </c>
      <c r="GB289" s="58">
        <f t="shared" si="23"/>
        <v>1452</v>
      </c>
      <c r="GC289" s="67">
        <v>391</v>
      </c>
      <c r="GD289" s="100">
        <v>1172</v>
      </c>
      <c r="GE289" s="100">
        <v>711</v>
      </c>
      <c r="GF289" s="58">
        <f t="shared" si="24"/>
        <v>461</v>
      </c>
      <c r="GG289" s="100">
        <v>-3609.4270000000001</v>
      </c>
      <c r="GH289" s="100">
        <v>-110.90340000000006</v>
      </c>
      <c r="GI289" s="100">
        <v>-5875.1069813242812</v>
      </c>
      <c r="GJ289" s="67">
        <f t="shared" si="27"/>
        <v>13</v>
      </c>
      <c r="GK289" s="67"/>
      <c r="GM289" s="96"/>
    </row>
    <row r="290" spans="1:195" ht="13.5" customHeight="1" x14ac:dyDescent="0.2">
      <c r="A290" s="74">
        <v>921</v>
      </c>
      <c r="B290" s="75" t="s">
        <v>202</v>
      </c>
      <c r="C290" s="75" t="s">
        <v>202</v>
      </c>
      <c r="D290" s="76"/>
      <c r="E290" s="77" t="s">
        <v>239</v>
      </c>
      <c r="F290" s="78">
        <v>2</v>
      </c>
      <c r="G290" s="79">
        <v>2191</v>
      </c>
      <c r="H290" s="80">
        <v>2829</v>
      </c>
      <c r="I290" s="80">
        <v>986</v>
      </c>
      <c r="J290" s="80">
        <v>853</v>
      </c>
      <c r="K290" s="80">
        <v>330</v>
      </c>
      <c r="L290" s="80">
        <v>660</v>
      </c>
      <c r="M290" s="80">
        <v>0</v>
      </c>
      <c r="N290" s="80">
        <v>0</v>
      </c>
      <c r="O290" s="80">
        <v>18749</v>
      </c>
      <c r="P290" s="80">
        <v>7015</v>
      </c>
      <c r="Q290" s="80">
        <v>5297</v>
      </c>
      <c r="R290" s="80">
        <v>1718</v>
      </c>
      <c r="S290" s="80">
        <v>1435</v>
      </c>
      <c r="T290" s="80">
        <v>283</v>
      </c>
      <c r="U290" s="80">
        <v>9989</v>
      </c>
      <c r="V290" s="80">
        <v>908</v>
      </c>
      <c r="W290" s="80">
        <v>654</v>
      </c>
      <c r="X290" s="80">
        <v>183</v>
      </c>
      <c r="Y290" s="80">
        <v>-15920</v>
      </c>
      <c r="Z290" s="80">
        <v>6171</v>
      </c>
      <c r="AA290" s="80">
        <v>5093</v>
      </c>
      <c r="AB290" s="80">
        <v>561</v>
      </c>
      <c r="AC290" s="80">
        <v>517</v>
      </c>
      <c r="AD290" s="80">
        <v>10213</v>
      </c>
      <c r="AE290" s="80">
        <v>148</v>
      </c>
      <c r="AF290" s="80">
        <v>21</v>
      </c>
      <c r="AG290" s="80">
        <v>202</v>
      </c>
      <c r="AH290" s="80">
        <v>180</v>
      </c>
      <c r="AI290" s="80">
        <v>73</v>
      </c>
      <c r="AJ290" s="80">
        <v>2</v>
      </c>
      <c r="AK290" s="80">
        <v>612</v>
      </c>
      <c r="AL290" s="80">
        <v>596</v>
      </c>
      <c r="AM290" s="80">
        <v>596</v>
      </c>
      <c r="AN290" s="80">
        <v>0</v>
      </c>
      <c r="AO290" s="80">
        <v>81</v>
      </c>
      <c r="AP290" s="80">
        <v>81</v>
      </c>
      <c r="AQ290" s="80">
        <v>0</v>
      </c>
      <c r="AR290" s="80">
        <v>97</v>
      </c>
      <c r="AS290" s="80">
        <v>0</v>
      </c>
      <c r="AT290" s="80">
        <v>0</v>
      </c>
      <c r="AU290" s="80">
        <v>0</v>
      </c>
      <c r="AV290" s="80">
        <v>97</v>
      </c>
      <c r="AW290" s="81"/>
      <c r="AX290" s="80">
        <v>692</v>
      </c>
      <c r="AY290" s="80">
        <v>612</v>
      </c>
      <c r="AZ290" s="80">
        <v>81</v>
      </c>
      <c r="BA290" s="80">
        <v>-1</v>
      </c>
      <c r="BB290" s="80">
        <v>-1664</v>
      </c>
      <c r="BC290" s="80">
        <v>1665</v>
      </c>
      <c r="BD290" s="80">
        <v>0</v>
      </c>
      <c r="BE290" s="80">
        <v>1</v>
      </c>
      <c r="BF290" s="80">
        <v>-972</v>
      </c>
      <c r="BG290" s="80">
        <v>1066</v>
      </c>
      <c r="BH290" s="80">
        <v>0</v>
      </c>
      <c r="BI290" s="80">
        <v>0</v>
      </c>
      <c r="BJ290" s="80">
        <v>0</v>
      </c>
      <c r="BK290" s="80">
        <v>597</v>
      </c>
      <c r="BL290" s="80">
        <v>1000</v>
      </c>
      <c r="BM290" s="80">
        <v>403</v>
      </c>
      <c r="BN290" s="80">
        <v>0</v>
      </c>
      <c r="BO290" s="80">
        <v>-101</v>
      </c>
      <c r="BP290" s="80">
        <v>570</v>
      </c>
      <c r="BQ290" s="80">
        <v>-17</v>
      </c>
      <c r="BR290" s="80">
        <v>0</v>
      </c>
      <c r="BS290" s="80">
        <v>171</v>
      </c>
      <c r="BT290" s="80">
        <v>416</v>
      </c>
      <c r="BU290" s="80">
        <v>94</v>
      </c>
      <c r="BV290" s="80">
        <v>748</v>
      </c>
      <c r="BW290" s="80">
        <v>654</v>
      </c>
      <c r="BX290" s="81"/>
      <c r="BY290" s="80">
        <v>16348</v>
      </c>
      <c r="BZ290" s="80">
        <v>434</v>
      </c>
      <c r="CA290" s="80">
        <v>9</v>
      </c>
      <c r="CB290" s="80">
        <v>425</v>
      </c>
      <c r="CC290" s="80">
        <v>0</v>
      </c>
      <c r="CD290" s="80">
        <v>12689</v>
      </c>
      <c r="CE290" s="80">
        <v>501</v>
      </c>
      <c r="CF290" s="80">
        <v>8944</v>
      </c>
      <c r="CG290" s="80">
        <v>1764</v>
      </c>
      <c r="CH290" s="80">
        <v>156</v>
      </c>
      <c r="CI290" s="80">
        <v>0</v>
      </c>
      <c r="CJ290" s="80">
        <v>0</v>
      </c>
      <c r="CK290" s="80">
        <v>1324</v>
      </c>
      <c r="CL290" s="80">
        <v>3225</v>
      </c>
      <c r="CM290" s="80">
        <v>2280</v>
      </c>
      <c r="CN290" s="80">
        <v>1545</v>
      </c>
      <c r="CO290" s="80">
        <v>735</v>
      </c>
      <c r="CP290" s="80">
        <v>0</v>
      </c>
      <c r="CQ290" s="80">
        <v>945</v>
      </c>
      <c r="CR290" s="80">
        <v>0</v>
      </c>
      <c r="CS290" s="80">
        <v>0</v>
      </c>
      <c r="CT290" s="80">
        <v>945</v>
      </c>
      <c r="CU290" s="80">
        <v>0</v>
      </c>
      <c r="CV290" s="80">
        <v>12</v>
      </c>
      <c r="CW290" s="80">
        <v>0</v>
      </c>
      <c r="CX290" s="80">
        <v>12</v>
      </c>
      <c r="CY290" s="80">
        <v>0</v>
      </c>
      <c r="CZ290" s="80">
        <v>1455</v>
      </c>
      <c r="DA290" s="80">
        <v>2</v>
      </c>
      <c r="DB290" s="80">
        <v>2</v>
      </c>
      <c r="DC290" s="80">
        <v>0</v>
      </c>
      <c r="DD290" s="80">
        <v>0</v>
      </c>
      <c r="DE290" s="80">
        <v>0</v>
      </c>
      <c r="DF290" s="80">
        <v>0</v>
      </c>
      <c r="DG290" s="80">
        <v>705</v>
      </c>
      <c r="DH290" s="80">
        <v>0</v>
      </c>
      <c r="DI290" s="80">
        <v>0</v>
      </c>
      <c r="DJ290" s="80">
        <v>0</v>
      </c>
      <c r="DK290" s="80">
        <v>0</v>
      </c>
      <c r="DL290" s="80">
        <v>0</v>
      </c>
      <c r="DM290" s="80">
        <v>705</v>
      </c>
      <c r="DN290" s="80">
        <v>390</v>
      </c>
      <c r="DO290" s="80">
        <v>0</v>
      </c>
      <c r="DP290" s="80">
        <v>145</v>
      </c>
      <c r="DQ290" s="80">
        <v>170</v>
      </c>
      <c r="DR290" s="80">
        <v>0</v>
      </c>
      <c r="DS290" s="80">
        <v>0</v>
      </c>
      <c r="DT290" s="80">
        <v>0</v>
      </c>
      <c r="DU290" s="80">
        <v>0</v>
      </c>
      <c r="DV290" s="80">
        <v>0</v>
      </c>
      <c r="DW290" s="80">
        <v>748</v>
      </c>
      <c r="DX290" s="80">
        <v>17815</v>
      </c>
      <c r="DY290" s="80">
        <v>9735</v>
      </c>
      <c r="DZ290" s="80">
        <v>8756</v>
      </c>
      <c r="EA290" s="80">
        <v>0</v>
      </c>
      <c r="EB290" s="80">
        <v>0</v>
      </c>
      <c r="EC290" s="80">
        <v>882</v>
      </c>
      <c r="ED290" s="80">
        <v>97</v>
      </c>
      <c r="EE290" s="80">
        <v>0</v>
      </c>
      <c r="EF290" s="80">
        <v>0</v>
      </c>
      <c r="EG290" s="80">
        <v>0</v>
      </c>
      <c r="EH290" s="80">
        <v>0</v>
      </c>
      <c r="EI290" s="80">
        <v>0</v>
      </c>
      <c r="EJ290" s="80">
        <v>0</v>
      </c>
      <c r="EK290" s="80">
        <v>94</v>
      </c>
      <c r="EL290" s="80">
        <v>0</v>
      </c>
      <c r="EM290" s="80">
        <v>12</v>
      </c>
      <c r="EN290" s="80">
        <v>82</v>
      </c>
      <c r="EO290" s="80">
        <v>7986</v>
      </c>
      <c r="EP290" s="80">
        <v>5391</v>
      </c>
      <c r="EQ290" s="80">
        <v>0</v>
      </c>
      <c r="ER290" s="80">
        <v>5391</v>
      </c>
      <c r="ES290" s="80">
        <v>1730</v>
      </c>
      <c r="ET290" s="80">
        <v>3661</v>
      </c>
      <c r="EU290" s="80">
        <v>0</v>
      </c>
      <c r="EV290" s="80">
        <v>0</v>
      </c>
      <c r="EW290" s="80">
        <v>0</v>
      </c>
      <c r="EX290" s="80">
        <v>0</v>
      </c>
      <c r="EY290" s="80">
        <v>0</v>
      </c>
      <c r="EZ290" s="80">
        <v>0</v>
      </c>
      <c r="FA290" s="80">
        <v>0</v>
      </c>
      <c r="FB290" s="80">
        <v>0</v>
      </c>
      <c r="FC290" s="80">
        <v>0</v>
      </c>
      <c r="FD290" s="80">
        <v>2595</v>
      </c>
      <c r="FE290" s="80">
        <v>0</v>
      </c>
      <c r="FF290" s="80">
        <v>453</v>
      </c>
      <c r="FG290" s="80">
        <v>220</v>
      </c>
      <c r="FH290" s="80">
        <v>233</v>
      </c>
      <c r="FI290" s="80">
        <v>0</v>
      </c>
      <c r="FJ290" s="80">
        <v>0</v>
      </c>
      <c r="FK290" s="80">
        <v>0</v>
      </c>
      <c r="FL290" s="80">
        <v>0</v>
      </c>
      <c r="FM290" s="80">
        <v>2</v>
      </c>
      <c r="FN290" s="80">
        <v>635</v>
      </c>
      <c r="FO290" s="80">
        <v>149</v>
      </c>
      <c r="FP290" s="80">
        <v>1356</v>
      </c>
      <c r="FQ290" s="80">
        <v>17815</v>
      </c>
      <c r="FR290" s="80">
        <v>520</v>
      </c>
      <c r="FS290" s="80">
        <v>1013</v>
      </c>
      <c r="FT290" s="100">
        <v>7698.4535250805257</v>
      </c>
      <c r="FU290" s="100"/>
      <c r="FV290" s="100">
        <v>3213</v>
      </c>
      <c r="FW290" s="67">
        <v>581</v>
      </c>
      <c r="FX290" s="100">
        <f t="shared" si="25"/>
        <v>-11057</v>
      </c>
      <c r="FY290" s="100">
        <f t="shared" si="26"/>
        <v>-15324</v>
      </c>
      <c r="FZ290" s="100">
        <v>10829.963749362672</v>
      </c>
      <c r="GA290" s="67">
        <v>4267</v>
      </c>
      <c r="GB290" s="58">
        <f t="shared" si="23"/>
        <v>1054</v>
      </c>
      <c r="GC290" s="67">
        <v>596</v>
      </c>
      <c r="GD290" s="100">
        <v>853</v>
      </c>
      <c r="GE290" s="100">
        <v>123</v>
      </c>
      <c r="GF290" s="58">
        <f t="shared" si="24"/>
        <v>730</v>
      </c>
      <c r="GG290" s="100">
        <v>-2878.1</v>
      </c>
      <c r="GH290" s="100">
        <v>-170.38025000000007</v>
      </c>
      <c r="GI290" s="100">
        <v>-8042.24169863308</v>
      </c>
      <c r="GJ290" s="67">
        <f t="shared" si="27"/>
        <v>15</v>
      </c>
      <c r="GK290" s="67"/>
      <c r="GM290" s="96"/>
    </row>
    <row r="291" spans="1:195" ht="13.5" customHeight="1" x14ac:dyDescent="0.2">
      <c r="A291" s="74">
        <v>922</v>
      </c>
      <c r="B291" s="75" t="s">
        <v>203</v>
      </c>
      <c r="C291" s="75" t="s">
        <v>203</v>
      </c>
      <c r="D291" s="76"/>
      <c r="E291" s="77" t="s">
        <v>214</v>
      </c>
      <c r="F291" s="78">
        <v>2</v>
      </c>
      <c r="G291" s="79">
        <v>4489</v>
      </c>
      <c r="H291" s="80">
        <v>2992</v>
      </c>
      <c r="I291" s="80">
        <v>1257</v>
      </c>
      <c r="J291" s="80">
        <v>569</v>
      </c>
      <c r="K291" s="80">
        <v>297</v>
      </c>
      <c r="L291" s="80">
        <v>869</v>
      </c>
      <c r="M291" s="80">
        <v>0</v>
      </c>
      <c r="N291" s="80">
        <v>0</v>
      </c>
      <c r="O291" s="80">
        <v>26499</v>
      </c>
      <c r="P291" s="80">
        <v>8196</v>
      </c>
      <c r="Q291" s="80">
        <v>6334</v>
      </c>
      <c r="R291" s="80">
        <v>1862</v>
      </c>
      <c r="S291" s="80">
        <v>1553</v>
      </c>
      <c r="T291" s="80">
        <v>309</v>
      </c>
      <c r="U291" s="80">
        <v>16152</v>
      </c>
      <c r="V291" s="80">
        <v>1285</v>
      </c>
      <c r="W291" s="80">
        <v>623</v>
      </c>
      <c r="X291" s="80">
        <v>243</v>
      </c>
      <c r="Y291" s="80">
        <v>-23507</v>
      </c>
      <c r="Z291" s="80">
        <v>16029</v>
      </c>
      <c r="AA291" s="80">
        <v>14477</v>
      </c>
      <c r="AB291" s="80">
        <v>435</v>
      </c>
      <c r="AC291" s="80">
        <v>1117</v>
      </c>
      <c r="AD291" s="80">
        <v>8159</v>
      </c>
      <c r="AE291" s="80">
        <v>-190</v>
      </c>
      <c r="AF291" s="80">
        <v>1</v>
      </c>
      <c r="AG291" s="80">
        <v>35</v>
      </c>
      <c r="AH291" s="80">
        <v>0</v>
      </c>
      <c r="AI291" s="80">
        <v>225</v>
      </c>
      <c r="AJ291" s="80">
        <v>1</v>
      </c>
      <c r="AK291" s="80">
        <v>491</v>
      </c>
      <c r="AL291" s="80">
        <v>1823</v>
      </c>
      <c r="AM291" s="80">
        <v>1794</v>
      </c>
      <c r="AN291" s="80">
        <v>29</v>
      </c>
      <c r="AO291" s="80">
        <v>0</v>
      </c>
      <c r="AP291" s="80">
        <v>0</v>
      </c>
      <c r="AQ291" s="80">
        <v>0</v>
      </c>
      <c r="AR291" s="80">
        <v>-1332</v>
      </c>
      <c r="AS291" s="80">
        <v>39</v>
      </c>
      <c r="AT291" s="80">
        <v>0</v>
      </c>
      <c r="AU291" s="80">
        <v>0</v>
      </c>
      <c r="AV291" s="80">
        <v>-1293</v>
      </c>
      <c r="AW291" s="81"/>
      <c r="AX291" s="80">
        <v>339</v>
      </c>
      <c r="AY291" s="80">
        <v>491</v>
      </c>
      <c r="AZ291" s="80">
        <v>0</v>
      </c>
      <c r="BA291" s="80">
        <v>-152</v>
      </c>
      <c r="BB291" s="80">
        <v>-725</v>
      </c>
      <c r="BC291" s="80">
        <v>1342</v>
      </c>
      <c r="BD291" s="80">
        <v>139</v>
      </c>
      <c r="BE291" s="80">
        <v>478</v>
      </c>
      <c r="BF291" s="80">
        <v>-386</v>
      </c>
      <c r="BG291" s="80">
        <v>222</v>
      </c>
      <c r="BH291" s="80">
        <v>0</v>
      </c>
      <c r="BI291" s="80">
        <v>0</v>
      </c>
      <c r="BJ291" s="80">
        <v>0</v>
      </c>
      <c r="BK291" s="80">
        <v>-273</v>
      </c>
      <c r="BL291" s="80">
        <v>0</v>
      </c>
      <c r="BM291" s="80">
        <v>2273</v>
      </c>
      <c r="BN291" s="80">
        <v>2000</v>
      </c>
      <c r="BO291" s="80">
        <v>0</v>
      </c>
      <c r="BP291" s="80">
        <v>495</v>
      </c>
      <c r="BQ291" s="80">
        <v>-121</v>
      </c>
      <c r="BR291" s="80">
        <v>0</v>
      </c>
      <c r="BS291" s="80">
        <v>-44</v>
      </c>
      <c r="BT291" s="80">
        <v>660</v>
      </c>
      <c r="BU291" s="80">
        <v>-164</v>
      </c>
      <c r="BV291" s="80">
        <v>1248</v>
      </c>
      <c r="BW291" s="80">
        <v>1412</v>
      </c>
      <c r="BX291" s="81"/>
      <c r="BY291" s="80">
        <v>26809</v>
      </c>
      <c r="BZ291" s="80">
        <v>455</v>
      </c>
      <c r="CA291" s="80">
        <v>0</v>
      </c>
      <c r="CB291" s="80">
        <v>413</v>
      </c>
      <c r="CC291" s="80">
        <v>42</v>
      </c>
      <c r="CD291" s="80">
        <v>23621</v>
      </c>
      <c r="CE291" s="80">
        <v>3007</v>
      </c>
      <c r="CF291" s="80">
        <v>16890</v>
      </c>
      <c r="CG291" s="80">
        <v>3361</v>
      </c>
      <c r="CH291" s="80">
        <v>244</v>
      </c>
      <c r="CI291" s="80">
        <v>0</v>
      </c>
      <c r="CJ291" s="80">
        <v>0</v>
      </c>
      <c r="CK291" s="80">
        <v>119</v>
      </c>
      <c r="CL291" s="80">
        <v>2733</v>
      </c>
      <c r="CM291" s="80">
        <v>2733</v>
      </c>
      <c r="CN291" s="80">
        <v>1033</v>
      </c>
      <c r="CO291" s="80">
        <v>1700</v>
      </c>
      <c r="CP291" s="80">
        <v>0</v>
      </c>
      <c r="CQ291" s="80">
        <v>0</v>
      </c>
      <c r="CR291" s="80">
        <v>0</v>
      </c>
      <c r="CS291" s="80">
        <v>0</v>
      </c>
      <c r="CT291" s="80">
        <v>0</v>
      </c>
      <c r="CU291" s="80">
        <v>0</v>
      </c>
      <c r="CV291" s="80">
        <v>58</v>
      </c>
      <c r="CW291" s="80">
        <v>0</v>
      </c>
      <c r="CX291" s="80">
        <v>0</v>
      </c>
      <c r="CY291" s="80">
        <v>58</v>
      </c>
      <c r="CZ291" s="80">
        <v>1958</v>
      </c>
      <c r="DA291" s="80">
        <v>0</v>
      </c>
      <c r="DB291" s="80">
        <v>0</v>
      </c>
      <c r="DC291" s="80">
        <v>0</v>
      </c>
      <c r="DD291" s="80">
        <v>0</v>
      </c>
      <c r="DE291" s="80">
        <v>0</v>
      </c>
      <c r="DF291" s="80">
        <v>0</v>
      </c>
      <c r="DG291" s="80">
        <v>711</v>
      </c>
      <c r="DH291" s="80">
        <v>10</v>
      </c>
      <c r="DI291" s="80">
        <v>0</v>
      </c>
      <c r="DJ291" s="80">
        <v>0</v>
      </c>
      <c r="DK291" s="80">
        <v>10</v>
      </c>
      <c r="DL291" s="80">
        <v>0</v>
      </c>
      <c r="DM291" s="80">
        <v>701</v>
      </c>
      <c r="DN291" s="80">
        <v>411</v>
      </c>
      <c r="DO291" s="80">
        <v>0</v>
      </c>
      <c r="DP291" s="80">
        <v>81</v>
      </c>
      <c r="DQ291" s="80">
        <v>209</v>
      </c>
      <c r="DR291" s="80">
        <v>2</v>
      </c>
      <c r="DS291" s="80">
        <v>0</v>
      </c>
      <c r="DT291" s="80">
        <v>0</v>
      </c>
      <c r="DU291" s="80">
        <v>0</v>
      </c>
      <c r="DV291" s="80">
        <v>2</v>
      </c>
      <c r="DW291" s="80">
        <v>1245</v>
      </c>
      <c r="DX291" s="80">
        <v>28825</v>
      </c>
      <c r="DY291" s="80">
        <v>9225</v>
      </c>
      <c r="DZ291" s="80">
        <v>8683</v>
      </c>
      <c r="EA291" s="80">
        <v>0</v>
      </c>
      <c r="EB291" s="80">
        <v>0</v>
      </c>
      <c r="EC291" s="80">
        <v>1834</v>
      </c>
      <c r="ED291" s="80">
        <v>-1292</v>
      </c>
      <c r="EE291" s="80">
        <v>213</v>
      </c>
      <c r="EF291" s="80">
        <v>213</v>
      </c>
      <c r="EG291" s="80">
        <v>0</v>
      </c>
      <c r="EH291" s="80">
        <v>0</v>
      </c>
      <c r="EI291" s="80">
        <v>0</v>
      </c>
      <c r="EJ291" s="80">
        <v>0</v>
      </c>
      <c r="EK291" s="80">
        <v>62</v>
      </c>
      <c r="EL291" s="80">
        <v>0</v>
      </c>
      <c r="EM291" s="80">
        <v>0</v>
      </c>
      <c r="EN291" s="80">
        <v>62</v>
      </c>
      <c r="EO291" s="80">
        <v>19325</v>
      </c>
      <c r="EP291" s="80">
        <v>8777</v>
      </c>
      <c r="EQ291" s="80">
        <v>0</v>
      </c>
      <c r="ER291" s="80">
        <v>7414</v>
      </c>
      <c r="ES291" s="80">
        <v>1664</v>
      </c>
      <c r="ET291" s="80">
        <v>5750</v>
      </c>
      <c r="EU291" s="80">
        <v>0</v>
      </c>
      <c r="EV291" s="80">
        <v>0</v>
      </c>
      <c r="EW291" s="80">
        <v>0</v>
      </c>
      <c r="EX291" s="80">
        <v>0</v>
      </c>
      <c r="EY291" s="80">
        <v>0</v>
      </c>
      <c r="EZ291" s="80">
        <v>0</v>
      </c>
      <c r="FA291" s="80">
        <v>1363</v>
      </c>
      <c r="FB291" s="80">
        <v>0</v>
      </c>
      <c r="FC291" s="80">
        <v>0</v>
      </c>
      <c r="FD291" s="80">
        <v>10548</v>
      </c>
      <c r="FE291" s="80">
        <v>0</v>
      </c>
      <c r="FF291" s="80">
        <v>6678</v>
      </c>
      <c r="FG291" s="80">
        <v>589</v>
      </c>
      <c r="FH291" s="80">
        <v>5914</v>
      </c>
      <c r="FI291" s="80">
        <v>0</v>
      </c>
      <c r="FJ291" s="80">
        <v>175</v>
      </c>
      <c r="FK291" s="80">
        <v>0</v>
      </c>
      <c r="FL291" s="80">
        <v>0</v>
      </c>
      <c r="FM291" s="80">
        <v>83</v>
      </c>
      <c r="FN291" s="80">
        <v>2289</v>
      </c>
      <c r="FO291" s="80">
        <v>170</v>
      </c>
      <c r="FP291" s="80">
        <v>1328</v>
      </c>
      <c r="FQ291" s="80">
        <v>28825</v>
      </c>
      <c r="FR291" s="80">
        <v>0</v>
      </c>
      <c r="FS291" s="80">
        <v>696</v>
      </c>
      <c r="FT291" s="100">
        <v>16159.094797448244</v>
      </c>
      <c r="FU291" s="100"/>
      <c r="FV291" s="100">
        <v>6371</v>
      </c>
      <c r="FW291" s="67">
        <v>1811</v>
      </c>
      <c r="FX291" s="100">
        <f t="shared" si="25"/>
        <v>-15185</v>
      </c>
      <c r="FY291" s="100">
        <f t="shared" si="26"/>
        <v>-21684</v>
      </c>
      <c r="FZ291" s="100">
        <v>14122.470446048088</v>
      </c>
      <c r="GA291" s="67">
        <v>6499</v>
      </c>
      <c r="GB291" s="58">
        <f t="shared" si="23"/>
        <v>128</v>
      </c>
      <c r="GC291" s="67">
        <v>1823</v>
      </c>
      <c r="GD291" s="100">
        <v>572</v>
      </c>
      <c r="GE291" s="100">
        <v>572</v>
      </c>
      <c r="GF291" s="58">
        <f t="shared" si="24"/>
        <v>0</v>
      </c>
      <c r="GG291" s="100">
        <v>-8066.79</v>
      </c>
      <c r="GH291" s="100">
        <v>-141.01290000000009</v>
      </c>
      <c r="GI291" s="100">
        <v>-5903.0473398757213</v>
      </c>
      <c r="GJ291" s="67">
        <f t="shared" si="27"/>
        <v>12</v>
      </c>
      <c r="GK291" s="67"/>
      <c r="GM291" s="96"/>
    </row>
    <row r="292" spans="1:195" ht="13.5" customHeight="1" x14ac:dyDescent="0.2">
      <c r="A292" s="74">
        <v>924</v>
      </c>
      <c r="B292" s="75" t="s">
        <v>317</v>
      </c>
      <c r="C292" s="82" t="s">
        <v>317</v>
      </c>
      <c r="D292" s="76"/>
      <c r="E292" s="77" t="s">
        <v>228</v>
      </c>
      <c r="F292" s="78">
        <v>2</v>
      </c>
      <c r="G292" s="79">
        <v>3302</v>
      </c>
      <c r="H292" s="80">
        <v>6516</v>
      </c>
      <c r="I292" s="80">
        <v>1609</v>
      </c>
      <c r="J292" s="80">
        <v>359</v>
      </c>
      <c r="K292" s="80">
        <v>173</v>
      </c>
      <c r="L292" s="80">
        <v>4375</v>
      </c>
      <c r="M292" s="80">
        <v>0</v>
      </c>
      <c r="N292" s="80">
        <v>0</v>
      </c>
      <c r="O292" s="80">
        <v>22652</v>
      </c>
      <c r="P292" s="80">
        <v>6484</v>
      </c>
      <c r="Q292" s="80">
        <v>4783</v>
      </c>
      <c r="R292" s="80">
        <v>1701</v>
      </c>
      <c r="S292" s="80">
        <v>1472</v>
      </c>
      <c r="T292" s="80">
        <v>229</v>
      </c>
      <c r="U292" s="80">
        <v>14283</v>
      </c>
      <c r="V292" s="80">
        <v>1393</v>
      </c>
      <c r="W292" s="80">
        <v>309</v>
      </c>
      <c r="X292" s="80">
        <v>183</v>
      </c>
      <c r="Y292" s="80">
        <v>-16136</v>
      </c>
      <c r="Z292" s="80">
        <v>11165</v>
      </c>
      <c r="AA292" s="80">
        <v>9629</v>
      </c>
      <c r="AB292" s="80">
        <v>811</v>
      </c>
      <c r="AC292" s="80">
        <v>725</v>
      </c>
      <c r="AD292" s="80">
        <v>9621</v>
      </c>
      <c r="AE292" s="80">
        <v>257</v>
      </c>
      <c r="AF292" s="80">
        <v>14</v>
      </c>
      <c r="AG292" s="80">
        <v>420</v>
      </c>
      <c r="AH292" s="80">
        <v>416</v>
      </c>
      <c r="AI292" s="80">
        <v>176</v>
      </c>
      <c r="AJ292" s="80">
        <v>1</v>
      </c>
      <c r="AK292" s="80">
        <v>4907</v>
      </c>
      <c r="AL292" s="80">
        <v>1621</v>
      </c>
      <c r="AM292" s="80">
        <v>1141</v>
      </c>
      <c r="AN292" s="80">
        <v>480</v>
      </c>
      <c r="AO292" s="80">
        <v>0</v>
      </c>
      <c r="AP292" s="80">
        <v>0</v>
      </c>
      <c r="AQ292" s="80">
        <v>0</v>
      </c>
      <c r="AR292" s="80">
        <v>3286</v>
      </c>
      <c r="AS292" s="80">
        <v>7</v>
      </c>
      <c r="AT292" s="80">
        <v>0</v>
      </c>
      <c r="AU292" s="80">
        <v>0</v>
      </c>
      <c r="AV292" s="80">
        <v>3293</v>
      </c>
      <c r="AW292" s="81"/>
      <c r="AX292" s="80">
        <v>1836</v>
      </c>
      <c r="AY292" s="80">
        <v>4907</v>
      </c>
      <c r="AZ292" s="80">
        <v>0</v>
      </c>
      <c r="BA292" s="80">
        <v>-3071</v>
      </c>
      <c r="BB292" s="80">
        <v>-773</v>
      </c>
      <c r="BC292" s="80">
        <v>4321</v>
      </c>
      <c r="BD292" s="80">
        <v>17</v>
      </c>
      <c r="BE292" s="80">
        <v>3531</v>
      </c>
      <c r="BF292" s="80">
        <v>1063</v>
      </c>
      <c r="BG292" s="80">
        <v>-1345</v>
      </c>
      <c r="BH292" s="80">
        <v>-53</v>
      </c>
      <c r="BI292" s="80">
        <v>53</v>
      </c>
      <c r="BJ292" s="80">
        <v>0</v>
      </c>
      <c r="BK292" s="80">
        <v>-1212</v>
      </c>
      <c r="BL292" s="80">
        <v>923</v>
      </c>
      <c r="BM292" s="80">
        <v>1235</v>
      </c>
      <c r="BN292" s="80">
        <v>-900</v>
      </c>
      <c r="BO292" s="80">
        <v>-10</v>
      </c>
      <c r="BP292" s="80">
        <v>-70</v>
      </c>
      <c r="BQ292" s="80">
        <v>-2</v>
      </c>
      <c r="BR292" s="80">
        <v>2</v>
      </c>
      <c r="BS292" s="80">
        <v>-484</v>
      </c>
      <c r="BT292" s="80">
        <v>414</v>
      </c>
      <c r="BU292" s="80">
        <v>-282</v>
      </c>
      <c r="BV292" s="80">
        <v>1101</v>
      </c>
      <c r="BW292" s="80">
        <v>1383</v>
      </c>
      <c r="BX292" s="81"/>
      <c r="BY292" s="80">
        <v>22705</v>
      </c>
      <c r="BZ292" s="80">
        <v>210</v>
      </c>
      <c r="CA292" s="80">
        <v>0</v>
      </c>
      <c r="CB292" s="80">
        <v>210</v>
      </c>
      <c r="CC292" s="80">
        <v>0</v>
      </c>
      <c r="CD292" s="80">
        <v>17980</v>
      </c>
      <c r="CE292" s="80">
        <v>1853</v>
      </c>
      <c r="CF292" s="80">
        <v>12911</v>
      </c>
      <c r="CG292" s="80">
        <v>2718</v>
      </c>
      <c r="CH292" s="80">
        <v>211</v>
      </c>
      <c r="CI292" s="80">
        <v>2</v>
      </c>
      <c r="CJ292" s="80">
        <v>2</v>
      </c>
      <c r="CK292" s="80">
        <v>285</v>
      </c>
      <c r="CL292" s="80">
        <v>4515</v>
      </c>
      <c r="CM292" s="80">
        <v>4053</v>
      </c>
      <c r="CN292" s="80">
        <v>629</v>
      </c>
      <c r="CO292" s="80">
        <v>3424</v>
      </c>
      <c r="CP292" s="80">
        <v>0</v>
      </c>
      <c r="CQ292" s="80">
        <v>0</v>
      </c>
      <c r="CR292" s="80">
        <v>0</v>
      </c>
      <c r="CS292" s="80">
        <v>0</v>
      </c>
      <c r="CT292" s="80">
        <v>0</v>
      </c>
      <c r="CU292" s="80">
        <v>462</v>
      </c>
      <c r="CV292" s="80">
        <v>1</v>
      </c>
      <c r="CW292" s="80">
        <v>0</v>
      </c>
      <c r="CX292" s="80">
        <v>0</v>
      </c>
      <c r="CY292" s="80">
        <v>1</v>
      </c>
      <c r="CZ292" s="80">
        <v>3109</v>
      </c>
      <c r="DA292" s="80">
        <v>29</v>
      </c>
      <c r="DB292" s="80">
        <v>29</v>
      </c>
      <c r="DC292" s="80">
        <v>0</v>
      </c>
      <c r="DD292" s="80">
        <v>0</v>
      </c>
      <c r="DE292" s="80">
        <v>0</v>
      </c>
      <c r="DF292" s="80">
        <v>0</v>
      </c>
      <c r="DG292" s="80">
        <v>1979</v>
      </c>
      <c r="DH292" s="80">
        <v>1460</v>
      </c>
      <c r="DI292" s="80">
        <v>0</v>
      </c>
      <c r="DJ292" s="80">
        <v>1460</v>
      </c>
      <c r="DK292" s="80">
        <v>0</v>
      </c>
      <c r="DL292" s="80">
        <v>0</v>
      </c>
      <c r="DM292" s="80">
        <v>519</v>
      </c>
      <c r="DN292" s="80">
        <v>333</v>
      </c>
      <c r="DO292" s="80">
        <v>36</v>
      </c>
      <c r="DP292" s="80">
        <v>130</v>
      </c>
      <c r="DQ292" s="80">
        <v>20</v>
      </c>
      <c r="DR292" s="80">
        <v>52</v>
      </c>
      <c r="DS292" s="80">
        <v>52</v>
      </c>
      <c r="DT292" s="80">
        <v>0</v>
      </c>
      <c r="DU292" s="80">
        <v>0</v>
      </c>
      <c r="DV292" s="80">
        <v>0</v>
      </c>
      <c r="DW292" s="80">
        <v>1049</v>
      </c>
      <c r="DX292" s="80">
        <v>25815</v>
      </c>
      <c r="DY292" s="80">
        <v>9637</v>
      </c>
      <c r="DZ292" s="80">
        <v>7650</v>
      </c>
      <c r="EA292" s="80">
        <v>0</v>
      </c>
      <c r="EB292" s="80">
        <v>0</v>
      </c>
      <c r="EC292" s="80">
        <v>-1306</v>
      </c>
      <c r="ED292" s="80">
        <v>3293</v>
      </c>
      <c r="EE292" s="80">
        <v>124</v>
      </c>
      <c r="EF292" s="80">
        <v>124</v>
      </c>
      <c r="EG292" s="80">
        <v>0</v>
      </c>
      <c r="EH292" s="80">
        <v>0</v>
      </c>
      <c r="EI292" s="80">
        <v>0</v>
      </c>
      <c r="EJ292" s="80">
        <v>0</v>
      </c>
      <c r="EK292" s="80">
        <v>26</v>
      </c>
      <c r="EL292" s="80">
        <v>0</v>
      </c>
      <c r="EM292" s="80">
        <v>1</v>
      </c>
      <c r="EN292" s="80">
        <v>25</v>
      </c>
      <c r="EO292" s="80">
        <v>16026</v>
      </c>
      <c r="EP292" s="80">
        <v>8857</v>
      </c>
      <c r="EQ292" s="80">
        <v>0</v>
      </c>
      <c r="ER292" s="80">
        <v>7919</v>
      </c>
      <c r="ES292" s="80">
        <v>0</v>
      </c>
      <c r="ET292" s="80">
        <v>7423</v>
      </c>
      <c r="EU292" s="80">
        <v>496</v>
      </c>
      <c r="EV292" s="80">
        <v>0</v>
      </c>
      <c r="EW292" s="80">
        <v>0</v>
      </c>
      <c r="EX292" s="80">
        <v>0</v>
      </c>
      <c r="EY292" s="80">
        <v>33</v>
      </c>
      <c r="EZ292" s="80">
        <v>0</v>
      </c>
      <c r="FA292" s="80">
        <v>905</v>
      </c>
      <c r="FB292" s="80">
        <v>0</v>
      </c>
      <c r="FC292" s="80">
        <v>0</v>
      </c>
      <c r="FD292" s="80">
        <v>7169</v>
      </c>
      <c r="FE292" s="80">
        <v>0</v>
      </c>
      <c r="FF292" s="80">
        <v>5185</v>
      </c>
      <c r="FG292" s="80">
        <v>4136</v>
      </c>
      <c r="FH292" s="80">
        <v>1049</v>
      </c>
      <c r="FI292" s="80">
        <v>0</v>
      </c>
      <c r="FJ292" s="80">
        <v>0</v>
      </c>
      <c r="FK292" s="80">
        <v>0</v>
      </c>
      <c r="FL292" s="80">
        <v>0</v>
      </c>
      <c r="FM292" s="80">
        <v>16</v>
      </c>
      <c r="FN292" s="80">
        <v>532</v>
      </c>
      <c r="FO292" s="80">
        <v>626</v>
      </c>
      <c r="FP292" s="80">
        <v>810</v>
      </c>
      <c r="FQ292" s="80">
        <v>25813</v>
      </c>
      <c r="FR292" s="80">
        <v>7749</v>
      </c>
      <c r="FS292" s="80">
        <v>693</v>
      </c>
      <c r="FT292" s="100">
        <v>12167.755630503681</v>
      </c>
      <c r="FU292" s="100"/>
      <c r="FV292" s="100">
        <v>8683</v>
      </c>
      <c r="FW292" s="67">
        <v>1613</v>
      </c>
      <c r="FX292" s="100">
        <f t="shared" si="25"/>
        <v>-5832</v>
      </c>
      <c r="FY292" s="100">
        <f t="shared" si="26"/>
        <v>-14515</v>
      </c>
      <c r="FZ292" s="100">
        <v>12645.582959731539</v>
      </c>
      <c r="GA292" s="67">
        <v>8683</v>
      </c>
      <c r="GB292" s="58">
        <f t="shared" si="23"/>
        <v>0</v>
      </c>
      <c r="GC292" s="67">
        <v>1621</v>
      </c>
      <c r="GD292" s="100">
        <v>408</v>
      </c>
      <c r="GE292" s="100">
        <v>408</v>
      </c>
      <c r="GF292" s="58">
        <f t="shared" si="24"/>
        <v>0</v>
      </c>
      <c r="GG292" s="100">
        <v>-5039.585</v>
      </c>
      <c r="GH292" s="100">
        <v>-258.61465000000015</v>
      </c>
      <c r="GI292" s="100">
        <v>-7485.1533144710229</v>
      </c>
      <c r="GJ292" s="67">
        <f t="shared" si="27"/>
        <v>8</v>
      </c>
      <c r="GK292" s="67"/>
      <c r="GM292" s="96"/>
    </row>
    <row r="293" spans="1:195" ht="13.5" customHeight="1" x14ac:dyDescent="0.2">
      <c r="A293" s="74">
        <v>927</v>
      </c>
      <c r="B293" s="75" t="s">
        <v>318</v>
      </c>
      <c r="C293" s="82" t="s">
        <v>318</v>
      </c>
      <c r="D293" s="76"/>
      <c r="E293" s="77" t="s">
        <v>218</v>
      </c>
      <c r="F293" s="78">
        <v>5</v>
      </c>
      <c r="G293" s="79">
        <v>28921</v>
      </c>
      <c r="H293" s="80">
        <v>20418</v>
      </c>
      <c r="I293" s="80">
        <v>6743</v>
      </c>
      <c r="J293" s="80">
        <v>5082</v>
      </c>
      <c r="K293" s="80">
        <v>3083</v>
      </c>
      <c r="L293" s="80">
        <v>5510</v>
      </c>
      <c r="M293" s="80">
        <v>0</v>
      </c>
      <c r="N293" s="80">
        <v>205</v>
      </c>
      <c r="O293" s="80">
        <v>154968</v>
      </c>
      <c r="P293" s="80">
        <v>46973</v>
      </c>
      <c r="Q293" s="80">
        <v>35622</v>
      </c>
      <c r="R293" s="80">
        <v>11351</v>
      </c>
      <c r="S293" s="80">
        <v>9313</v>
      </c>
      <c r="T293" s="80">
        <v>2038</v>
      </c>
      <c r="U293" s="80">
        <v>93729</v>
      </c>
      <c r="V293" s="80">
        <v>7377</v>
      </c>
      <c r="W293" s="80">
        <v>5307</v>
      </c>
      <c r="X293" s="80">
        <v>1582</v>
      </c>
      <c r="Y293" s="80">
        <v>-134345</v>
      </c>
      <c r="Z293" s="80">
        <v>119854</v>
      </c>
      <c r="AA293" s="80">
        <v>109019</v>
      </c>
      <c r="AB293" s="80">
        <v>3523</v>
      </c>
      <c r="AC293" s="80">
        <v>7312</v>
      </c>
      <c r="AD293" s="80">
        <v>22891</v>
      </c>
      <c r="AE293" s="80">
        <v>-494</v>
      </c>
      <c r="AF293" s="80">
        <v>28</v>
      </c>
      <c r="AG293" s="80">
        <v>463</v>
      </c>
      <c r="AH293" s="80">
        <v>44</v>
      </c>
      <c r="AI293" s="80">
        <v>826</v>
      </c>
      <c r="AJ293" s="80">
        <v>159</v>
      </c>
      <c r="AK293" s="80">
        <v>7906</v>
      </c>
      <c r="AL293" s="80">
        <v>9348</v>
      </c>
      <c r="AM293" s="80">
        <v>9348</v>
      </c>
      <c r="AN293" s="80">
        <v>0</v>
      </c>
      <c r="AO293" s="80">
        <v>0</v>
      </c>
      <c r="AP293" s="80">
        <v>0</v>
      </c>
      <c r="AQ293" s="80">
        <v>0</v>
      </c>
      <c r="AR293" s="80">
        <v>-1442</v>
      </c>
      <c r="AS293" s="80">
        <v>189</v>
      </c>
      <c r="AT293" s="80">
        <v>0</v>
      </c>
      <c r="AU293" s="80">
        <v>0</v>
      </c>
      <c r="AV293" s="80">
        <v>-1253</v>
      </c>
      <c r="AW293" s="81"/>
      <c r="AX293" s="80">
        <v>5874</v>
      </c>
      <c r="AY293" s="80">
        <v>7906</v>
      </c>
      <c r="AZ293" s="80">
        <v>0</v>
      </c>
      <c r="BA293" s="80">
        <v>-2032</v>
      </c>
      <c r="BB293" s="80">
        <v>-9372</v>
      </c>
      <c r="BC293" s="80">
        <v>13083</v>
      </c>
      <c r="BD293" s="80">
        <v>1037</v>
      </c>
      <c r="BE293" s="80">
        <v>2674</v>
      </c>
      <c r="BF293" s="80">
        <v>-3498</v>
      </c>
      <c r="BG293" s="80">
        <v>-618</v>
      </c>
      <c r="BH293" s="80">
        <v>-45</v>
      </c>
      <c r="BI293" s="80">
        <v>46</v>
      </c>
      <c r="BJ293" s="80">
        <v>1</v>
      </c>
      <c r="BK293" s="80">
        <v>-3175</v>
      </c>
      <c r="BL293" s="80">
        <v>30000</v>
      </c>
      <c r="BM293" s="80">
        <v>11175</v>
      </c>
      <c r="BN293" s="80">
        <v>-22000</v>
      </c>
      <c r="BO293" s="80">
        <v>0</v>
      </c>
      <c r="BP293" s="80">
        <v>2602</v>
      </c>
      <c r="BQ293" s="80">
        <v>-21</v>
      </c>
      <c r="BR293" s="80">
        <v>28</v>
      </c>
      <c r="BS293" s="80">
        <v>1002</v>
      </c>
      <c r="BT293" s="80">
        <v>1593</v>
      </c>
      <c r="BU293" s="80">
        <v>-4117</v>
      </c>
      <c r="BV293" s="80">
        <v>2765</v>
      </c>
      <c r="BW293" s="80">
        <v>6882</v>
      </c>
      <c r="BX293" s="81"/>
      <c r="BY293" s="80">
        <v>162890</v>
      </c>
      <c r="BZ293" s="80">
        <v>648</v>
      </c>
      <c r="CA293" s="80">
        <v>35</v>
      </c>
      <c r="CB293" s="80">
        <v>613</v>
      </c>
      <c r="CC293" s="80">
        <v>0</v>
      </c>
      <c r="CD293" s="80">
        <v>141579</v>
      </c>
      <c r="CE293" s="80">
        <v>32009</v>
      </c>
      <c r="CF293" s="80">
        <v>71161</v>
      </c>
      <c r="CG293" s="80">
        <v>22738</v>
      </c>
      <c r="CH293" s="80">
        <v>1731</v>
      </c>
      <c r="CI293" s="80">
        <v>0</v>
      </c>
      <c r="CJ293" s="80">
        <v>0</v>
      </c>
      <c r="CK293" s="80">
        <v>13940</v>
      </c>
      <c r="CL293" s="80">
        <v>20663</v>
      </c>
      <c r="CM293" s="80">
        <v>20461</v>
      </c>
      <c r="CN293" s="80">
        <v>14019</v>
      </c>
      <c r="CO293" s="80">
        <v>6442</v>
      </c>
      <c r="CP293" s="80">
        <v>0</v>
      </c>
      <c r="CQ293" s="80">
        <v>3</v>
      </c>
      <c r="CR293" s="80">
        <v>0</v>
      </c>
      <c r="CS293" s="80">
        <v>0</v>
      </c>
      <c r="CT293" s="80">
        <v>3</v>
      </c>
      <c r="CU293" s="80">
        <v>199</v>
      </c>
      <c r="CV293" s="80">
        <v>57</v>
      </c>
      <c r="CW293" s="80">
        <v>28</v>
      </c>
      <c r="CX293" s="80">
        <v>29</v>
      </c>
      <c r="CY293" s="80">
        <v>0</v>
      </c>
      <c r="CZ293" s="80">
        <v>6385</v>
      </c>
      <c r="DA293" s="80">
        <v>174</v>
      </c>
      <c r="DB293" s="80">
        <v>174</v>
      </c>
      <c r="DC293" s="80">
        <v>0</v>
      </c>
      <c r="DD293" s="80">
        <v>0</v>
      </c>
      <c r="DE293" s="80">
        <v>0</v>
      </c>
      <c r="DF293" s="80">
        <v>0</v>
      </c>
      <c r="DG293" s="80">
        <v>3445</v>
      </c>
      <c r="DH293" s="80">
        <v>660</v>
      </c>
      <c r="DI293" s="80">
        <v>405</v>
      </c>
      <c r="DJ293" s="80">
        <v>0</v>
      </c>
      <c r="DK293" s="80">
        <v>255</v>
      </c>
      <c r="DL293" s="80">
        <v>0</v>
      </c>
      <c r="DM293" s="80">
        <v>2785</v>
      </c>
      <c r="DN293" s="80">
        <v>1425</v>
      </c>
      <c r="DO293" s="80">
        <v>1</v>
      </c>
      <c r="DP293" s="80">
        <v>1220</v>
      </c>
      <c r="DQ293" s="80">
        <v>139</v>
      </c>
      <c r="DR293" s="80">
        <v>851</v>
      </c>
      <c r="DS293" s="80">
        <v>10</v>
      </c>
      <c r="DT293" s="80">
        <v>0</v>
      </c>
      <c r="DU293" s="80">
        <v>841</v>
      </c>
      <c r="DV293" s="80">
        <v>0</v>
      </c>
      <c r="DW293" s="80">
        <v>1915</v>
      </c>
      <c r="DX293" s="80">
        <v>169332</v>
      </c>
      <c r="DY293" s="80">
        <v>60440</v>
      </c>
      <c r="DZ293" s="80">
        <v>50993</v>
      </c>
      <c r="EA293" s="80">
        <v>32</v>
      </c>
      <c r="EB293" s="80">
        <v>0</v>
      </c>
      <c r="EC293" s="80">
        <v>10668</v>
      </c>
      <c r="ED293" s="80">
        <v>-1253</v>
      </c>
      <c r="EE293" s="80">
        <v>3239</v>
      </c>
      <c r="EF293" s="80">
        <v>3239</v>
      </c>
      <c r="EG293" s="80">
        <v>0</v>
      </c>
      <c r="EH293" s="80">
        <v>0</v>
      </c>
      <c r="EI293" s="80">
        <v>0</v>
      </c>
      <c r="EJ293" s="80">
        <v>0</v>
      </c>
      <c r="EK293" s="80">
        <v>31</v>
      </c>
      <c r="EL293" s="80">
        <v>2</v>
      </c>
      <c r="EM293" s="80">
        <v>29</v>
      </c>
      <c r="EN293" s="80">
        <v>0</v>
      </c>
      <c r="EO293" s="80">
        <v>105622</v>
      </c>
      <c r="EP293" s="80">
        <v>69176</v>
      </c>
      <c r="EQ293" s="80">
        <v>0</v>
      </c>
      <c r="ER293" s="80">
        <v>58138</v>
      </c>
      <c r="ES293" s="80">
        <v>10432</v>
      </c>
      <c r="ET293" s="80">
        <v>45839</v>
      </c>
      <c r="EU293" s="80">
        <v>0</v>
      </c>
      <c r="EV293" s="80">
        <v>1867</v>
      </c>
      <c r="EW293" s="80">
        <v>11</v>
      </c>
      <c r="EX293" s="80">
        <v>0</v>
      </c>
      <c r="EY293" s="80">
        <v>2613</v>
      </c>
      <c r="EZ293" s="80">
        <v>0</v>
      </c>
      <c r="FA293" s="80">
        <v>8414</v>
      </c>
      <c r="FB293" s="80">
        <v>0</v>
      </c>
      <c r="FC293" s="80">
        <v>0</v>
      </c>
      <c r="FD293" s="80">
        <v>36446</v>
      </c>
      <c r="FE293" s="80">
        <v>12000</v>
      </c>
      <c r="FF293" s="80">
        <v>11470</v>
      </c>
      <c r="FG293" s="80">
        <v>1442</v>
      </c>
      <c r="FH293" s="80">
        <v>9561</v>
      </c>
      <c r="FI293" s="80">
        <v>0</v>
      </c>
      <c r="FJ293" s="80">
        <v>467</v>
      </c>
      <c r="FK293" s="80">
        <v>5</v>
      </c>
      <c r="FL293" s="80">
        <v>0</v>
      </c>
      <c r="FM293" s="80">
        <v>674</v>
      </c>
      <c r="FN293" s="80">
        <v>4938</v>
      </c>
      <c r="FO293" s="80">
        <v>1111</v>
      </c>
      <c r="FP293" s="80">
        <v>6248</v>
      </c>
      <c r="FQ293" s="80">
        <v>169332</v>
      </c>
      <c r="FR293" s="80">
        <v>566</v>
      </c>
      <c r="FS293" s="80">
        <v>5132</v>
      </c>
      <c r="FT293" s="100">
        <v>100080.35826308656</v>
      </c>
      <c r="FU293" s="100"/>
      <c r="FV293" s="100">
        <v>44830</v>
      </c>
      <c r="FW293" s="67">
        <v>9348</v>
      </c>
      <c r="FX293" s="100">
        <f t="shared" si="25"/>
        <v>-78356</v>
      </c>
      <c r="FY293" s="100">
        <f t="shared" si="26"/>
        <v>-124997</v>
      </c>
      <c r="FZ293" s="100">
        <v>81403.246738519898</v>
      </c>
      <c r="GA293" s="67">
        <v>46641</v>
      </c>
      <c r="GB293" s="58">
        <f t="shared" si="23"/>
        <v>1811</v>
      </c>
      <c r="GC293" s="67">
        <v>9348</v>
      </c>
      <c r="GD293" s="100">
        <v>5087</v>
      </c>
      <c r="GE293" s="100">
        <v>5087</v>
      </c>
      <c r="GF293" s="58">
        <f t="shared" si="24"/>
        <v>0</v>
      </c>
      <c r="GG293" s="100">
        <v>-65396.700000000004</v>
      </c>
      <c r="GH293" s="100">
        <v>-1006.2681000000006</v>
      </c>
      <c r="GI293" s="100">
        <v>-14995.065911544807</v>
      </c>
      <c r="GJ293" s="67">
        <f t="shared" si="27"/>
        <v>0</v>
      </c>
      <c r="GK293" s="67"/>
      <c r="GM293" s="96"/>
    </row>
    <row r="294" spans="1:195" ht="13.5" customHeight="1" x14ac:dyDescent="0.2">
      <c r="A294" s="74">
        <v>925</v>
      </c>
      <c r="B294" s="75" t="s">
        <v>204</v>
      </c>
      <c r="C294" s="75" t="s">
        <v>204</v>
      </c>
      <c r="D294" s="76"/>
      <c r="E294" s="77" t="s">
        <v>239</v>
      </c>
      <c r="F294" s="78">
        <v>2</v>
      </c>
      <c r="G294" s="79">
        <v>3757</v>
      </c>
      <c r="H294" s="80">
        <v>2244</v>
      </c>
      <c r="I294" s="80">
        <v>720</v>
      </c>
      <c r="J294" s="80">
        <v>308</v>
      </c>
      <c r="K294" s="80">
        <v>329</v>
      </c>
      <c r="L294" s="80">
        <v>887</v>
      </c>
      <c r="M294" s="80">
        <v>0</v>
      </c>
      <c r="N294" s="80">
        <v>0</v>
      </c>
      <c r="O294" s="80">
        <v>24410</v>
      </c>
      <c r="P294" s="80">
        <v>6750</v>
      </c>
      <c r="Q294" s="80">
        <v>4834</v>
      </c>
      <c r="R294" s="80">
        <v>1916</v>
      </c>
      <c r="S294" s="80">
        <v>1667</v>
      </c>
      <c r="T294" s="80">
        <v>249</v>
      </c>
      <c r="U294" s="80">
        <v>15856</v>
      </c>
      <c r="V294" s="80">
        <v>1161</v>
      </c>
      <c r="W294" s="80">
        <v>449</v>
      </c>
      <c r="X294" s="80">
        <v>194</v>
      </c>
      <c r="Y294" s="80">
        <v>-22166</v>
      </c>
      <c r="Z294" s="80">
        <v>12508</v>
      </c>
      <c r="AA294" s="80">
        <v>9662</v>
      </c>
      <c r="AB294" s="80">
        <v>2032</v>
      </c>
      <c r="AC294" s="80">
        <v>814</v>
      </c>
      <c r="AD294" s="80">
        <v>10578</v>
      </c>
      <c r="AE294" s="80">
        <v>455</v>
      </c>
      <c r="AF294" s="80">
        <v>15</v>
      </c>
      <c r="AG294" s="80">
        <v>499</v>
      </c>
      <c r="AH294" s="80">
        <v>408</v>
      </c>
      <c r="AI294" s="80">
        <v>59</v>
      </c>
      <c r="AJ294" s="80">
        <v>0</v>
      </c>
      <c r="AK294" s="80">
        <v>1375</v>
      </c>
      <c r="AL294" s="80">
        <v>704</v>
      </c>
      <c r="AM294" s="80">
        <v>704</v>
      </c>
      <c r="AN294" s="80">
        <v>0</v>
      </c>
      <c r="AO294" s="80">
        <v>0</v>
      </c>
      <c r="AP294" s="80">
        <v>0</v>
      </c>
      <c r="AQ294" s="80">
        <v>0</v>
      </c>
      <c r="AR294" s="80">
        <v>671</v>
      </c>
      <c r="AS294" s="80">
        <v>18</v>
      </c>
      <c r="AT294" s="80">
        <v>0</v>
      </c>
      <c r="AU294" s="80">
        <v>0</v>
      </c>
      <c r="AV294" s="80">
        <v>689</v>
      </c>
      <c r="AW294" s="81"/>
      <c r="AX294" s="80">
        <v>1375</v>
      </c>
      <c r="AY294" s="80">
        <v>1375</v>
      </c>
      <c r="AZ294" s="80">
        <v>0</v>
      </c>
      <c r="BA294" s="80">
        <v>0</v>
      </c>
      <c r="BB294" s="80">
        <v>-4221</v>
      </c>
      <c r="BC294" s="80">
        <v>4223</v>
      </c>
      <c r="BD294" s="80">
        <v>0</v>
      </c>
      <c r="BE294" s="80">
        <v>2</v>
      </c>
      <c r="BF294" s="80">
        <v>-2846</v>
      </c>
      <c r="BG294" s="80">
        <v>2906</v>
      </c>
      <c r="BH294" s="80">
        <v>50</v>
      </c>
      <c r="BI294" s="80">
        <v>0</v>
      </c>
      <c r="BJ294" s="80">
        <v>50</v>
      </c>
      <c r="BK294" s="80">
        <v>2468</v>
      </c>
      <c r="BL294" s="80">
        <v>3000</v>
      </c>
      <c r="BM294" s="80">
        <v>532</v>
      </c>
      <c r="BN294" s="80">
        <v>0</v>
      </c>
      <c r="BO294" s="80">
        <v>0</v>
      </c>
      <c r="BP294" s="80">
        <v>388</v>
      </c>
      <c r="BQ294" s="80">
        <v>80</v>
      </c>
      <c r="BR294" s="80">
        <v>-1</v>
      </c>
      <c r="BS294" s="80">
        <v>64</v>
      </c>
      <c r="BT294" s="80">
        <v>245</v>
      </c>
      <c r="BU294" s="80">
        <v>60</v>
      </c>
      <c r="BV294" s="80">
        <v>1039</v>
      </c>
      <c r="BW294" s="80">
        <v>979</v>
      </c>
      <c r="BX294" s="81"/>
      <c r="BY294" s="80">
        <v>20892</v>
      </c>
      <c r="BZ294" s="80">
        <v>381</v>
      </c>
      <c r="CA294" s="80">
        <v>9</v>
      </c>
      <c r="CB294" s="80">
        <v>372</v>
      </c>
      <c r="CC294" s="80">
        <v>0</v>
      </c>
      <c r="CD294" s="80">
        <v>14076</v>
      </c>
      <c r="CE294" s="80">
        <v>1964</v>
      </c>
      <c r="CF294" s="80">
        <v>9702</v>
      </c>
      <c r="CG294" s="80">
        <v>675</v>
      </c>
      <c r="CH294" s="80">
        <v>231</v>
      </c>
      <c r="CI294" s="80">
        <v>17</v>
      </c>
      <c r="CJ294" s="80">
        <v>17</v>
      </c>
      <c r="CK294" s="80">
        <v>1487</v>
      </c>
      <c r="CL294" s="80">
        <v>6435</v>
      </c>
      <c r="CM294" s="80">
        <v>5641</v>
      </c>
      <c r="CN294" s="80">
        <v>2538</v>
      </c>
      <c r="CO294" s="80">
        <v>3103</v>
      </c>
      <c r="CP294" s="80">
        <v>0</v>
      </c>
      <c r="CQ294" s="80">
        <v>794</v>
      </c>
      <c r="CR294" s="80">
        <v>0</v>
      </c>
      <c r="CS294" s="80">
        <v>0</v>
      </c>
      <c r="CT294" s="80">
        <v>794</v>
      </c>
      <c r="CU294" s="80">
        <v>0</v>
      </c>
      <c r="CV294" s="80">
        <v>0</v>
      </c>
      <c r="CW294" s="80">
        <v>0</v>
      </c>
      <c r="CX294" s="80">
        <v>0</v>
      </c>
      <c r="CY294" s="80">
        <v>0</v>
      </c>
      <c r="CZ294" s="80">
        <v>1542</v>
      </c>
      <c r="DA294" s="80">
        <v>16</v>
      </c>
      <c r="DB294" s="80">
        <v>16</v>
      </c>
      <c r="DC294" s="80">
        <v>0</v>
      </c>
      <c r="DD294" s="80">
        <v>0</v>
      </c>
      <c r="DE294" s="80">
        <v>0</v>
      </c>
      <c r="DF294" s="80">
        <v>0</v>
      </c>
      <c r="DG294" s="80">
        <v>487</v>
      </c>
      <c r="DH294" s="80">
        <v>0</v>
      </c>
      <c r="DI294" s="80">
        <v>0</v>
      </c>
      <c r="DJ294" s="80">
        <v>0</v>
      </c>
      <c r="DK294" s="80">
        <v>0</v>
      </c>
      <c r="DL294" s="80">
        <v>0</v>
      </c>
      <c r="DM294" s="80">
        <v>487</v>
      </c>
      <c r="DN294" s="80">
        <v>159</v>
      </c>
      <c r="DO294" s="80">
        <v>0</v>
      </c>
      <c r="DP294" s="80">
        <v>223</v>
      </c>
      <c r="DQ294" s="80">
        <v>105</v>
      </c>
      <c r="DR294" s="80">
        <v>673</v>
      </c>
      <c r="DS294" s="80">
        <v>0</v>
      </c>
      <c r="DT294" s="80">
        <v>0</v>
      </c>
      <c r="DU294" s="80">
        <v>0</v>
      </c>
      <c r="DV294" s="80">
        <v>673</v>
      </c>
      <c r="DW294" s="80">
        <v>366</v>
      </c>
      <c r="DX294" s="80">
        <v>22434</v>
      </c>
      <c r="DY294" s="80">
        <v>12444</v>
      </c>
      <c r="DZ294" s="80">
        <v>11063</v>
      </c>
      <c r="EA294" s="80">
        <v>0</v>
      </c>
      <c r="EB294" s="80">
        <v>597</v>
      </c>
      <c r="EC294" s="80">
        <v>95</v>
      </c>
      <c r="ED294" s="80">
        <v>689</v>
      </c>
      <c r="EE294" s="80">
        <v>297</v>
      </c>
      <c r="EF294" s="80">
        <v>297</v>
      </c>
      <c r="EG294" s="80">
        <v>0</v>
      </c>
      <c r="EH294" s="80">
        <v>0</v>
      </c>
      <c r="EI294" s="80">
        <v>0</v>
      </c>
      <c r="EJ294" s="80">
        <v>0</v>
      </c>
      <c r="EK294" s="80">
        <v>103</v>
      </c>
      <c r="EL294" s="80">
        <v>0</v>
      </c>
      <c r="EM294" s="80">
        <v>85</v>
      </c>
      <c r="EN294" s="80">
        <v>18</v>
      </c>
      <c r="EO294" s="80">
        <v>9590</v>
      </c>
      <c r="EP294" s="80">
        <v>3844</v>
      </c>
      <c r="EQ294" s="80">
        <v>0</v>
      </c>
      <c r="ER294" s="80">
        <v>3488</v>
      </c>
      <c r="ES294" s="80">
        <v>2738</v>
      </c>
      <c r="ET294" s="80">
        <v>750</v>
      </c>
      <c r="EU294" s="80">
        <v>0</v>
      </c>
      <c r="EV294" s="80">
        <v>0</v>
      </c>
      <c r="EW294" s="80">
        <v>356</v>
      </c>
      <c r="EX294" s="80">
        <v>0</v>
      </c>
      <c r="EY294" s="80">
        <v>0</v>
      </c>
      <c r="EZ294" s="80">
        <v>0</v>
      </c>
      <c r="FA294" s="80">
        <v>0</v>
      </c>
      <c r="FB294" s="80">
        <v>0</v>
      </c>
      <c r="FC294" s="80">
        <v>0</v>
      </c>
      <c r="FD294" s="80">
        <v>5746</v>
      </c>
      <c r="FE294" s="80">
        <v>0</v>
      </c>
      <c r="FF294" s="80">
        <v>317</v>
      </c>
      <c r="FG294" s="80">
        <v>150</v>
      </c>
      <c r="FH294" s="80">
        <v>167</v>
      </c>
      <c r="FI294" s="80">
        <v>0</v>
      </c>
      <c r="FJ294" s="80">
        <v>0</v>
      </c>
      <c r="FK294" s="80">
        <v>15</v>
      </c>
      <c r="FL294" s="80">
        <v>0</v>
      </c>
      <c r="FM294" s="80">
        <v>0</v>
      </c>
      <c r="FN294" s="80">
        <v>3908</v>
      </c>
      <c r="FO294" s="80">
        <v>112</v>
      </c>
      <c r="FP294" s="80">
        <v>1394</v>
      </c>
      <c r="FQ294" s="80">
        <v>22434</v>
      </c>
      <c r="FR294" s="80">
        <v>13522</v>
      </c>
      <c r="FS294" s="80">
        <v>513</v>
      </c>
      <c r="FT294" s="100">
        <v>11698.699448816962</v>
      </c>
      <c r="FU294" s="100"/>
      <c r="FV294" s="100">
        <v>4000</v>
      </c>
      <c r="FW294" s="67">
        <v>704</v>
      </c>
      <c r="FX294" s="100">
        <f t="shared" si="25"/>
        <v>-17412</v>
      </c>
      <c r="FY294" s="100">
        <f t="shared" si="26"/>
        <v>-21462</v>
      </c>
      <c r="FZ294" s="100">
        <v>14044.804495169894</v>
      </c>
      <c r="GA294" s="67">
        <v>4050</v>
      </c>
      <c r="GB294" s="58">
        <f t="shared" si="23"/>
        <v>50</v>
      </c>
      <c r="GC294" s="67">
        <v>704</v>
      </c>
      <c r="GD294" s="100">
        <v>309</v>
      </c>
      <c r="GE294" s="100">
        <v>309</v>
      </c>
      <c r="GF294" s="58">
        <f t="shared" si="24"/>
        <v>0</v>
      </c>
      <c r="GG294" s="100">
        <v>-5507.0410000000002</v>
      </c>
      <c r="GH294" s="100">
        <v>-699.24945000000048</v>
      </c>
      <c r="GI294" s="100">
        <v>-8035.0966358558762</v>
      </c>
      <c r="GJ294" s="67">
        <f t="shared" si="27"/>
        <v>0</v>
      </c>
      <c r="GK294" s="67"/>
      <c r="GM294" s="96"/>
    </row>
    <row r="295" spans="1:195" ht="13.5" customHeight="1" x14ac:dyDescent="0.2">
      <c r="A295" s="74">
        <v>931</v>
      </c>
      <c r="B295" s="75" t="s">
        <v>205</v>
      </c>
      <c r="C295" s="75" t="s">
        <v>205</v>
      </c>
      <c r="D295" s="76"/>
      <c r="E295" s="77" t="s">
        <v>231</v>
      </c>
      <c r="F295" s="78">
        <v>3</v>
      </c>
      <c r="G295" s="79">
        <v>6666</v>
      </c>
      <c r="H295" s="80">
        <v>30506</v>
      </c>
      <c r="I295" s="80">
        <v>22475</v>
      </c>
      <c r="J295" s="80">
        <v>3914</v>
      </c>
      <c r="K295" s="80">
        <v>983</v>
      </c>
      <c r="L295" s="80">
        <v>3134</v>
      </c>
      <c r="M295" s="80">
        <v>0</v>
      </c>
      <c r="N295" s="80">
        <v>0</v>
      </c>
      <c r="O295" s="80">
        <v>71024</v>
      </c>
      <c r="P295" s="80">
        <v>27273</v>
      </c>
      <c r="Q295" s="80">
        <v>20933</v>
      </c>
      <c r="R295" s="80">
        <v>6340</v>
      </c>
      <c r="S295" s="80">
        <v>5173</v>
      </c>
      <c r="T295" s="80">
        <v>1167</v>
      </c>
      <c r="U295" s="80">
        <v>35723</v>
      </c>
      <c r="V295" s="80">
        <v>3316</v>
      </c>
      <c r="W295" s="80">
        <v>3110</v>
      </c>
      <c r="X295" s="80">
        <v>1602</v>
      </c>
      <c r="Y295" s="80">
        <v>-40518</v>
      </c>
      <c r="Z295" s="80">
        <v>21594</v>
      </c>
      <c r="AA295" s="80">
        <v>17455</v>
      </c>
      <c r="AB295" s="80">
        <v>2098</v>
      </c>
      <c r="AC295" s="80">
        <v>2041</v>
      </c>
      <c r="AD295" s="80">
        <v>22486</v>
      </c>
      <c r="AE295" s="80">
        <v>-479</v>
      </c>
      <c r="AF295" s="80">
        <v>57</v>
      </c>
      <c r="AG295" s="80">
        <v>14</v>
      </c>
      <c r="AH295" s="80">
        <v>0</v>
      </c>
      <c r="AI295" s="80">
        <v>151</v>
      </c>
      <c r="AJ295" s="80">
        <v>399</v>
      </c>
      <c r="AK295" s="80">
        <v>3083</v>
      </c>
      <c r="AL295" s="80">
        <v>2552</v>
      </c>
      <c r="AM295" s="80">
        <v>2552</v>
      </c>
      <c r="AN295" s="80">
        <v>0</v>
      </c>
      <c r="AO295" s="80">
        <v>0</v>
      </c>
      <c r="AP295" s="80">
        <v>0</v>
      </c>
      <c r="AQ295" s="80">
        <v>0</v>
      </c>
      <c r="AR295" s="80">
        <v>531</v>
      </c>
      <c r="AS295" s="80">
        <v>0</v>
      </c>
      <c r="AT295" s="80">
        <v>0</v>
      </c>
      <c r="AU295" s="80">
        <v>0</v>
      </c>
      <c r="AV295" s="80">
        <v>531</v>
      </c>
      <c r="AW295" s="81"/>
      <c r="AX295" s="80">
        <v>3083</v>
      </c>
      <c r="AY295" s="80">
        <v>3083</v>
      </c>
      <c r="AZ295" s="80">
        <v>0</v>
      </c>
      <c r="BA295" s="80">
        <v>0</v>
      </c>
      <c r="BB295" s="80">
        <v>-1376</v>
      </c>
      <c r="BC295" s="80">
        <v>1785</v>
      </c>
      <c r="BD295" s="80">
        <v>319</v>
      </c>
      <c r="BE295" s="80">
        <v>90</v>
      </c>
      <c r="BF295" s="80">
        <v>1707</v>
      </c>
      <c r="BG295" s="80">
        <v>-747</v>
      </c>
      <c r="BH295" s="80">
        <v>70</v>
      </c>
      <c r="BI295" s="80">
        <v>0</v>
      </c>
      <c r="BJ295" s="80">
        <v>70</v>
      </c>
      <c r="BK295" s="80">
        <v>-1943</v>
      </c>
      <c r="BL295" s="80">
        <v>0</v>
      </c>
      <c r="BM295" s="80">
        <v>1943</v>
      </c>
      <c r="BN295" s="80">
        <v>0</v>
      </c>
      <c r="BO295" s="80">
        <v>0</v>
      </c>
      <c r="BP295" s="80">
        <v>1126</v>
      </c>
      <c r="BQ295" s="80">
        <v>22</v>
      </c>
      <c r="BR295" s="80">
        <v>1</v>
      </c>
      <c r="BS295" s="80">
        <v>587</v>
      </c>
      <c r="BT295" s="80">
        <v>516</v>
      </c>
      <c r="BU295" s="80">
        <v>960</v>
      </c>
      <c r="BV295" s="80">
        <v>3247</v>
      </c>
      <c r="BW295" s="80">
        <v>2287</v>
      </c>
      <c r="BX295" s="81"/>
      <c r="BY295" s="80">
        <v>58699</v>
      </c>
      <c r="BZ295" s="80">
        <v>101</v>
      </c>
      <c r="CA295" s="80">
        <v>101</v>
      </c>
      <c r="CB295" s="80">
        <v>0</v>
      </c>
      <c r="CC295" s="80">
        <v>0</v>
      </c>
      <c r="CD295" s="80">
        <v>47343</v>
      </c>
      <c r="CE295" s="80">
        <v>5144</v>
      </c>
      <c r="CF295" s="80">
        <v>35970</v>
      </c>
      <c r="CG295" s="80">
        <v>4925</v>
      </c>
      <c r="CH295" s="80">
        <v>199</v>
      </c>
      <c r="CI295" s="80">
        <v>0</v>
      </c>
      <c r="CJ295" s="80">
        <v>0</v>
      </c>
      <c r="CK295" s="80">
        <v>1105</v>
      </c>
      <c r="CL295" s="80">
        <v>11255</v>
      </c>
      <c r="CM295" s="80">
        <v>9886</v>
      </c>
      <c r="CN295" s="80">
        <v>2329</v>
      </c>
      <c r="CO295" s="80">
        <v>7557</v>
      </c>
      <c r="CP295" s="80">
        <v>0</v>
      </c>
      <c r="CQ295" s="80">
        <v>1369</v>
      </c>
      <c r="CR295" s="80">
        <v>0</v>
      </c>
      <c r="CS295" s="80">
        <v>0</v>
      </c>
      <c r="CT295" s="80">
        <v>1369</v>
      </c>
      <c r="CU295" s="80">
        <v>0</v>
      </c>
      <c r="CV295" s="80">
        <v>16</v>
      </c>
      <c r="CW295" s="80">
        <v>0</v>
      </c>
      <c r="CX295" s="80">
        <v>16</v>
      </c>
      <c r="CY295" s="80">
        <v>0</v>
      </c>
      <c r="CZ295" s="80">
        <v>7931</v>
      </c>
      <c r="DA295" s="80">
        <v>34</v>
      </c>
      <c r="DB295" s="80">
        <v>34</v>
      </c>
      <c r="DC295" s="80">
        <v>0</v>
      </c>
      <c r="DD295" s="80">
        <v>0</v>
      </c>
      <c r="DE295" s="80">
        <v>0</v>
      </c>
      <c r="DF295" s="80">
        <v>0</v>
      </c>
      <c r="DG295" s="80">
        <v>4650</v>
      </c>
      <c r="DH295" s="80">
        <v>950</v>
      </c>
      <c r="DI295" s="80">
        <v>950</v>
      </c>
      <c r="DJ295" s="80">
        <v>0</v>
      </c>
      <c r="DK295" s="80">
        <v>0</v>
      </c>
      <c r="DL295" s="80">
        <v>0</v>
      </c>
      <c r="DM295" s="80">
        <v>3700</v>
      </c>
      <c r="DN295" s="80">
        <v>1044</v>
      </c>
      <c r="DO295" s="80">
        <v>16</v>
      </c>
      <c r="DP295" s="80">
        <v>2640</v>
      </c>
      <c r="DQ295" s="80">
        <v>0</v>
      </c>
      <c r="DR295" s="80">
        <v>0</v>
      </c>
      <c r="DS295" s="80">
        <v>0</v>
      </c>
      <c r="DT295" s="80">
        <v>0</v>
      </c>
      <c r="DU295" s="80">
        <v>0</v>
      </c>
      <c r="DV295" s="80">
        <v>0</v>
      </c>
      <c r="DW295" s="80">
        <v>3247</v>
      </c>
      <c r="DX295" s="80">
        <v>66646</v>
      </c>
      <c r="DY295" s="80">
        <v>33222</v>
      </c>
      <c r="DZ295" s="80">
        <v>21061</v>
      </c>
      <c r="EA295" s="80">
        <v>266</v>
      </c>
      <c r="EB295" s="80">
        <v>33</v>
      </c>
      <c r="EC295" s="80">
        <v>11331</v>
      </c>
      <c r="ED295" s="80">
        <v>531</v>
      </c>
      <c r="EE295" s="80">
        <v>0</v>
      </c>
      <c r="EF295" s="80">
        <v>0</v>
      </c>
      <c r="EG295" s="80">
        <v>0</v>
      </c>
      <c r="EH295" s="80">
        <v>0</v>
      </c>
      <c r="EI295" s="80">
        <v>0</v>
      </c>
      <c r="EJ295" s="80">
        <v>0</v>
      </c>
      <c r="EK295" s="80">
        <v>137</v>
      </c>
      <c r="EL295" s="80">
        <v>12</v>
      </c>
      <c r="EM295" s="80">
        <v>118</v>
      </c>
      <c r="EN295" s="80">
        <v>7</v>
      </c>
      <c r="EO295" s="80">
        <v>33287</v>
      </c>
      <c r="EP295" s="80">
        <v>15222</v>
      </c>
      <c r="EQ295" s="80">
        <v>0</v>
      </c>
      <c r="ER295" s="80">
        <v>14716</v>
      </c>
      <c r="ES295" s="80">
        <v>0</v>
      </c>
      <c r="ET295" s="80">
        <v>14716</v>
      </c>
      <c r="EU295" s="80">
        <v>0</v>
      </c>
      <c r="EV295" s="80">
        <v>0</v>
      </c>
      <c r="EW295" s="80">
        <v>506</v>
      </c>
      <c r="EX295" s="80">
        <v>0</v>
      </c>
      <c r="EY295" s="80">
        <v>0</v>
      </c>
      <c r="EZ295" s="80">
        <v>0</v>
      </c>
      <c r="FA295" s="80">
        <v>0</v>
      </c>
      <c r="FB295" s="80">
        <v>0</v>
      </c>
      <c r="FC295" s="80">
        <v>0</v>
      </c>
      <c r="FD295" s="80">
        <v>18065</v>
      </c>
      <c r="FE295" s="80">
        <v>0</v>
      </c>
      <c r="FF295" s="80">
        <v>9731</v>
      </c>
      <c r="FG295" s="80">
        <v>5000</v>
      </c>
      <c r="FH295" s="80">
        <v>4731</v>
      </c>
      <c r="FI295" s="80">
        <v>0</v>
      </c>
      <c r="FJ295" s="80">
        <v>0</v>
      </c>
      <c r="FK295" s="80">
        <v>62</v>
      </c>
      <c r="FL295" s="80">
        <v>0</v>
      </c>
      <c r="FM295" s="80">
        <v>395</v>
      </c>
      <c r="FN295" s="80">
        <v>3680</v>
      </c>
      <c r="FO295" s="80">
        <v>1356</v>
      </c>
      <c r="FP295" s="80">
        <v>2841</v>
      </c>
      <c r="FQ295" s="80">
        <v>66646</v>
      </c>
      <c r="FR295" s="80">
        <v>16491</v>
      </c>
      <c r="FS295" s="80">
        <v>1992</v>
      </c>
      <c r="FT295" s="100">
        <v>20614.091039350304</v>
      </c>
      <c r="FU295" s="100"/>
      <c r="FV295" s="100">
        <v>8859</v>
      </c>
      <c r="FW295" s="67">
        <v>2463</v>
      </c>
      <c r="FX295" s="100">
        <f t="shared" si="25"/>
        <v>-4182</v>
      </c>
      <c r="FY295" s="100">
        <f t="shared" si="26"/>
        <v>-37966</v>
      </c>
      <c r="FZ295" s="100">
        <v>28470.341855812079</v>
      </c>
      <c r="GA295" s="67">
        <v>33784</v>
      </c>
      <c r="GB295" s="58">
        <f t="shared" si="23"/>
        <v>24925</v>
      </c>
      <c r="GC295" s="67">
        <v>2555</v>
      </c>
      <c r="GD295" s="100">
        <v>3464</v>
      </c>
      <c r="GE295" s="100">
        <v>229</v>
      </c>
      <c r="GF295" s="58">
        <f t="shared" si="24"/>
        <v>3235</v>
      </c>
      <c r="GG295" s="100">
        <v>-9956.4439999999995</v>
      </c>
      <c r="GH295" s="100">
        <v>-648.43435000000034</v>
      </c>
      <c r="GI295" s="100">
        <v>-18395.854297870264</v>
      </c>
      <c r="GJ295" s="67">
        <f t="shared" si="27"/>
        <v>92</v>
      </c>
      <c r="GK295" s="67"/>
      <c r="GM295" s="96"/>
    </row>
    <row r="296" spans="1:195" ht="13.5" customHeight="1" x14ac:dyDescent="0.2">
      <c r="A296" s="74">
        <v>405</v>
      </c>
      <c r="B296" s="75" t="s">
        <v>271</v>
      </c>
      <c r="C296" s="82" t="s">
        <v>271</v>
      </c>
      <c r="D296" s="76"/>
      <c r="E296" s="77" t="s">
        <v>243</v>
      </c>
      <c r="F296" s="78">
        <v>6</v>
      </c>
      <c r="G296" s="79">
        <v>72875</v>
      </c>
      <c r="H296" s="80">
        <v>43768</v>
      </c>
      <c r="I296" s="80">
        <v>14188</v>
      </c>
      <c r="J296" s="80">
        <v>9066</v>
      </c>
      <c r="K296" s="80">
        <v>4516</v>
      </c>
      <c r="L296" s="80">
        <v>15998</v>
      </c>
      <c r="M296" s="80">
        <v>0</v>
      </c>
      <c r="N296" s="80">
        <v>21632</v>
      </c>
      <c r="O296" s="80">
        <v>447020</v>
      </c>
      <c r="P296" s="80">
        <v>103086</v>
      </c>
      <c r="Q296" s="80">
        <v>78262</v>
      </c>
      <c r="R296" s="80">
        <v>24824</v>
      </c>
      <c r="S296" s="80">
        <v>20289</v>
      </c>
      <c r="T296" s="80">
        <v>4535</v>
      </c>
      <c r="U296" s="80">
        <v>316780</v>
      </c>
      <c r="V296" s="80">
        <v>15632</v>
      </c>
      <c r="W296" s="80">
        <v>7950</v>
      </c>
      <c r="X296" s="80">
        <v>3572</v>
      </c>
      <c r="Y296" s="80">
        <v>-381620</v>
      </c>
      <c r="Z296" s="80">
        <v>296962</v>
      </c>
      <c r="AA296" s="80">
        <v>249786</v>
      </c>
      <c r="AB296" s="80">
        <v>23032</v>
      </c>
      <c r="AC296" s="80">
        <v>24144</v>
      </c>
      <c r="AD296" s="80">
        <v>99980</v>
      </c>
      <c r="AE296" s="80">
        <v>11406</v>
      </c>
      <c r="AF296" s="80">
        <v>8514</v>
      </c>
      <c r="AG296" s="80">
        <v>7380</v>
      </c>
      <c r="AH296" s="80">
        <v>6606</v>
      </c>
      <c r="AI296" s="80">
        <v>3440</v>
      </c>
      <c r="AJ296" s="80">
        <v>1048</v>
      </c>
      <c r="AK296" s="80">
        <v>26728</v>
      </c>
      <c r="AL296" s="80">
        <v>22092</v>
      </c>
      <c r="AM296" s="80">
        <v>19741</v>
      </c>
      <c r="AN296" s="80">
        <v>2351</v>
      </c>
      <c r="AO296" s="80">
        <v>0</v>
      </c>
      <c r="AP296" s="80">
        <v>0</v>
      </c>
      <c r="AQ296" s="80">
        <v>0</v>
      </c>
      <c r="AR296" s="80">
        <v>4636</v>
      </c>
      <c r="AS296" s="80">
        <v>-119</v>
      </c>
      <c r="AT296" s="80">
        <v>158</v>
      </c>
      <c r="AU296" s="80">
        <v>0</v>
      </c>
      <c r="AV296" s="80">
        <v>4675</v>
      </c>
      <c r="AW296" s="81"/>
      <c r="AX296" s="80">
        <v>24835</v>
      </c>
      <c r="AY296" s="80">
        <v>26728</v>
      </c>
      <c r="AZ296" s="80">
        <v>0</v>
      </c>
      <c r="BA296" s="80">
        <v>-1893</v>
      </c>
      <c r="BB296" s="80">
        <v>-24149</v>
      </c>
      <c r="BC296" s="80">
        <v>28154</v>
      </c>
      <c r="BD296" s="80">
        <v>1764</v>
      </c>
      <c r="BE296" s="80">
        <v>2241</v>
      </c>
      <c r="BF296" s="80">
        <v>686</v>
      </c>
      <c r="BG296" s="80">
        <v>-1648</v>
      </c>
      <c r="BH296" s="80">
        <v>-3</v>
      </c>
      <c r="BI296" s="80">
        <v>19</v>
      </c>
      <c r="BJ296" s="80">
        <v>16</v>
      </c>
      <c r="BK296" s="80">
        <v>-13136</v>
      </c>
      <c r="BL296" s="80">
        <v>43500</v>
      </c>
      <c r="BM296" s="80">
        <v>56129</v>
      </c>
      <c r="BN296" s="80">
        <v>-507</v>
      </c>
      <c r="BO296" s="80">
        <v>0</v>
      </c>
      <c r="BP296" s="80">
        <v>11491</v>
      </c>
      <c r="BQ296" s="80">
        <v>-27</v>
      </c>
      <c r="BR296" s="80">
        <v>808</v>
      </c>
      <c r="BS296" s="80">
        <v>14645</v>
      </c>
      <c r="BT296" s="80">
        <v>-3935</v>
      </c>
      <c r="BU296" s="80">
        <v>-961</v>
      </c>
      <c r="BV296" s="80">
        <v>29546</v>
      </c>
      <c r="BW296" s="80">
        <v>30507</v>
      </c>
      <c r="BX296" s="81"/>
      <c r="BY296" s="80">
        <v>528281</v>
      </c>
      <c r="BZ296" s="80">
        <v>3393</v>
      </c>
      <c r="CA296" s="80">
        <v>130</v>
      </c>
      <c r="CB296" s="80">
        <v>3263</v>
      </c>
      <c r="CC296" s="80">
        <v>0</v>
      </c>
      <c r="CD296" s="80">
        <v>296126</v>
      </c>
      <c r="CE296" s="80">
        <v>61413</v>
      </c>
      <c r="CF296" s="80">
        <v>152995</v>
      </c>
      <c r="CG296" s="80">
        <v>73502</v>
      </c>
      <c r="CH296" s="80">
        <v>2228</v>
      </c>
      <c r="CI296" s="80">
        <v>145</v>
      </c>
      <c r="CJ296" s="80">
        <v>68</v>
      </c>
      <c r="CK296" s="80">
        <v>5843</v>
      </c>
      <c r="CL296" s="80">
        <v>228762</v>
      </c>
      <c r="CM296" s="80">
        <v>108999</v>
      </c>
      <c r="CN296" s="80">
        <v>16772</v>
      </c>
      <c r="CO296" s="80">
        <v>92227</v>
      </c>
      <c r="CP296" s="80">
        <v>0</v>
      </c>
      <c r="CQ296" s="80">
        <v>119540</v>
      </c>
      <c r="CR296" s="80">
        <v>0</v>
      </c>
      <c r="CS296" s="80">
        <v>0</v>
      </c>
      <c r="CT296" s="80">
        <v>119540</v>
      </c>
      <c r="CU296" s="80">
        <v>223</v>
      </c>
      <c r="CV296" s="80">
        <v>295</v>
      </c>
      <c r="CW296" s="80">
        <v>183</v>
      </c>
      <c r="CX296" s="80">
        <v>112</v>
      </c>
      <c r="CY296" s="80">
        <v>0</v>
      </c>
      <c r="CZ296" s="80">
        <v>41910</v>
      </c>
      <c r="DA296" s="80">
        <v>60</v>
      </c>
      <c r="DB296" s="80">
        <v>60</v>
      </c>
      <c r="DC296" s="80">
        <v>0</v>
      </c>
      <c r="DD296" s="80">
        <v>0</v>
      </c>
      <c r="DE296" s="80">
        <v>0</v>
      </c>
      <c r="DF296" s="80">
        <v>0</v>
      </c>
      <c r="DG296" s="80">
        <v>12306</v>
      </c>
      <c r="DH296" s="80">
        <v>3078</v>
      </c>
      <c r="DI296" s="80">
        <v>0</v>
      </c>
      <c r="DJ296" s="80">
        <v>3021</v>
      </c>
      <c r="DK296" s="80">
        <v>57</v>
      </c>
      <c r="DL296" s="80">
        <v>0</v>
      </c>
      <c r="DM296" s="80">
        <v>9228</v>
      </c>
      <c r="DN296" s="80">
        <v>3440</v>
      </c>
      <c r="DO296" s="80">
        <v>110</v>
      </c>
      <c r="DP296" s="80">
        <v>5478</v>
      </c>
      <c r="DQ296" s="80">
        <v>200</v>
      </c>
      <c r="DR296" s="80">
        <v>0</v>
      </c>
      <c r="DS296" s="80">
        <v>0</v>
      </c>
      <c r="DT296" s="80">
        <v>0</v>
      </c>
      <c r="DU296" s="80">
        <v>0</v>
      </c>
      <c r="DV296" s="80">
        <v>0</v>
      </c>
      <c r="DW296" s="80">
        <v>29544</v>
      </c>
      <c r="DX296" s="80">
        <v>570486</v>
      </c>
      <c r="DY296" s="80">
        <v>274138</v>
      </c>
      <c r="DZ296" s="80">
        <v>217299</v>
      </c>
      <c r="EA296" s="80">
        <v>0</v>
      </c>
      <c r="EB296" s="80">
        <v>48</v>
      </c>
      <c r="EC296" s="80">
        <v>52116</v>
      </c>
      <c r="ED296" s="80">
        <v>4675</v>
      </c>
      <c r="EE296" s="80">
        <v>2506</v>
      </c>
      <c r="EF296" s="80">
        <v>1779</v>
      </c>
      <c r="EG296" s="80">
        <v>727</v>
      </c>
      <c r="EH296" s="80">
        <v>459</v>
      </c>
      <c r="EI296" s="80">
        <v>393</v>
      </c>
      <c r="EJ296" s="80">
        <v>66</v>
      </c>
      <c r="EK296" s="80">
        <v>531</v>
      </c>
      <c r="EL296" s="80">
        <v>180</v>
      </c>
      <c r="EM296" s="80">
        <v>351</v>
      </c>
      <c r="EN296" s="80">
        <v>0</v>
      </c>
      <c r="EO296" s="80">
        <v>292852</v>
      </c>
      <c r="EP296" s="80">
        <v>200592</v>
      </c>
      <c r="EQ296" s="80">
        <v>45000</v>
      </c>
      <c r="ER296" s="80">
        <v>124256</v>
      </c>
      <c r="ES296" s="80">
        <v>14089</v>
      </c>
      <c r="ET296" s="80">
        <v>110167</v>
      </c>
      <c r="EU296" s="80">
        <v>0</v>
      </c>
      <c r="EV296" s="80">
        <v>0</v>
      </c>
      <c r="EW296" s="80">
        <v>19</v>
      </c>
      <c r="EX296" s="80">
        <v>0</v>
      </c>
      <c r="EY296" s="80">
        <v>0</v>
      </c>
      <c r="EZ296" s="80">
        <v>0</v>
      </c>
      <c r="FA296" s="80">
        <v>31317</v>
      </c>
      <c r="FB296" s="80">
        <v>0</v>
      </c>
      <c r="FC296" s="80">
        <v>0</v>
      </c>
      <c r="FD296" s="80">
        <v>92260</v>
      </c>
      <c r="FE296" s="80">
        <v>0</v>
      </c>
      <c r="FF296" s="80">
        <v>34560</v>
      </c>
      <c r="FG296" s="80">
        <v>16792</v>
      </c>
      <c r="FH296" s="80">
        <v>17768</v>
      </c>
      <c r="FI296" s="80">
        <v>0</v>
      </c>
      <c r="FJ296" s="80">
        <v>0</v>
      </c>
      <c r="FK296" s="80">
        <v>4</v>
      </c>
      <c r="FL296" s="80">
        <v>29321</v>
      </c>
      <c r="FM296" s="80">
        <v>107</v>
      </c>
      <c r="FN296" s="80">
        <v>7339</v>
      </c>
      <c r="FO296" s="80">
        <v>4942</v>
      </c>
      <c r="FP296" s="80">
        <v>15987</v>
      </c>
      <c r="FQ296" s="80">
        <v>570486</v>
      </c>
      <c r="FR296" s="80">
        <v>190051</v>
      </c>
      <c r="FS296" s="80">
        <v>7179</v>
      </c>
      <c r="FT296" s="100">
        <v>211245.68997453048</v>
      </c>
      <c r="FU296" s="100"/>
      <c r="FV296" s="100">
        <v>69504</v>
      </c>
      <c r="FW296" s="67">
        <v>21652</v>
      </c>
      <c r="FX296" s="100">
        <f t="shared" si="25"/>
        <v>-285137</v>
      </c>
      <c r="FY296" s="100">
        <f t="shared" si="26"/>
        <v>-359528</v>
      </c>
      <c r="FZ296" s="100">
        <v>246473.59524167737</v>
      </c>
      <c r="GA296" s="67">
        <v>74391</v>
      </c>
      <c r="GB296" s="58">
        <f t="shared" si="23"/>
        <v>4887</v>
      </c>
      <c r="GC296" s="67">
        <v>22089</v>
      </c>
      <c r="GD296" s="100">
        <v>9125</v>
      </c>
      <c r="GE296" s="100">
        <v>8762</v>
      </c>
      <c r="GF296" s="58">
        <f t="shared" si="24"/>
        <v>363</v>
      </c>
      <c r="GG296" s="100">
        <v>-143396.93</v>
      </c>
      <c r="GH296" s="100">
        <v>-7087.0907000000034</v>
      </c>
      <c r="GI296" s="100">
        <v>-95626.259782495166</v>
      </c>
      <c r="GJ296" s="67">
        <f t="shared" si="27"/>
        <v>437</v>
      </c>
      <c r="GK296" s="67"/>
      <c r="GM296" s="96"/>
    </row>
    <row r="297" spans="1:195" ht="13.5" customHeight="1" x14ac:dyDescent="0.2">
      <c r="A297" s="74">
        <v>934</v>
      </c>
      <c r="B297" s="75" t="s">
        <v>206</v>
      </c>
      <c r="C297" s="75" t="s">
        <v>206</v>
      </c>
      <c r="D297" s="76"/>
      <c r="E297" s="77" t="s">
        <v>215</v>
      </c>
      <c r="F297" s="78">
        <v>2</v>
      </c>
      <c r="G297" s="79">
        <v>3073</v>
      </c>
      <c r="H297" s="80">
        <v>2182</v>
      </c>
      <c r="I297" s="80">
        <v>829</v>
      </c>
      <c r="J297" s="80">
        <v>285</v>
      </c>
      <c r="K297" s="80">
        <v>1</v>
      </c>
      <c r="L297" s="80">
        <v>1067</v>
      </c>
      <c r="M297" s="80">
        <v>0</v>
      </c>
      <c r="N297" s="80">
        <v>0</v>
      </c>
      <c r="O297" s="80">
        <v>18483</v>
      </c>
      <c r="P297" s="80">
        <v>729</v>
      </c>
      <c r="Q297" s="80">
        <v>537</v>
      </c>
      <c r="R297" s="80">
        <v>192</v>
      </c>
      <c r="S297" s="80">
        <v>179</v>
      </c>
      <c r="T297" s="80">
        <v>13</v>
      </c>
      <c r="U297" s="80">
        <v>17183</v>
      </c>
      <c r="V297" s="80">
        <v>121</v>
      </c>
      <c r="W297" s="80">
        <v>192</v>
      </c>
      <c r="X297" s="80">
        <v>258</v>
      </c>
      <c r="Y297" s="80">
        <v>-16301</v>
      </c>
      <c r="Z297" s="80">
        <v>10529</v>
      </c>
      <c r="AA297" s="80">
        <v>9148</v>
      </c>
      <c r="AB297" s="80">
        <v>615</v>
      </c>
      <c r="AC297" s="80">
        <v>766</v>
      </c>
      <c r="AD297" s="80">
        <v>8059</v>
      </c>
      <c r="AE297" s="80">
        <v>-71</v>
      </c>
      <c r="AF297" s="80">
        <v>2</v>
      </c>
      <c r="AG297" s="80">
        <v>40</v>
      </c>
      <c r="AH297" s="80">
        <v>11</v>
      </c>
      <c r="AI297" s="80">
        <v>107</v>
      </c>
      <c r="AJ297" s="80">
        <v>6</v>
      </c>
      <c r="AK297" s="80">
        <v>2216</v>
      </c>
      <c r="AL297" s="80">
        <v>818</v>
      </c>
      <c r="AM297" s="80">
        <v>818</v>
      </c>
      <c r="AN297" s="80">
        <v>0</v>
      </c>
      <c r="AO297" s="80">
        <v>0</v>
      </c>
      <c r="AP297" s="80">
        <v>0</v>
      </c>
      <c r="AQ297" s="80">
        <v>0</v>
      </c>
      <c r="AR297" s="80">
        <v>1398</v>
      </c>
      <c r="AS297" s="80">
        <v>0</v>
      </c>
      <c r="AT297" s="80">
        <v>0</v>
      </c>
      <c r="AU297" s="80">
        <v>0</v>
      </c>
      <c r="AV297" s="80">
        <v>1398</v>
      </c>
      <c r="AW297" s="81"/>
      <c r="AX297" s="80">
        <v>1943</v>
      </c>
      <c r="AY297" s="80">
        <v>2216</v>
      </c>
      <c r="AZ297" s="80">
        <v>0</v>
      </c>
      <c r="BA297" s="80">
        <v>-273</v>
      </c>
      <c r="BB297" s="80">
        <v>-1184</v>
      </c>
      <c r="BC297" s="80">
        <v>1836</v>
      </c>
      <c r="BD297" s="80">
        <v>282</v>
      </c>
      <c r="BE297" s="80">
        <v>370</v>
      </c>
      <c r="BF297" s="80">
        <v>759</v>
      </c>
      <c r="BG297" s="80">
        <v>-1473</v>
      </c>
      <c r="BH297" s="80">
        <v>0</v>
      </c>
      <c r="BI297" s="80">
        <v>0</v>
      </c>
      <c r="BJ297" s="80">
        <v>0</v>
      </c>
      <c r="BK297" s="80">
        <v>-707</v>
      </c>
      <c r="BL297" s="80">
        <v>122</v>
      </c>
      <c r="BM297" s="80">
        <v>829</v>
      </c>
      <c r="BN297" s="80">
        <v>0</v>
      </c>
      <c r="BO297" s="80">
        <v>0</v>
      </c>
      <c r="BP297" s="80">
        <v>-766</v>
      </c>
      <c r="BQ297" s="80">
        <v>-6</v>
      </c>
      <c r="BR297" s="80">
        <v>0</v>
      </c>
      <c r="BS297" s="80">
        <v>-26</v>
      </c>
      <c r="BT297" s="80">
        <v>-734</v>
      </c>
      <c r="BU297" s="80">
        <v>-716</v>
      </c>
      <c r="BV297" s="80">
        <v>1456</v>
      </c>
      <c r="BW297" s="80">
        <v>2172</v>
      </c>
      <c r="BX297" s="81"/>
      <c r="BY297" s="80">
        <v>21035</v>
      </c>
      <c r="BZ297" s="80">
        <v>35</v>
      </c>
      <c r="CA297" s="80">
        <v>0</v>
      </c>
      <c r="CB297" s="80">
        <v>35</v>
      </c>
      <c r="CC297" s="80">
        <v>0</v>
      </c>
      <c r="CD297" s="80">
        <v>16272</v>
      </c>
      <c r="CE297" s="80">
        <v>2087</v>
      </c>
      <c r="CF297" s="80">
        <v>10427</v>
      </c>
      <c r="CG297" s="80">
        <v>3615</v>
      </c>
      <c r="CH297" s="80">
        <v>99</v>
      </c>
      <c r="CI297" s="80">
        <v>0</v>
      </c>
      <c r="CJ297" s="80">
        <v>0</v>
      </c>
      <c r="CK297" s="80">
        <v>44</v>
      </c>
      <c r="CL297" s="80">
        <v>4728</v>
      </c>
      <c r="CM297" s="80">
        <v>4001</v>
      </c>
      <c r="CN297" s="80">
        <v>2243</v>
      </c>
      <c r="CO297" s="80">
        <v>1758</v>
      </c>
      <c r="CP297" s="80">
        <v>0</v>
      </c>
      <c r="CQ297" s="80">
        <v>631</v>
      </c>
      <c r="CR297" s="80">
        <v>0</v>
      </c>
      <c r="CS297" s="80">
        <v>0</v>
      </c>
      <c r="CT297" s="80">
        <v>631</v>
      </c>
      <c r="CU297" s="80">
        <v>96</v>
      </c>
      <c r="CV297" s="80">
        <v>55</v>
      </c>
      <c r="CW297" s="80">
        <v>15</v>
      </c>
      <c r="CX297" s="80">
        <v>40</v>
      </c>
      <c r="CY297" s="80">
        <v>0</v>
      </c>
      <c r="CZ297" s="80">
        <v>2076</v>
      </c>
      <c r="DA297" s="80">
        <v>0</v>
      </c>
      <c r="DB297" s="80">
        <v>0</v>
      </c>
      <c r="DC297" s="80">
        <v>0</v>
      </c>
      <c r="DD297" s="80">
        <v>0</v>
      </c>
      <c r="DE297" s="80">
        <v>0</v>
      </c>
      <c r="DF297" s="80">
        <v>0</v>
      </c>
      <c r="DG297" s="80">
        <v>620</v>
      </c>
      <c r="DH297" s="80">
        <v>10</v>
      </c>
      <c r="DI297" s="80">
        <v>0</v>
      </c>
      <c r="DJ297" s="80">
        <v>0</v>
      </c>
      <c r="DK297" s="80">
        <v>10</v>
      </c>
      <c r="DL297" s="80">
        <v>0</v>
      </c>
      <c r="DM297" s="80">
        <v>610</v>
      </c>
      <c r="DN297" s="80">
        <v>475</v>
      </c>
      <c r="DO297" s="80">
        <v>45</v>
      </c>
      <c r="DP297" s="80">
        <v>7</v>
      </c>
      <c r="DQ297" s="80">
        <v>83</v>
      </c>
      <c r="DR297" s="80">
        <v>0</v>
      </c>
      <c r="DS297" s="80">
        <v>0</v>
      </c>
      <c r="DT297" s="80">
        <v>0</v>
      </c>
      <c r="DU297" s="80">
        <v>0</v>
      </c>
      <c r="DV297" s="80">
        <v>0</v>
      </c>
      <c r="DW297" s="80">
        <v>1456</v>
      </c>
      <c r="DX297" s="80">
        <v>23166</v>
      </c>
      <c r="DY297" s="80">
        <v>8777</v>
      </c>
      <c r="DZ297" s="80">
        <v>10970</v>
      </c>
      <c r="EA297" s="80">
        <v>0</v>
      </c>
      <c r="EB297" s="80">
        <v>0</v>
      </c>
      <c r="EC297" s="80">
        <v>-3591</v>
      </c>
      <c r="ED297" s="80">
        <v>1398</v>
      </c>
      <c r="EE297" s="80">
        <v>0</v>
      </c>
      <c r="EF297" s="80">
        <v>0</v>
      </c>
      <c r="EG297" s="80">
        <v>0</v>
      </c>
      <c r="EH297" s="80">
        <v>0</v>
      </c>
      <c r="EI297" s="80">
        <v>0</v>
      </c>
      <c r="EJ297" s="80">
        <v>0</v>
      </c>
      <c r="EK297" s="80">
        <v>54</v>
      </c>
      <c r="EL297" s="80">
        <v>0</v>
      </c>
      <c r="EM297" s="80">
        <v>54</v>
      </c>
      <c r="EN297" s="80">
        <v>0</v>
      </c>
      <c r="EO297" s="80">
        <v>14335</v>
      </c>
      <c r="EP297" s="80">
        <v>7165</v>
      </c>
      <c r="EQ297" s="80">
        <v>0</v>
      </c>
      <c r="ER297" s="80">
        <v>6106</v>
      </c>
      <c r="ES297" s="80">
        <v>3</v>
      </c>
      <c r="ET297" s="80">
        <v>6103</v>
      </c>
      <c r="EU297" s="80">
        <v>0</v>
      </c>
      <c r="EV297" s="80">
        <v>0</v>
      </c>
      <c r="EW297" s="80">
        <v>0</v>
      </c>
      <c r="EX297" s="80">
        <v>0</v>
      </c>
      <c r="EY297" s="80">
        <v>0</v>
      </c>
      <c r="EZ297" s="80">
        <v>0</v>
      </c>
      <c r="FA297" s="80">
        <v>1059</v>
      </c>
      <c r="FB297" s="80">
        <v>0</v>
      </c>
      <c r="FC297" s="80">
        <v>0</v>
      </c>
      <c r="FD297" s="80">
        <v>7170</v>
      </c>
      <c r="FE297" s="80">
        <v>0</v>
      </c>
      <c r="FF297" s="80">
        <v>6708</v>
      </c>
      <c r="FG297" s="80">
        <v>6708</v>
      </c>
      <c r="FH297" s="80">
        <v>0</v>
      </c>
      <c r="FI297" s="80">
        <v>0</v>
      </c>
      <c r="FJ297" s="80">
        <v>0</v>
      </c>
      <c r="FK297" s="80">
        <v>0</v>
      </c>
      <c r="FL297" s="80">
        <v>0</v>
      </c>
      <c r="FM297" s="80">
        <v>1</v>
      </c>
      <c r="FN297" s="80">
        <v>190</v>
      </c>
      <c r="FO297" s="80">
        <v>22</v>
      </c>
      <c r="FP297" s="80">
        <v>249</v>
      </c>
      <c r="FQ297" s="80">
        <v>23166</v>
      </c>
      <c r="FR297" s="80">
        <v>2279</v>
      </c>
      <c r="FS297" s="80">
        <v>463</v>
      </c>
      <c r="FT297" s="100">
        <v>7546.3532013665599</v>
      </c>
      <c r="FU297" s="100"/>
      <c r="FV297" s="100">
        <v>2376</v>
      </c>
      <c r="FW297" s="67">
        <v>818</v>
      </c>
      <c r="FX297" s="100">
        <f t="shared" si="25"/>
        <v>-13107</v>
      </c>
      <c r="FY297" s="100">
        <f t="shared" si="26"/>
        <v>-15483</v>
      </c>
      <c r="FZ297" s="100">
        <v>10882.336575372521</v>
      </c>
      <c r="GA297" s="67">
        <v>2376</v>
      </c>
      <c r="GB297" s="58">
        <f t="shared" si="23"/>
        <v>0</v>
      </c>
      <c r="GC297" s="67">
        <v>818</v>
      </c>
      <c r="GD297" s="100">
        <v>285</v>
      </c>
      <c r="GE297" s="100">
        <v>285</v>
      </c>
      <c r="GF297" s="58">
        <f t="shared" si="24"/>
        <v>0</v>
      </c>
      <c r="GG297" s="100">
        <v>-5007.3220000000001</v>
      </c>
      <c r="GH297" s="100">
        <v>-181.22430000000011</v>
      </c>
      <c r="GI297" s="100">
        <v>-5787.6985940570066</v>
      </c>
      <c r="GJ297" s="67">
        <f t="shared" si="27"/>
        <v>0</v>
      </c>
      <c r="GK297" s="67"/>
      <c r="GM297" s="96"/>
    </row>
    <row r="298" spans="1:195" ht="13.5" customHeight="1" x14ac:dyDescent="0.2">
      <c r="A298" s="74">
        <v>936</v>
      </c>
      <c r="B298" s="75" t="s">
        <v>319</v>
      </c>
      <c r="C298" s="82" t="s">
        <v>319</v>
      </c>
      <c r="D298" s="76"/>
      <c r="E298" s="77" t="s">
        <v>214</v>
      </c>
      <c r="F298" s="78">
        <v>3</v>
      </c>
      <c r="G298" s="79">
        <v>7002</v>
      </c>
      <c r="H298" s="80">
        <v>33597</v>
      </c>
      <c r="I298" s="80">
        <v>25575</v>
      </c>
      <c r="J298" s="80">
        <v>4960</v>
      </c>
      <c r="K298" s="80">
        <v>1358</v>
      </c>
      <c r="L298" s="80">
        <v>1704</v>
      </c>
      <c r="M298" s="80">
        <v>86</v>
      </c>
      <c r="N298" s="80">
        <v>0</v>
      </c>
      <c r="O298" s="80">
        <v>72278</v>
      </c>
      <c r="P298" s="80">
        <v>34093</v>
      </c>
      <c r="Q298" s="80">
        <v>26399</v>
      </c>
      <c r="R298" s="80">
        <v>7694</v>
      </c>
      <c r="S298" s="80">
        <v>6286</v>
      </c>
      <c r="T298" s="80">
        <v>1408</v>
      </c>
      <c r="U298" s="80">
        <v>28508</v>
      </c>
      <c r="V298" s="80">
        <v>4652</v>
      </c>
      <c r="W298" s="80">
        <v>3282</v>
      </c>
      <c r="X298" s="80">
        <v>1743</v>
      </c>
      <c r="Y298" s="80">
        <v>-38595</v>
      </c>
      <c r="Z298" s="80">
        <v>22003</v>
      </c>
      <c r="AA298" s="80">
        <v>17967</v>
      </c>
      <c r="AB298" s="80">
        <v>2170</v>
      </c>
      <c r="AC298" s="80">
        <v>1866</v>
      </c>
      <c r="AD298" s="80">
        <v>22546</v>
      </c>
      <c r="AE298" s="80">
        <v>149</v>
      </c>
      <c r="AF298" s="80">
        <v>11</v>
      </c>
      <c r="AG298" s="80">
        <v>254</v>
      </c>
      <c r="AH298" s="80">
        <v>223</v>
      </c>
      <c r="AI298" s="80">
        <v>111</v>
      </c>
      <c r="AJ298" s="80">
        <v>5</v>
      </c>
      <c r="AK298" s="80">
        <v>6103</v>
      </c>
      <c r="AL298" s="80">
        <v>3154</v>
      </c>
      <c r="AM298" s="80">
        <v>3154</v>
      </c>
      <c r="AN298" s="80">
        <v>0</v>
      </c>
      <c r="AO298" s="80">
        <v>0</v>
      </c>
      <c r="AP298" s="80">
        <v>0</v>
      </c>
      <c r="AQ298" s="80">
        <v>0</v>
      </c>
      <c r="AR298" s="80">
        <v>2949</v>
      </c>
      <c r="AS298" s="80">
        <v>137</v>
      </c>
      <c r="AT298" s="80">
        <v>-1000</v>
      </c>
      <c r="AU298" s="80">
        <v>0</v>
      </c>
      <c r="AV298" s="80">
        <v>2086</v>
      </c>
      <c r="AW298" s="81"/>
      <c r="AX298" s="80">
        <v>6099</v>
      </c>
      <c r="AY298" s="80">
        <v>6103</v>
      </c>
      <c r="AZ298" s="80">
        <v>0</v>
      </c>
      <c r="BA298" s="80">
        <v>-4</v>
      </c>
      <c r="BB298" s="80">
        <v>-2950</v>
      </c>
      <c r="BC298" s="80">
        <v>3474</v>
      </c>
      <c r="BD298" s="80">
        <v>519</v>
      </c>
      <c r="BE298" s="80">
        <v>5</v>
      </c>
      <c r="BF298" s="80">
        <v>3149</v>
      </c>
      <c r="BG298" s="80">
        <v>-1141</v>
      </c>
      <c r="BH298" s="80">
        <v>-18</v>
      </c>
      <c r="BI298" s="80">
        <v>18</v>
      </c>
      <c r="BJ298" s="80">
        <v>0</v>
      </c>
      <c r="BK298" s="80">
        <v>-852</v>
      </c>
      <c r="BL298" s="80">
        <v>0</v>
      </c>
      <c r="BM298" s="80">
        <v>852</v>
      </c>
      <c r="BN298" s="80">
        <v>0</v>
      </c>
      <c r="BO298" s="80">
        <v>0</v>
      </c>
      <c r="BP298" s="80">
        <v>-271</v>
      </c>
      <c r="BQ298" s="80">
        <v>-22</v>
      </c>
      <c r="BR298" s="80">
        <v>-85</v>
      </c>
      <c r="BS298" s="80">
        <v>159</v>
      </c>
      <c r="BT298" s="80">
        <v>-323</v>
      </c>
      <c r="BU298" s="80">
        <v>2007</v>
      </c>
      <c r="BV298" s="80">
        <v>8054</v>
      </c>
      <c r="BW298" s="80">
        <v>6047</v>
      </c>
      <c r="BX298" s="81"/>
      <c r="BY298" s="80">
        <v>43513</v>
      </c>
      <c r="BZ298" s="80">
        <v>872</v>
      </c>
      <c r="CA298" s="80">
        <v>872</v>
      </c>
      <c r="CB298" s="80">
        <v>0</v>
      </c>
      <c r="CC298" s="80">
        <v>0</v>
      </c>
      <c r="CD298" s="80">
        <v>34866</v>
      </c>
      <c r="CE298" s="80">
        <v>5060</v>
      </c>
      <c r="CF298" s="80">
        <v>22376</v>
      </c>
      <c r="CG298" s="80">
        <v>5827</v>
      </c>
      <c r="CH298" s="80">
        <v>300</v>
      </c>
      <c r="CI298" s="80">
        <v>206</v>
      </c>
      <c r="CJ298" s="80">
        <v>0</v>
      </c>
      <c r="CK298" s="80">
        <v>1097</v>
      </c>
      <c r="CL298" s="80">
        <v>7775</v>
      </c>
      <c r="CM298" s="80">
        <v>7485</v>
      </c>
      <c r="CN298" s="80">
        <v>2659</v>
      </c>
      <c r="CO298" s="80">
        <v>4826</v>
      </c>
      <c r="CP298" s="80">
        <v>0</v>
      </c>
      <c r="CQ298" s="80">
        <v>0</v>
      </c>
      <c r="CR298" s="80">
        <v>0</v>
      </c>
      <c r="CS298" s="80">
        <v>0</v>
      </c>
      <c r="CT298" s="80">
        <v>0</v>
      </c>
      <c r="CU298" s="80">
        <v>290</v>
      </c>
      <c r="CV298" s="80">
        <v>338</v>
      </c>
      <c r="CW298" s="80">
        <v>1</v>
      </c>
      <c r="CX298" s="80">
        <v>337</v>
      </c>
      <c r="CY298" s="80">
        <v>0</v>
      </c>
      <c r="CZ298" s="80">
        <v>12764</v>
      </c>
      <c r="DA298" s="80">
        <v>102</v>
      </c>
      <c r="DB298" s="80">
        <v>95</v>
      </c>
      <c r="DC298" s="80">
        <v>0</v>
      </c>
      <c r="DD298" s="80">
        <v>7</v>
      </c>
      <c r="DE298" s="80">
        <v>0</v>
      </c>
      <c r="DF298" s="80">
        <v>0</v>
      </c>
      <c r="DG298" s="80">
        <v>4608</v>
      </c>
      <c r="DH298" s="80">
        <v>1715</v>
      </c>
      <c r="DI298" s="80">
        <v>0</v>
      </c>
      <c r="DJ298" s="80">
        <v>1715</v>
      </c>
      <c r="DK298" s="80">
        <v>0</v>
      </c>
      <c r="DL298" s="80">
        <v>0</v>
      </c>
      <c r="DM298" s="80">
        <v>2893</v>
      </c>
      <c r="DN298" s="80">
        <v>2124</v>
      </c>
      <c r="DO298" s="80">
        <v>0</v>
      </c>
      <c r="DP298" s="80">
        <v>423</v>
      </c>
      <c r="DQ298" s="80">
        <v>346</v>
      </c>
      <c r="DR298" s="80">
        <v>0</v>
      </c>
      <c r="DS298" s="80">
        <v>0</v>
      </c>
      <c r="DT298" s="80">
        <v>0</v>
      </c>
      <c r="DU298" s="80">
        <v>0</v>
      </c>
      <c r="DV298" s="80">
        <v>0</v>
      </c>
      <c r="DW298" s="80">
        <v>8054</v>
      </c>
      <c r="DX298" s="80">
        <v>56615</v>
      </c>
      <c r="DY298" s="80">
        <v>38353</v>
      </c>
      <c r="DZ298" s="80">
        <v>23750</v>
      </c>
      <c r="EA298" s="80">
        <v>0</v>
      </c>
      <c r="EB298" s="80">
        <v>336</v>
      </c>
      <c r="EC298" s="80">
        <v>12181</v>
      </c>
      <c r="ED298" s="80">
        <v>2086</v>
      </c>
      <c r="EE298" s="80">
        <v>2904</v>
      </c>
      <c r="EF298" s="80">
        <v>1415</v>
      </c>
      <c r="EG298" s="80">
        <v>1489</v>
      </c>
      <c r="EH298" s="80">
        <v>0</v>
      </c>
      <c r="EI298" s="80">
        <v>0</v>
      </c>
      <c r="EJ298" s="80">
        <v>0</v>
      </c>
      <c r="EK298" s="80">
        <v>442</v>
      </c>
      <c r="EL298" s="80">
        <v>1</v>
      </c>
      <c r="EM298" s="80">
        <v>441</v>
      </c>
      <c r="EN298" s="80">
        <v>0</v>
      </c>
      <c r="EO298" s="80">
        <v>14916</v>
      </c>
      <c r="EP298" s="80">
        <v>5449</v>
      </c>
      <c r="EQ298" s="80">
        <v>0</v>
      </c>
      <c r="ER298" s="80">
        <v>4261</v>
      </c>
      <c r="ES298" s="80">
        <v>2300</v>
      </c>
      <c r="ET298" s="80">
        <v>1961</v>
      </c>
      <c r="EU298" s="80">
        <v>0</v>
      </c>
      <c r="EV298" s="80">
        <v>0</v>
      </c>
      <c r="EW298" s="80">
        <v>0</v>
      </c>
      <c r="EX298" s="80">
        <v>0</v>
      </c>
      <c r="EY298" s="80">
        <v>0</v>
      </c>
      <c r="EZ298" s="80">
        <v>6</v>
      </c>
      <c r="FA298" s="80">
        <v>1182</v>
      </c>
      <c r="FB298" s="80">
        <v>0</v>
      </c>
      <c r="FC298" s="80">
        <v>0</v>
      </c>
      <c r="FD298" s="80">
        <v>9467</v>
      </c>
      <c r="FE298" s="80">
        <v>0</v>
      </c>
      <c r="FF298" s="80">
        <v>702</v>
      </c>
      <c r="FG298" s="80">
        <v>400</v>
      </c>
      <c r="FH298" s="80">
        <v>302</v>
      </c>
      <c r="FI298" s="80">
        <v>0</v>
      </c>
      <c r="FJ298" s="80">
        <v>0</v>
      </c>
      <c r="FK298" s="80">
        <v>0</v>
      </c>
      <c r="FL298" s="80">
        <v>0</v>
      </c>
      <c r="FM298" s="80">
        <v>127</v>
      </c>
      <c r="FN298" s="80">
        <v>2606</v>
      </c>
      <c r="FO298" s="80">
        <v>911</v>
      </c>
      <c r="FP298" s="80">
        <v>5121</v>
      </c>
      <c r="FQ298" s="80">
        <v>56615</v>
      </c>
      <c r="FR298" s="80">
        <v>7841</v>
      </c>
      <c r="FS298" s="80">
        <v>102</v>
      </c>
      <c r="FT298" s="100">
        <v>28779.757286422522</v>
      </c>
      <c r="FU298" s="100"/>
      <c r="FV298" s="100">
        <v>15629</v>
      </c>
      <c r="FW298" s="67">
        <v>3107</v>
      </c>
      <c r="FX298" s="100">
        <f t="shared" si="25"/>
        <v>7112</v>
      </c>
      <c r="FY298" s="100">
        <f t="shared" si="26"/>
        <v>-35441</v>
      </c>
      <c r="FZ298" s="100">
        <v>25443.821358988702</v>
      </c>
      <c r="GA298" s="67">
        <v>42553</v>
      </c>
      <c r="GB298" s="58">
        <f t="shared" si="23"/>
        <v>26924</v>
      </c>
      <c r="GC298" s="67">
        <v>3154</v>
      </c>
      <c r="GD298" s="100">
        <v>4969</v>
      </c>
      <c r="GE298" s="100">
        <v>675</v>
      </c>
      <c r="GF298" s="58">
        <f t="shared" si="24"/>
        <v>4294</v>
      </c>
      <c r="GG298" s="100">
        <v>-10675.873</v>
      </c>
      <c r="GH298" s="100">
        <v>-685.97065000000021</v>
      </c>
      <c r="GI298" s="100">
        <v>-14649.483457128907</v>
      </c>
      <c r="GJ298" s="67">
        <f t="shared" si="27"/>
        <v>47</v>
      </c>
      <c r="GK298" s="67"/>
      <c r="GM298" s="96"/>
    </row>
    <row r="299" spans="1:195" ht="13.5" customHeight="1" x14ac:dyDescent="0.2">
      <c r="A299" s="74">
        <v>935</v>
      </c>
      <c r="B299" s="75" t="s">
        <v>207</v>
      </c>
      <c r="C299" s="75" t="s">
        <v>207</v>
      </c>
      <c r="D299" s="76"/>
      <c r="E299" s="77" t="s">
        <v>230</v>
      </c>
      <c r="F299" s="78">
        <v>2</v>
      </c>
      <c r="G299" s="79">
        <v>3347</v>
      </c>
      <c r="H299" s="80">
        <v>8273</v>
      </c>
      <c r="I299" s="80">
        <v>4973</v>
      </c>
      <c r="J299" s="80">
        <v>139</v>
      </c>
      <c r="K299" s="80">
        <v>240</v>
      </c>
      <c r="L299" s="80">
        <v>2921</v>
      </c>
      <c r="M299" s="80">
        <v>0</v>
      </c>
      <c r="N299" s="80">
        <v>0</v>
      </c>
      <c r="O299" s="80">
        <v>26666</v>
      </c>
      <c r="P299" s="80">
        <v>7861</v>
      </c>
      <c r="Q299" s="80">
        <v>5966</v>
      </c>
      <c r="R299" s="80">
        <v>1895</v>
      </c>
      <c r="S299" s="80">
        <v>1595</v>
      </c>
      <c r="T299" s="80">
        <v>300</v>
      </c>
      <c r="U299" s="80">
        <v>15196</v>
      </c>
      <c r="V299" s="80">
        <v>1827</v>
      </c>
      <c r="W299" s="80">
        <v>414</v>
      </c>
      <c r="X299" s="80">
        <v>1368</v>
      </c>
      <c r="Y299" s="80">
        <v>-18393</v>
      </c>
      <c r="Z299" s="80">
        <v>11124</v>
      </c>
      <c r="AA299" s="80">
        <v>8756</v>
      </c>
      <c r="AB299" s="80">
        <v>1296</v>
      </c>
      <c r="AC299" s="80">
        <v>1072</v>
      </c>
      <c r="AD299" s="80">
        <v>8643</v>
      </c>
      <c r="AE299" s="80">
        <v>144</v>
      </c>
      <c r="AF299" s="80">
        <v>81</v>
      </c>
      <c r="AG299" s="80">
        <v>238</v>
      </c>
      <c r="AH299" s="80">
        <v>235</v>
      </c>
      <c r="AI299" s="80">
        <v>174</v>
      </c>
      <c r="AJ299" s="80">
        <v>1</v>
      </c>
      <c r="AK299" s="80">
        <v>1518</v>
      </c>
      <c r="AL299" s="80">
        <v>1100</v>
      </c>
      <c r="AM299" s="80">
        <v>1100</v>
      </c>
      <c r="AN299" s="80">
        <v>0</v>
      </c>
      <c r="AO299" s="80">
        <v>0</v>
      </c>
      <c r="AP299" s="80">
        <v>0</v>
      </c>
      <c r="AQ299" s="80">
        <v>0</v>
      </c>
      <c r="AR299" s="80">
        <v>418</v>
      </c>
      <c r="AS299" s="80">
        <v>0</v>
      </c>
      <c r="AT299" s="80">
        <v>0</v>
      </c>
      <c r="AU299" s="80">
        <v>0</v>
      </c>
      <c r="AV299" s="80">
        <v>418</v>
      </c>
      <c r="AW299" s="81"/>
      <c r="AX299" s="80">
        <v>1365</v>
      </c>
      <c r="AY299" s="80">
        <v>1518</v>
      </c>
      <c r="AZ299" s="80">
        <v>0</v>
      </c>
      <c r="BA299" s="80">
        <v>-153</v>
      </c>
      <c r="BB299" s="80">
        <v>-1529</v>
      </c>
      <c r="BC299" s="80">
        <v>2009</v>
      </c>
      <c r="BD299" s="80">
        <v>120</v>
      </c>
      <c r="BE299" s="80">
        <v>360</v>
      </c>
      <c r="BF299" s="80">
        <v>-164</v>
      </c>
      <c r="BG299" s="80">
        <v>135</v>
      </c>
      <c r="BH299" s="80">
        <v>-10</v>
      </c>
      <c r="BI299" s="80">
        <v>13</v>
      </c>
      <c r="BJ299" s="80">
        <v>3</v>
      </c>
      <c r="BK299" s="80">
        <v>394</v>
      </c>
      <c r="BL299" s="80">
        <v>0</v>
      </c>
      <c r="BM299" s="80">
        <v>1106</v>
      </c>
      <c r="BN299" s="80">
        <v>1500</v>
      </c>
      <c r="BO299" s="80">
        <v>0</v>
      </c>
      <c r="BP299" s="80">
        <v>-249</v>
      </c>
      <c r="BQ299" s="80">
        <v>0</v>
      </c>
      <c r="BR299" s="80">
        <v>0</v>
      </c>
      <c r="BS299" s="80">
        <v>400</v>
      </c>
      <c r="BT299" s="80">
        <v>-649</v>
      </c>
      <c r="BU299" s="80">
        <v>-29</v>
      </c>
      <c r="BV299" s="80">
        <v>550</v>
      </c>
      <c r="BW299" s="80">
        <v>579</v>
      </c>
      <c r="BX299" s="81"/>
      <c r="BY299" s="80">
        <v>31377</v>
      </c>
      <c r="BZ299" s="80">
        <v>1176</v>
      </c>
      <c r="CA299" s="80">
        <v>1035</v>
      </c>
      <c r="CB299" s="80">
        <v>141</v>
      </c>
      <c r="CC299" s="80">
        <v>0</v>
      </c>
      <c r="CD299" s="80">
        <v>24516</v>
      </c>
      <c r="CE299" s="80">
        <v>5225</v>
      </c>
      <c r="CF299" s="80">
        <v>12359</v>
      </c>
      <c r="CG299" s="80">
        <v>5996</v>
      </c>
      <c r="CH299" s="80">
        <v>128</v>
      </c>
      <c r="CI299" s="80">
        <v>0</v>
      </c>
      <c r="CJ299" s="80">
        <v>0</v>
      </c>
      <c r="CK299" s="80">
        <v>808</v>
      </c>
      <c r="CL299" s="80">
        <v>5685</v>
      </c>
      <c r="CM299" s="80">
        <v>4885</v>
      </c>
      <c r="CN299" s="80">
        <v>1215</v>
      </c>
      <c r="CO299" s="80">
        <v>3670</v>
      </c>
      <c r="CP299" s="80">
        <v>0</v>
      </c>
      <c r="CQ299" s="80">
        <v>605</v>
      </c>
      <c r="CR299" s="80">
        <v>0</v>
      </c>
      <c r="CS299" s="80">
        <v>0</v>
      </c>
      <c r="CT299" s="80">
        <v>605</v>
      </c>
      <c r="CU299" s="80">
        <v>195</v>
      </c>
      <c r="CV299" s="80">
        <v>64</v>
      </c>
      <c r="CW299" s="80">
        <v>2</v>
      </c>
      <c r="CX299" s="80">
        <v>62</v>
      </c>
      <c r="CY299" s="80">
        <v>0</v>
      </c>
      <c r="CZ299" s="80">
        <v>1858</v>
      </c>
      <c r="DA299" s="80">
        <v>0</v>
      </c>
      <c r="DB299" s="80">
        <v>0</v>
      </c>
      <c r="DC299" s="80">
        <v>0</v>
      </c>
      <c r="DD299" s="80">
        <v>0</v>
      </c>
      <c r="DE299" s="80">
        <v>0</v>
      </c>
      <c r="DF299" s="80">
        <v>0</v>
      </c>
      <c r="DG299" s="80">
        <v>1309</v>
      </c>
      <c r="DH299" s="80">
        <v>0</v>
      </c>
      <c r="DI299" s="80">
        <v>0</v>
      </c>
      <c r="DJ299" s="80">
        <v>0</v>
      </c>
      <c r="DK299" s="80">
        <v>0</v>
      </c>
      <c r="DL299" s="80">
        <v>0</v>
      </c>
      <c r="DM299" s="80">
        <v>1309</v>
      </c>
      <c r="DN299" s="80">
        <v>787</v>
      </c>
      <c r="DO299" s="80">
        <v>0</v>
      </c>
      <c r="DP299" s="80">
        <v>55</v>
      </c>
      <c r="DQ299" s="80">
        <v>467</v>
      </c>
      <c r="DR299" s="80">
        <v>0</v>
      </c>
      <c r="DS299" s="80">
        <v>0</v>
      </c>
      <c r="DT299" s="80">
        <v>0</v>
      </c>
      <c r="DU299" s="80">
        <v>0</v>
      </c>
      <c r="DV299" s="80">
        <v>0</v>
      </c>
      <c r="DW299" s="80">
        <v>549</v>
      </c>
      <c r="DX299" s="80">
        <v>33299</v>
      </c>
      <c r="DY299" s="80">
        <v>14806</v>
      </c>
      <c r="DZ299" s="80">
        <v>6625</v>
      </c>
      <c r="EA299" s="80">
        <v>0</v>
      </c>
      <c r="EB299" s="80">
        <v>0</v>
      </c>
      <c r="EC299" s="80">
        <v>7763</v>
      </c>
      <c r="ED299" s="80">
        <v>418</v>
      </c>
      <c r="EE299" s="80">
        <v>0</v>
      </c>
      <c r="EF299" s="80">
        <v>0</v>
      </c>
      <c r="EG299" s="80">
        <v>0</v>
      </c>
      <c r="EH299" s="80">
        <v>502</v>
      </c>
      <c r="EI299" s="80">
        <v>0</v>
      </c>
      <c r="EJ299" s="80">
        <v>502</v>
      </c>
      <c r="EK299" s="80">
        <v>62</v>
      </c>
      <c r="EL299" s="80">
        <v>0</v>
      </c>
      <c r="EM299" s="80">
        <v>62</v>
      </c>
      <c r="EN299" s="80">
        <v>0</v>
      </c>
      <c r="EO299" s="80">
        <v>17929</v>
      </c>
      <c r="EP299" s="80">
        <v>1795</v>
      </c>
      <c r="EQ299" s="80">
        <v>0</v>
      </c>
      <c r="ER299" s="80">
        <v>800</v>
      </c>
      <c r="ES299" s="80">
        <v>0</v>
      </c>
      <c r="ET299" s="80">
        <v>0</v>
      </c>
      <c r="EU299" s="80">
        <v>800</v>
      </c>
      <c r="EV299" s="80">
        <v>0</v>
      </c>
      <c r="EW299" s="80">
        <v>0</v>
      </c>
      <c r="EX299" s="80">
        <v>0</v>
      </c>
      <c r="EY299" s="80">
        <v>631</v>
      </c>
      <c r="EZ299" s="80">
        <v>0</v>
      </c>
      <c r="FA299" s="80">
        <v>364</v>
      </c>
      <c r="FB299" s="80">
        <v>0</v>
      </c>
      <c r="FC299" s="80">
        <v>0</v>
      </c>
      <c r="FD299" s="80">
        <v>16134</v>
      </c>
      <c r="FE299" s="80">
        <v>13000</v>
      </c>
      <c r="FF299" s="80">
        <v>953</v>
      </c>
      <c r="FG299" s="80">
        <v>0</v>
      </c>
      <c r="FH299" s="80">
        <v>0</v>
      </c>
      <c r="FI299" s="80">
        <v>953</v>
      </c>
      <c r="FJ299" s="80">
        <v>0</v>
      </c>
      <c r="FK299" s="80">
        <v>0</v>
      </c>
      <c r="FL299" s="80">
        <v>0</v>
      </c>
      <c r="FM299" s="80">
        <v>11</v>
      </c>
      <c r="FN299" s="80">
        <v>1173</v>
      </c>
      <c r="FO299" s="80">
        <v>181</v>
      </c>
      <c r="FP299" s="80">
        <v>816</v>
      </c>
      <c r="FQ299" s="80">
        <v>33299</v>
      </c>
      <c r="FR299" s="80">
        <v>7392</v>
      </c>
      <c r="FS299" s="80">
        <v>133</v>
      </c>
      <c r="FT299" s="100">
        <v>17884.778508287076</v>
      </c>
      <c r="FU299" s="100"/>
      <c r="FV299" s="100">
        <v>10185</v>
      </c>
      <c r="FW299" s="67">
        <v>1053</v>
      </c>
      <c r="FX299" s="100">
        <f t="shared" si="25"/>
        <v>-7105</v>
      </c>
      <c r="FY299" s="100">
        <f t="shared" si="26"/>
        <v>-17293</v>
      </c>
      <c r="FZ299" s="100">
        <v>10715.456154321737</v>
      </c>
      <c r="GA299" s="67">
        <v>10188</v>
      </c>
      <c r="GB299" s="58">
        <f t="shared" si="23"/>
        <v>3</v>
      </c>
      <c r="GC299" s="67">
        <v>1098</v>
      </c>
      <c r="GD299" s="100">
        <v>139</v>
      </c>
      <c r="GE299" s="100">
        <v>139</v>
      </c>
      <c r="GF299" s="58">
        <f t="shared" si="24"/>
        <v>0</v>
      </c>
      <c r="GG299" s="100">
        <v>-5231.692</v>
      </c>
      <c r="GH299" s="100">
        <v>-379.03785000000011</v>
      </c>
      <c r="GI299" s="100">
        <v>-5291.8524470439679</v>
      </c>
      <c r="GJ299" s="67">
        <f t="shared" si="27"/>
        <v>45</v>
      </c>
      <c r="GK299" s="67"/>
      <c r="GM299" s="96"/>
    </row>
    <row r="300" spans="1:195" ht="13.5" customHeight="1" x14ac:dyDescent="0.2">
      <c r="A300" s="74">
        <v>946</v>
      </c>
      <c r="B300" s="75" t="s">
        <v>320</v>
      </c>
      <c r="C300" s="82" t="s">
        <v>320</v>
      </c>
      <c r="D300" s="76"/>
      <c r="E300" s="77" t="s">
        <v>248</v>
      </c>
      <c r="F300" s="78">
        <v>3</v>
      </c>
      <c r="G300" s="79">
        <v>6714</v>
      </c>
      <c r="H300" s="80">
        <v>16079</v>
      </c>
      <c r="I300" s="80">
        <v>11751</v>
      </c>
      <c r="J300" s="80">
        <v>1975</v>
      </c>
      <c r="K300" s="80">
        <v>871</v>
      </c>
      <c r="L300" s="80">
        <v>1482</v>
      </c>
      <c r="M300" s="80">
        <v>0</v>
      </c>
      <c r="N300" s="80">
        <v>0</v>
      </c>
      <c r="O300" s="80">
        <v>55313</v>
      </c>
      <c r="P300" s="80">
        <v>24504</v>
      </c>
      <c r="Q300" s="80">
        <v>19168</v>
      </c>
      <c r="R300" s="80">
        <v>5336</v>
      </c>
      <c r="S300" s="80">
        <v>4460</v>
      </c>
      <c r="T300" s="80">
        <v>876</v>
      </c>
      <c r="U300" s="80">
        <v>22468</v>
      </c>
      <c r="V300" s="80">
        <v>3441</v>
      </c>
      <c r="W300" s="80">
        <v>3285</v>
      </c>
      <c r="X300" s="80">
        <v>1615</v>
      </c>
      <c r="Y300" s="80">
        <v>-39234</v>
      </c>
      <c r="Z300" s="80">
        <v>23852</v>
      </c>
      <c r="AA300" s="80">
        <v>19411</v>
      </c>
      <c r="AB300" s="80">
        <v>2778</v>
      </c>
      <c r="AC300" s="80">
        <v>1663</v>
      </c>
      <c r="AD300" s="80">
        <v>17164</v>
      </c>
      <c r="AE300" s="80">
        <v>17</v>
      </c>
      <c r="AF300" s="80">
        <v>1</v>
      </c>
      <c r="AG300" s="80">
        <v>72</v>
      </c>
      <c r="AH300" s="80">
        <v>13</v>
      </c>
      <c r="AI300" s="80">
        <v>33</v>
      </c>
      <c r="AJ300" s="80">
        <v>23</v>
      </c>
      <c r="AK300" s="80">
        <v>1799</v>
      </c>
      <c r="AL300" s="80">
        <v>1485</v>
      </c>
      <c r="AM300" s="80">
        <v>1485</v>
      </c>
      <c r="AN300" s="80">
        <v>0</v>
      </c>
      <c r="AO300" s="80">
        <v>0</v>
      </c>
      <c r="AP300" s="80">
        <v>0</v>
      </c>
      <c r="AQ300" s="80">
        <v>0</v>
      </c>
      <c r="AR300" s="80">
        <v>314</v>
      </c>
      <c r="AS300" s="80">
        <v>44</v>
      </c>
      <c r="AT300" s="80">
        <v>0</v>
      </c>
      <c r="AU300" s="80">
        <v>10</v>
      </c>
      <c r="AV300" s="80">
        <v>368</v>
      </c>
      <c r="AW300" s="81"/>
      <c r="AX300" s="80">
        <v>1592</v>
      </c>
      <c r="AY300" s="80">
        <v>1799</v>
      </c>
      <c r="AZ300" s="80">
        <v>0</v>
      </c>
      <c r="BA300" s="80">
        <v>-207</v>
      </c>
      <c r="BB300" s="80">
        <v>-3360</v>
      </c>
      <c r="BC300" s="80">
        <v>3947</v>
      </c>
      <c r="BD300" s="80">
        <v>65</v>
      </c>
      <c r="BE300" s="80">
        <v>522</v>
      </c>
      <c r="BF300" s="80">
        <v>-1768</v>
      </c>
      <c r="BG300" s="80">
        <v>2067</v>
      </c>
      <c r="BH300" s="80">
        <v>0</v>
      </c>
      <c r="BI300" s="80">
        <v>0</v>
      </c>
      <c r="BJ300" s="80">
        <v>0</v>
      </c>
      <c r="BK300" s="80">
        <v>1170</v>
      </c>
      <c r="BL300" s="80">
        <v>0</v>
      </c>
      <c r="BM300" s="80">
        <v>530</v>
      </c>
      <c r="BN300" s="80">
        <v>1700</v>
      </c>
      <c r="BO300" s="80">
        <v>0</v>
      </c>
      <c r="BP300" s="80">
        <v>897</v>
      </c>
      <c r="BQ300" s="80">
        <v>105</v>
      </c>
      <c r="BR300" s="80">
        <v>0</v>
      </c>
      <c r="BS300" s="80">
        <v>-353</v>
      </c>
      <c r="BT300" s="80">
        <v>1145</v>
      </c>
      <c r="BU300" s="80">
        <v>300</v>
      </c>
      <c r="BV300" s="80">
        <v>787</v>
      </c>
      <c r="BW300" s="80">
        <v>487</v>
      </c>
      <c r="BX300" s="81"/>
      <c r="BY300" s="80">
        <v>35693</v>
      </c>
      <c r="BZ300" s="80">
        <v>0</v>
      </c>
      <c r="CA300" s="80">
        <v>0</v>
      </c>
      <c r="CB300" s="80">
        <v>0</v>
      </c>
      <c r="CC300" s="80">
        <v>0</v>
      </c>
      <c r="CD300" s="80">
        <v>28812</v>
      </c>
      <c r="CE300" s="80">
        <v>2967</v>
      </c>
      <c r="CF300" s="80">
        <v>18868</v>
      </c>
      <c r="CG300" s="80">
        <v>5750</v>
      </c>
      <c r="CH300" s="80">
        <v>150</v>
      </c>
      <c r="CI300" s="80">
        <v>0</v>
      </c>
      <c r="CJ300" s="80">
        <v>0</v>
      </c>
      <c r="CK300" s="80">
        <v>1077</v>
      </c>
      <c r="CL300" s="80">
        <v>6881</v>
      </c>
      <c r="CM300" s="80">
        <v>6820</v>
      </c>
      <c r="CN300" s="80">
        <v>4342</v>
      </c>
      <c r="CO300" s="80">
        <v>2478</v>
      </c>
      <c r="CP300" s="80">
        <v>0</v>
      </c>
      <c r="CQ300" s="80">
        <v>31</v>
      </c>
      <c r="CR300" s="80">
        <v>0</v>
      </c>
      <c r="CS300" s="80">
        <v>0</v>
      </c>
      <c r="CT300" s="80">
        <v>31</v>
      </c>
      <c r="CU300" s="80">
        <v>30</v>
      </c>
      <c r="CV300" s="80">
        <v>321</v>
      </c>
      <c r="CW300" s="80">
        <v>1</v>
      </c>
      <c r="CX300" s="80">
        <v>320</v>
      </c>
      <c r="CY300" s="80">
        <v>0</v>
      </c>
      <c r="CZ300" s="80">
        <v>4232</v>
      </c>
      <c r="DA300" s="80">
        <v>0</v>
      </c>
      <c r="DB300" s="80">
        <v>0</v>
      </c>
      <c r="DC300" s="80">
        <v>0</v>
      </c>
      <c r="DD300" s="80">
        <v>0</v>
      </c>
      <c r="DE300" s="80">
        <v>0</v>
      </c>
      <c r="DF300" s="80">
        <v>0</v>
      </c>
      <c r="DG300" s="80">
        <v>3445</v>
      </c>
      <c r="DH300" s="80">
        <v>14</v>
      </c>
      <c r="DI300" s="80">
        <v>0</v>
      </c>
      <c r="DJ300" s="80">
        <v>0</v>
      </c>
      <c r="DK300" s="80">
        <v>14</v>
      </c>
      <c r="DL300" s="80">
        <v>0</v>
      </c>
      <c r="DM300" s="80">
        <v>3431</v>
      </c>
      <c r="DN300" s="80">
        <v>968</v>
      </c>
      <c r="DO300" s="80">
        <v>0</v>
      </c>
      <c r="DP300" s="80">
        <v>2463</v>
      </c>
      <c r="DQ300" s="80">
        <v>0</v>
      </c>
      <c r="DR300" s="80">
        <v>0</v>
      </c>
      <c r="DS300" s="80">
        <v>0</v>
      </c>
      <c r="DT300" s="80">
        <v>0</v>
      </c>
      <c r="DU300" s="80">
        <v>0</v>
      </c>
      <c r="DV300" s="80">
        <v>0</v>
      </c>
      <c r="DW300" s="80">
        <v>787</v>
      </c>
      <c r="DX300" s="80">
        <v>40246</v>
      </c>
      <c r="DY300" s="80">
        <v>21838</v>
      </c>
      <c r="DZ300" s="80">
        <v>14444</v>
      </c>
      <c r="EA300" s="80">
        <v>13</v>
      </c>
      <c r="EB300" s="80">
        <v>1773</v>
      </c>
      <c r="EC300" s="80">
        <v>5240</v>
      </c>
      <c r="ED300" s="80">
        <v>368</v>
      </c>
      <c r="EE300" s="80">
        <v>465</v>
      </c>
      <c r="EF300" s="80">
        <v>465</v>
      </c>
      <c r="EG300" s="80">
        <v>0</v>
      </c>
      <c r="EH300" s="80">
        <v>0</v>
      </c>
      <c r="EI300" s="80">
        <v>0</v>
      </c>
      <c r="EJ300" s="80">
        <v>0</v>
      </c>
      <c r="EK300" s="80">
        <v>1644</v>
      </c>
      <c r="EL300" s="80">
        <v>1</v>
      </c>
      <c r="EM300" s="80">
        <v>1642</v>
      </c>
      <c r="EN300" s="80">
        <v>1</v>
      </c>
      <c r="EO300" s="80">
        <v>16298</v>
      </c>
      <c r="EP300" s="80">
        <v>4620</v>
      </c>
      <c r="EQ300" s="80">
        <v>0</v>
      </c>
      <c r="ER300" s="80">
        <v>3089</v>
      </c>
      <c r="ES300" s="80">
        <v>2119</v>
      </c>
      <c r="ET300" s="80">
        <v>970</v>
      </c>
      <c r="EU300" s="80">
        <v>0</v>
      </c>
      <c r="EV300" s="80">
        <v>0</v>
      </c>
      <c r="EW300" s="80">
        <v>0</v>
      </c>
      <c r="EX300" s="80">
        <v>0</v>
      </c>
      <c r="EY300" s="80">
        <v>0</v>
      </c>
      <c r="EZ300" s="80">
        <v>0</v>
      </c>
      <c r="FA300" s="80">
        <v>1531</v>
      </c>
      <c r="FB300" s="80">
        <v>0</v>
      </c>
      <c r="FC300" s="80">
        <v>0</v>
      </c>
      <c r="FD300" s="80">
        <v>11678</v>
      </c>
      <c r="FE300" s="80">
        <v>0</v>
      </c>
      <c r="FF300" s="80">
        <v>3185</v>
      </c>
      <c r="FG300" s="80">
        <v>3015</v>
      </c>
      <c r="FH300" s="80">
        <v>170</v>
      </c>
      <c r="FI300" s="80">
        <v>0</v>
      </c>
      <c r="FJ300" s="80">
        <v>0</v>
      </c>
      <c r="FK300" s="80">
        <v>0</v>
      </c>
      <c r="FL300" s="80">
        <v>0</v>
      </c>
      <c r="FM300" s="80">
        <v>2</v>
      </c>
      <c r="FN300" s="80">
        <v>3504</v>
      </c>
      <c r="FO300" s="80">
        <v>2119</v>
      </c>
      <c r="FP300" s="80">
        <v>2868</v>
      </c>
      <c r="FQ300" s="80">
        <v>40245</v>
      </c>
      <c r="FR300" s="80">
        <v>1460</v>
      </c>
      <c r="FS300" s="80">
        <v>1430</v>
      </c>
      <c r="FT300" s="100">
        <v>26289.233959178076</v>
      </c>
      <c r="FU300" s="100"/>
      <c r="FV300" s="100">
        <v>10138</v>
      </c>
      <c r="FW300" s="67">
        <v>1304</v>
      </c>
      <c r="FX300" s="100">
        <f t="shared" si="25"/>
        <v>-16378</v>
      </c>
      <c r="FY300" s="100">
        <f t="shared" si="26"/>
        <v>-37749</v>
      </c>
      <c r="FZ300" s="100">
        <v>23668.7714045051</v>
      </c>
      <c r="GA300" s="67">
        <v>21371</v>
      </c>
      <c r="GB300" s="58">
        <f t="shared" si="23"/>
        <v>11233</v>
      </c>
      <c r="GC300" s="67">
        <v>1485</v>
      </c>
      <c r="GD300" s="100">
        <v>1973</v>
      </c>
      <c r="GE300" s="100">
        <v>667</v>
      </c>
      <c r="GF300" s="58">
        <f t="shared" si="24"/>
        <v>1306</v>
      </c>
      <c r="GG300" s="100">
        <v>-11123.585000000001</v>
      </c>
      <c r="GH300" s="100">
        <v>-769.96185000000014</v>
      </c>
      <c r="GI300" s="100">
        <v>-11874.881310935076</v>
      </c>
      <c r="GJ300" s="67">
        <f t="shared" si="27"/>
        <v>181</v>
      </c>
      <c r="GK300" s="67"/>
      <c r="GM300" s="96"/>
    </row>
    <row r="301" spans="1:195" ht="13.5" customHeight="1" x14ac:dyDescent="0.2">
      <c r="A301" s="74">
        <v>977</v>
      </c>
      <c r="B301" s="75" t="s">
        <v>208</v>
      </c>
      <c r="C301" s="75" t="s">
        <v>208</v>
      </c>
      <c r="D301" s="76"/>
      <c r="E301" s="77" t="s">
        <v>216</v>
      </c>
      <c r="F301" s="78">
        <v>4</v>
      </c>
      <c r="G301" s="79">
        <v>15039</v>
      </c>
      <c r="H301" s="80">
        <v>34477</v>
      </c>
      <c r="I301" s="80">
        <v>28765</v>
      </c>
      <c r="J301" s="80">
        <v>1080</v>
      </c>
      <c r="K301" s="80">
        <v>920</v>
      </c>
      <c r="L301" s="80">
        <v>3712</v>
      </c>
      <c r="M301" s="80">
        <v>0</v>
      </c>
      <c r="N301" s="80">
        <v>0</v>
      </c>
      <c r="O301" s="80">
        <v>113965</v>
      </c>
      <c r="P301" s="80">
        <v>40038</v>
      </c>
      <c r="Q301" s="80">
        <v>31534</v>
      </c>
      <c r="R301" s="80">
        <v>8504</v>
      </c>
      <c r="S301" s="80">
        <v>7043</v>
      </c>
      <c r="T301" s="80">
        <v>1461</v>
      </c>
      <c r="U301" s="80">
        <v>62580</v>
      </c>
      <c r="V301" s="80">
        <v>5833</v>
      </c>
      <c r="W301" s="80">
        <v>1453</v>
      </c>
      <c r="X301" s="80">
        <v>4061</v>
      </c>
      <c r="Y301" s="80">
        <v>-79488</v>
      </c>
      <c r="Z301" s="80">
        <v>53353</v>
      </c>
      <c r="AA301" s="80">
        <v>45824</v>
      </c>
      <c r="AB301" s="80">
        <v>4831</v>
      </c>
      <c r="AC301" s="80">
        <v>2698</v>
      </c>
      <c r="AD301" s="80">
        <v>30853</v>
      </c>
      <c r="AE301" s="80">
        <v>-395</v>
      </c>
      <c r="AF301" s="80">
        <v>9</v>
      </c>
      <c r="AG301" s="80">
        <v>36</v>
      </c>
      <c r="AH301" s="80">
        <v>12</v>
      </c>
      <c r="AI301" s="80">
        <v>410</v>
      </c>
      <c r="AJ301" s="80">
        <v>30</v>
      </c>
      <c r="AK301" s="80">
        <v>4323</v>
      </c>
      <c r="AL301" s="80">
        <v>4063</v>
      </c>
      <c r="AM301" s="80">
        <v>4063</v>
      </c>
      <c r="AN301" s="80">
        <v>0</v>
      </c>
      <c r="AO301" s="80">
        <v>0</v>
      </c>
      <c r="AP301" s="80">
        <v>0</v>
      </c>
      <c r="AQ301" s="80">
        <v>0</v>
      </c>
      <c r="AR301" s="80">
        <v>260</v>
      </c>
      <c r="AS301" s="80">
        <v>-101</v>
      </c>
      <c r="AT301" s="80">
        <v>0</v>
      </c>
      <c r="AU301" s="80">
        <v>0</v>
      </c>
      <c r="AV301" s="80">
        <v>159</v>
      </c>
      <c r="AW301" s="81"/>
      <c r="AX301" s="80">
        <v>3482</v>
      </c>
      <c r="AY301" s="80">
        <v>4323</v>
      </c>
      <c r="AZ301" s="80">
        <v>0</v>
      </c>
      <c r="BA301" s="80">
        <v>-841</v>
      </c>
      <c r="BB301" s="80">
        <v>-5336</v>
      </c>
      <c r="BC301" s="80">
        <v>7219</v>
      </c>
      <c r="BD301" s="80">
        <v>829</v>
      </c>
      <c r="BE301" s="80">
        <v>1054</v>
      </c>
      <c r="BF301" s="80">
        <v>-1854</v>
      </c>
      <c r="BG301" s="80">
        <v>459</v>
      </c>
      <c r="BH301" s="80">
        <v>12</v>
      </c>
      <c r="BI301" s="80">
        <v>0</v>
      </c>
      <c r="BJ301" s="80">
        <v>12</v>
      </c>
      <c r="BK301" s="80">
        <v>-2233</v>
      </c>
      <c r="BL301" s="80">
        <v>0</v>
      </c>
      <c r="BM301" s="80">
        <v>3233</v>
      </c>
      <c r="BN301" s="80">
        <v>1000</v>
      </c>
      <c r="BO301" s="80">
        <v>401</v>
      </c>
      <c r="BP301" s="80">
        <v>2279</v>
      </c>
      <c r="BQ301" s="80">
        <v>-1</v>
      </c>
      <c r="BR301" s="80">
        <v>147</v>
      </c>
      <c r="BS301" s="80">
        <v>1050</v>
      </c>
      <c r="BT301" s="80">
        <v>1083</v>
      </c>
      <c r="BU301" s="80">
        <v>-1396</v>
      </c>
      <c r="BV301" s="80">
        <v>1343</v>
      </c>
      <c r="BW301" s="80">
        <v>2739</v>
      </c>
      <c r="BX301" s="81"/>
      <c r="BY301" s="80">
        <v>77984</v>
      </c>
      <c r="BZ301" s="80">
        <v>77</v>
      </c>
      <c r="CA301" s="80">
        <v>77</v>
      </c>
      <c r="CB301" s="80">
        <v>0</v>
      </c>
      <c r="CC301" s="80">
        <v>0</v>
      </c>
      <c r="CD301" s="80">
        <v>65325</v>
      </c>
      <c r="CE301" s="80">
        <v>14818</v>
      </c>
      <c r="CF301" s="80">
        <v>29219</v>
      </c>
      <c r="CG301" s="80">
        <v>13480</v>
      </c>
      <c r="CH301" s="80">
        <v>2665</v>
      </c>
      <c r="CI301" s="80">
        <v>139</v>
      </c>
      <c r="CJ301" s="80">
        <v>0</v>
      </c>
      <c r="CK301" s="80">
        <v>5004</v>
      </c>
      <c r="CL301" s="80">
        <v>12582</v>
      </c>
      <c r="CM301" s="80">
        <v>12582</v>
      </c>
      <c r="CN301" s="80">
        <v>6804</v>
      </c>
      <c r="CO301" s="80">
        <v>5778</v>
      </c>
      <c r="CP301" s="80">
        <v>0</v>
      </c>
      <c r="CQ301" s="80">
        <v>0</v>
      </c>
      <c r="CR301" s="80">
        <v>0</v>
      </c>
      <c r="CS301" s="80">
        <v>0</v>
      </c>
      <c r="CT301" s="80">
        <v>0</v>
      </c>
      <c r="CU301" s="80">
        <v>0</v>
      </c>
      <c r="CV301" s="80">
        <v>4</v>
      </c>
      <c r="CW301" s="80">
        <v>0</v>
      </c>
      <c r="CX301" s="80">
        <v>0</v>
      </c>
      <c r="CY301" s="80">
        <v>4</v>
      </c>
      <c r="CZ301" s="80">
        <v>5890</v>
      </c>
      <c r="DA301" s="80">
        <v>40</v>
      </c>
      <c r="DB301" s="80">
        <v>40</v>
      </c>
      <c r="DC301" s="80">
        <v>0</v>
      </c>
      <c r="DD301" s="80">
        <v>0</v>
      </c>
      <c r="DE301" s="80">
        <v>0</v>
      </c>
      <c r="DF301" s="80">
        <v>0</v>
      </c>
      <c r="DG301" s="80">
        <v>4507</v>
      </c>
      <c r="DH301" s="80">
        <v>789</v>
      </c>
      <c r="DI301" s="80">
        <v>0</v>
      </c>
      <c r="DJ301" s="80">
        <v>789</v>
      </c>
      <c r="DK301" s="80">
        <v>0</v>
      </c>
      <c r="DL301" s="80">
        <v>0</v>
      </c>
      <c r="DM301" s="80">
        <v>3718</v>
      </c>
      <c r="DN301" s="80">
        <v>2306</v>
      </c>
      <c r="DO301" s="80">
        <v>7</v>
      </c>
      <c r="DP301" s="80">
        <v>886</v>
      </c>
      <c r="DQ301" s="80">
        <v>519</v>
      </c>
      <c r="DR301" s="80">
        <v>0</v>
      </c>
      <c r="DS301" s="80">
        <v>0</v>
      </c>
      <c r="DT301" s="80">
        <v>0</v>
      </c>
      <c r="DU301" s="80">
        <v>0</v>
      </c>
      <c r="DV301" s="80">
        <v>0</v>
      </c>
      <c r="DW301" s="80">
        <v>1343</v>
      </c>
      <c r="DX301" s="80">
        <v>83878</v>
      </c>
      <c r="DY301" s="80">
        <v>12359</v>
      </c>
      <c r="DZ301" s="80">
        <v>18553</v>
      </c>
      <c r="EA301" s="80">
        <v>0</v>
      </c>
      <c r="EB301" s="80">
        <v>0</v>
      </c>
      <c r="EC301" s="80">
        <v>-6353</v>
      </c>
      <c r="ED301" s="80">
        <v>159</v>
      </c>
      <c r="EE301" s="80">
        <v>2351</v>
      </c>
      <c r="EF301" s="80">
        <v>2351</v>
      </c>
      <c r="EG301" s="80">
        <v>0</v>
      </c>
      <c r="EH301" s="80">
        <v>0</v>
      </c>
      <c r="EI301" s="80">
        <v>0</v>
      </c>
      <c r="EJ301" s="80">
        <v>0</v>
      </c>
      <c r="EK301" s="80">
        <v>7</v>
      </c>
      <c r="EL301" s="80">
        <v>0</v>
      </c>
      <c r="EM301" s="80">
        <v>0</v>
      </c>
      <c r="EN301" s="80">
        <v>7</v>
      </c>
      <c r="EO301" s="80">
        <v>69160</v>
      </c>
      <c r="EP301" s="80">
        <v>8532</v>
      </c>
      <c r="EQ301" s="80">
        <v>0</v>
      </c>
      <c r="ER301" s="80">
        <v>6950</v>
      </c>
      <c r="ES301" s="80">
        <v>0</v>
      </c>
      <c r="ET301" s="80">
        <v>6950</v>
      </c>
      <c r="EU301" s="80">
        <v>0</v>
      </c>
      <c r="EV301" s="80">
        <v>0</v>
      </c>
      <c r="EW301" s="80">
        <v>0</v>
      </c>
      <c r="EX301" s="80">
        <v>0</v>
      </c>
      <c r="EY301" s="80">
        <v>0</v>
      </c>
      <c r="EZ301" s="80">
        <v>0</v>
      </c>
      <c r="FA301" s="80">
        <v>1582</v>
      </c>
      <c r="FB301" s="80">
        <v>0</v>
      </c>
      <c r="FC301" s="80">
        <v>0</v>
      </c>
      <c r="FD301" s="80">
        <v>60628</v>
      </c>
      <c r="FE301" s="80">
        <v>0</v>
      </c>
      <c r="FF301" s="80">
        <v>48233</v>
      </c>
      <c r="FG301" s="80">
        <v>29000</v>
      </c>
      <c r="FH301" s="80">
        <v>19233</v>
      </c>
      <c r="FI301" s="80">
        <v>0</v>
      </c>
      <c r="FJ301" s="80">
        <v>0</v>
      </c>
      <c r="FK301" s="80">
        <v>0</v>
      </c>
      <c r="FL301" s="80">
        <v>0</v>
      </c>
      <c r="FM301" s="80">
        <v>16</v>
      </c>
      <c r="FN301" s="80">
        <v>5144</v>
      </c>
      <c r="FO301" s="80">
        <v>752</v>
      </c>
      <c r="FP301" s="80">
        <v>6483</v>
      </c>
      <c r="FQ301" s="80">
        <v>83877</v>
      </c>
      <c r="FR301" s="80">
        <v>11373</v>
      </c>
      <c r="FS301" s="80">
        <v>6457</v>
      </c>
      <c r="FT301" s="100">
        <v>51448.126741071654</v>
      </c>
      <c r="FU301" s="100"/>
      <c r="FV301" s="100">
        <v>16394</v>
      </c>
      <c r="FW301" s="67">
        <v>3511</v>
      </c>
      <c r="FX301" s="100">
        <f t="shared" si="25"/>
        <v>-36621</v>
      </c>
      <c r="FY301" s="100">
        <f t="shared" si="26"/>
        <v>-75425</v>
      </c>
      <c r="FZ301" s="100">
        <v>47259.677725115413</v>
      </c>
      <c r="GA301" s="67">
        <v>38804</v>
      </c>
      <c r="GB301" s="58">
        <f t="shared" si="23"/>
        <v>22410</v>
      </c>
      <c r="GC301" s="67">
        <v>4064</v>
      </c>
      <c r="GD301" s="100">
        <v>1061</v>
      </c>
      <c r="GE301" s="100">
        <v>802</v>
      </c>
      <c r="GF301" s="58">
        <f t="shared" si="24"/>
        <v>259</v>
      </c>
      <c r="GG301" s="100">
        <v>-25103.175999999999</v>
      </c>
      <c r="GH301" s="100">
        <v>-991.54485000000068</v>
      </c>
      <c r="GI301" s="100">
        <v>-21414.540835755808</v>
      </c>
      <c r="GJ301" s="67">
        <f t="shared" si="27"/>
        <v>553</v>
      </c>
      <c r="GK301" s="67"/>
      <c r="GM301" s="96"/>
    </row>
    <row r="302" spans="1:195" ht="13.5" customHeight="1" x14ac:dyDescent="0.2">
      <c r="A302" s="74">
        <v>980</v>
      </c>
      <c r="B302" s="75" t="s">
        <v>209</v>
      </c>
      <c r="C302" s="75" t="s">
        <v>209</v>
      </c>
      <c r="D302" s="76"/>
      <c r="E302" s="77" t="s">
        <v>214</v>
      </c>
      <c r="F302" s="78">
        <v>5</v>
      </c>
      <c r="G302" s="79">
        <v>32738</v>
      </c>
      <c r="H302" s="80">
        <v>32870</v>
      </c>
      <c r="I302" s="80">
        <v>14232</v>
      </c>
      <c r="J302" s="80">
        <v>10260</v>
      </c>
      <c r="K302" s="80">
        <v>3213</v>
      </c>
      <c r="L302" s="80">
        <v>5165</v>
      </c>
      <c r="M302" s="80">
        <v>0</v>
      </c>
      <c r="N302" s="80">
        <v>3498</v>
      </c>
      <c r="O302" s="80">
        <v>182587</v>
      </c>
      <c r="P302" s="80">
        <v>85144</v>
      </c>
      <c r="Q302" s="80">
        <v>66323</v>
      </c>
      <c r="R302" s="80">
        <v>18821</v>
      </c>
      <c r="S302" s="80">
        <v>14945</v>
      </c>
      <c r="T302" s="80">
        <v>3876</v>
      </c>
      <c r="U302" s="80">
        <v>71625</v>
      </c>
      <c r="V302" s="80">
        <v>10679</v>
      </c>
      <c r="W302" s="80">
        <v>10499</v>
      </c>
      <c r="X302" s="80">
        <v>4640</v>
      </c>
      <c r="Y302" s="80">
        <v>-146219</v>
      </c>
      <c r="Z302" s="80">
        <v>120315</v>
      </c>
      <c r="AA302" s="80">
        <v>120315</v>
      </c>
      <c r="AB302" s="80">
        <v>0</v>
      </c>
      <c r="AC302" s="80">
        <v>0</v>
      </c>
      <c r="AD302" s="80">
        <v>38235</v>
      </c>
      <c r="AE302" s="80">
        <v>-672</v>
      </c>
      <c r="AF302" s="80">
        <v>3</v>
      </c>
      <c r="AG302" s="80">
        <v>1231</v>
      </c>
      <c r="AH302" s="80">
        <v>0</v>
      </c>
      <c r="AI302" s="80">
        <v>866</v>
      </c>
      <c r="AJ302" s="80">
        <v>1040</v>
      </c>
      <c r="AK302" s="80">
        <v>11659</v>
      </c>
      <c r="AL302" s="80">
        <v>12407</v>
      </c>
      <c r="AM302" s="80">
        <v>12407</v>
      </c>
      <c r="AN302" s="80">
        <v>0</v>
      </c>
      <c r="AO302" s="80">
        <v>0</v>
      </c>
      <c r="AP302" s="80">
        <v>0</v>
      </c>
      <c r="AQ302" s="80">
        <v>0</v>
      </c>
      <c r="AR302" s="80">
        <v>-748</v>
      </c>
      <c r="AS302" s="80">
        <v>368</v>
      </c>
      <c r="AT302" s="80">
        <v>0</v>
      </c>
      <c r="AU302" s="80">
        <v>0</v>
      </c>
      <c r="AV302" s="80">
        <v>-380</v>
      </c>
      <c r="AW302" s="81"/>
      <c r="AX302" s="80">
        <v>8993</v>
      </c>
      <c r="AY302" s="80">
        <v>11659</v>
      </c>
      <c r="AZ302" s="80">
        <v>0</v>
      </c>
      <c r="BA302" s="80">
        <v>-2666</v>
      </c>
      <c r="BB302" s="80">
        <v>-8758</v>
      </c>
      <c r="BC302" s="80">
        <v>12031</v>
      </c>
      <c r="BD302" s="80">
        <v>379</v>
      </c>
      <c r="BE302" s="80">
        <v>2894</v>
      </c>
      <c r="BF302" s="80">
        <v>235</v>
      </c>
      <c r="BG302" s="80">
        <v>1645</v>
      </c>
      <c r="BH302" s="80">
        <v>-47</v>
      </c>
      <c r="BI302" s="80">
        <v>62</v>
      </c>
      <c r="BJ302" s="80">
        <v>15</v>
      </c>
      <c r="BK302" s="80">
        <v>976</v>
      </c>
      <c r="BL302" s="80">
        <v>15000</v>
      </c>
      <c r="BM302" s="80">
        <v>14024</v>
      </c>
      <c r="BN302" s="80">
        <v>0</v>
      </c>
      <c r="BO302" s="80">
        <v>0</v>
      </c>
      <c r="BP302" s="80">
        <v>716</v>
      </c>
      <c r="BQ302" s="80">
        <v>-177</v>
      </c>
      <c r="BR302" s="80">
        <v>17</v>
      </c>
      <c r="BS302" s="80">
        <v>1473</v>
      </c>
      <c r="BT302" s="80">
        <v>-597</v>
      </c>
      <c r="BU302" s="80">
        <v>1880</v>
      </c>
      <c r="BV302" s="80">
        <v>19486</v>
      </c>
      <c r="BW302" s="80">
        <v>17606</v>
      </c>
      <c r="BX302" s="81"/>
      <c r="BY302" s="80">
        <v>208415</v>
      </c>
      <c r="BZ302" s="80">
        <v>882</v>
      </c>
      <c r="CA302" s="80">
        <v>94</v>
      </c>
      <c r="CB302" s="80">
        <v>788</v>
      </c>
      <c r="CC302" s="80">
        <v>0</v>
      </c>
      <c r="CD302" s="80">
        <v>182005</v>
      </c>
      <c r="CE302" s="80">
        <v>36607</v>
      </c>
      <c r="CF302" s="80">
        <v>98406</v>
      </c>
      <c r="CG302" s="80">
        <v>39696</v>
      </c>
      <c r="CH302" s="80">
        <v>2347</v>
      </c>
      <c r="CI302" s="80">
        <v>68</v>
      </c>
      <c r="CJ302" s="80">
        <v>0</v>
      </c>
      <c r="CK302" s="80">
        <v>4881</v>
      </c>
      <c r="CL302" s="80">
        <v>25528</v>
      </c>
      <c r="CM302" s="80">
        <v>24693</v>
      </c>
      <c r="CN302" s="80">
        <v>8969</v>
      </c>
      <c r="CO302" s="80">
        <v>15724</v>
      </c>
      <c r="CP302" s="80">
        <v>0</v>
      </c>
      <c r="CQ302" s="80">
        <v>280</v>
      </c>
      <c r="CR302" s="80">
        <v>0</v>
      </c>
      <c r="CS302" s="80">
        <v>0</v>
      </c>
      <c r="CT302" s="80">
        <v>280</v>
      </c>
      <c r="CU302" s="80">
        <v>555</v>
      </c>
      <c r="CV302" s="80">
        <v>106</v>
      </c>
      <c r="CW302" s="80">
        <v>0</v>
      </c>
      <c r="CX302" s="80">
        <v>31</v>
      </c>
      <c r="CY302" s="80">
        <v>75</v>
      </c>
      <c r="CZ302" s="80">
        <v>28480</v>
      </c>
      <c r="DA302" s="80">
        <v>129</v>
      </c>
      <c r="DB302" s="80">
        <v>129</v>
      </c>
      <c r="DC302" s="80">
        <v>0</v>
      </c>
      <c r="DD302" s="80">
        <v>0</v>
      </c>
      <c r="DE302" s="80">
        <v>0</v>
      </c>
      <c r="DF302" s="80">
        <v>0</v>
      </c>
      <c r="DG302" s="80">
        <v>8865</v>
      </c>
      <c r="DH302" s="80">
        <v>340</v>
      </c>
      <c r="DI302" s="80">
        <v>0</v>
      </c>
      <c r="DJ302" s="80">
        <v>0</v>
      </c>
      <c r="DK302" s="80">
        <v>0</v>
      </c>
      <c r="DL302" s="80">
        <v>340</v>
      </c>
      <c r="DM302" s="80">
        <v>8525</v>
      </c>
      <c r="DN302" s="80">
        <v>3653</v>
      </c>
      <c r="DO302" s="80">
        <v>0</v>
      </c>
      <c r="DP302" s="80">
        <v>1684</v>
      </c>
      <c r="DQ302" s="80">
        <v>3188</v>
      </c>
      <c r="DR302" s="80">
        <v>14748</v>
      </c>
      <c r="DS302" s="80">
        <v>0</v>
      </c>
      <c r="DT302" s="80">
        <v>14704</v>
      </c>
      <c r="DU302" s="80">
        <v>0</v>
      </c>
      <c r="DV302" s="80">
        <v>44</v>
      </c>
      <c r="DW302" s="80">
        <v>4738</v>
      </c>
      <c r="DX302" s="80">
        <v>237001</v>
      </c>
      <c r="DY302" s="80">
        <v>98268</v>
      </c>
      <c r="DZ302" s="80">
        <v>65787</v>
      </c>
      <c r="EA302" s="80">
        <v>0</v>
      </c>
      <c r="EB302" s="80">
        <v>0</v>
      </c>
      <c r="EC302" s="80">
        <v>32861</v>
      </c>
      <c r="ED302" s="80">
        <v>-380</v>
      </c>
      <c r="EE302" s="80">
        <v>8328</v>
      </c>
      <c r="EF302" s="80">
        <v>6679</v>
      </c>
      <c r="EG302" s="80">
        <v>1649</v>
      </c>
      <c r="EH302" s="80">
        <v>267</v>
      </c>
      <c r="EI302" s="80">
        <v>0</v>
      </c>
      <c r="EJ302" s="80">
        <v>267</v>
      </c>
      <c r="EK302" s="80">
        <v>666</v>
      </c>
      <c r="EL302" s="80">
        <v>20</v>
      </c>
      <c r="EM302" s="80">
        <v>31</v>
      </c>
      <c r="EN302" s="80">
        <v>615</v>
      </c>
      <c r="EO302" s="80">
        <v>129472</v>
      </c>
      <c r="EP302" s="80">
        <v>75940</v>
      </c>
      <c r="EQ302" s="80">
        <v>0</v>
      </c>
      <c r="ER302" s="80">
        <v>70487</v>
      </c>
      <c r="ES302" s="80">
        <v>1331</v>
      </c>
      <c r="ET302" s="80">
        <v>69156</v>
      </c>
      <c r="EU302" s="80">
        <v>0</v>
      </c>
      <c r="EV302" s="80">
        <v>0</v>
      </c>
      <c r="EW302" s="80">
        <v>81</v>
      </c>
      <c r="EX302" s="80">
        <v>0</v>
      </c>
      <c r="EY302" s="80">
        <v>4041</v>
      </c>
      <c r="EZ302" s="80">
        <v>0</v>
      </c>
      <c r="FA302" s="80">
        <v>1331</v>
      </c>
      <c r="FB302" s="80">
        <v>0</v>
      </c>
      <c r="FC302" s="80">
        <v>0</v>
      </c>
      <c r="FD302" s="80">
        <v>53532</v>
      </c>
      <c r="FE302" s="80">
        <v>0</v>
      </c>
      <c r="FF302" s="80">
        <v>28408</v>
      </c>
      <c r="FG302" s="80">
        <v>0</v>
      </c>
      <c r="FH302" s="80">
        <v>14000</v>
      </c>
      <c r="FI302" s="80">
        <v>14408</v>
      </c>
      <c r="FJ302" s="80">
        <v>0</v>
      </c>
      <c r="FK302" s="80">
        <v>85</v>
      </c>
      <c r="FL302" s="80">
        <v>0</v>
      </c>
      <c r="FM302" s="80">
        <v>557</v>
      </c>
      <c r="FN302" s="80">
        <v>8368</v>
      </c>
      <c r="FO302" s="80">
        <v>2036</v>
      </c>
      <c r="FP302" s="80">
        <v>14078</v>
      </c>
      <c r="FQ302" s="80">
        <v>237001</v>
      </c>
      <c r="FR302" s="80">
        <v>1493</v>
      </c>
      <c r="FS302" s="80">
        <v>44690</v>
      </c>
      <c r="FT302" s="100">
        <v>116460.81401142992</v>
      </c>
      <c r="FU302" s="100"/>
      <c r="FV302" s="100">
        <v>52411</v>
      </c>
      <c r="FW302" s="67">
        <v>11999</v>
      </c>
      <c r="FX302" s="100">
        <f t="shared" si="25"/>
        <v>-66297</v>
      </c>
      <c r="FY302" s="100">
        <f t="shared" si="26"/>
        <v>-133812</v>
      </c>
      <c r="FZ302" s="100">
        <v>87292.528994242806</v>
      </c>
      <c r="GA302" s="67">
        <v>67515</v>
      </c>
      <c r="GB302" s="58">
        <f t="shared" si="23"/>
        <v>15104</v>
      </c>
      <c r="GC302" s="67">
        <v>12388</v>
      </c>
      <c r="GD302" s="100">
        <v>10338</v>
      </c>
      <c r="GE302" s="100">
        <v>4571</v>
      </c>
      <c r="GF302" s="58">
        <f t="shared" si="24"/>
        <v>5767</v>
      </c>
      <c r="GG302" s="100">
        <v>-63153.281999999999</v>
      </c>
      <c r="GH302" s="100">
        <v>-1639.3597000000007</v>
      </c>
      <c r="GI302" s="100">
        <v>-21371.63723534935</v>
      </c>
      <c r="GJ302" s="67">
        <f t="shared" si="27"/>
        <v>389</v>
      </c>
      <c r="GK302" s="67"/>
      <c r="GM302" s="96"/>
    </row>
    <row r="303" spans="1:195" ht="13.5" customHeight="1" x14ac:dyDescent="0.2">
      <c r="A303" s="74">
        <v>981</v>
      </c>
      <c r="B303" s="75" t="s">
        <v>210</v>
      </c>
      <c r="C303" s="75" t="s">
        <v>210</v>
      </c>
      <c r="D303" s="76"/>
      <c r="E303" s="77" t="s">
        <v>226</v>
      </c>
      <c r="F303" s="78">
        <v>2</v>
      </c>
      <c r="G303" s="79">
        <v>2411</v>
      </c>
      <c r="H303" s="80">
        <v>5585</v>
      </c>
      <c r="I303" s="80">
        <v>4036</v>
      </c>
      <c r="J303" s="80">
        <v>416</v>
      </c>
      <c r="K303" s="80">
        <v>131</v>
      </c>
      <c r="L303" s="80">
        <v>1002</v>
      </c>
      <c r="M303" s="80">
        <v>0</v>
      </c>
      <c r="N303" s="80">
        <v>0</v>
      </c>
      <c r="O303" s="80">
        <v>17634</v>
      </c>
      <c r="P303" s="80">
        <v>6675</v>
      </c>
      <c r="Q303" s="80">
        <v>4960</v>
      </c>
      <c r="R303" s="80">
        <v>1715</v>
      </c>
      <c r="S303" s="80">
        <v>1406</v>
      </c>
      <c r="T303" s="80">
        <v>309</v>
      </c>
      <c r="U303" s="80">
        <v>9130</v>
      </c>
      <c r="V303" s="80">
        <v>912</v>
      </c>
      <c r="W303" s="80">
        <v>679</v>
      </c>
      <c r="X303" s="80">
        <v>238</v>
      </c>
      <c r="Y303" s="80">
        <v>-12049</v>
      </c>
      <c r="Z303" s="80">
        <v>7393</v>
      </c>
      <c r="AA303" s="80">
        <v>6694</v>
      </c>
      <c r="AB303" s="80">
        <v>304</v>
      </c>
      <c r="AC303" s="80">
        <v>395</v>
      </c>
      <c r="AD303" s="80">
        <v>5293</v>
      </c>
      <c r="AE303" s="80">
        <v>20</v>
      </c>
      <c r="AF303" s="80">
        <v>1</v>
      </c>
      <c r="AG303" s="80">
        <v>30</v>
      </c>
      <c r="AH303" s="80">
        <v>2</v>
      </c>
      <c r="AI303" s="80">
        <v>5</v>
      </c>
      <c r="AJ303" s="80">
        <v>6</v>
      </c>
      <c r="AK303" s="80">
        <v>657</v>
      </c>
      <c r="AL303" s="80">
        <v>633</v>
      </c>
      <c r="AM303" s="80">
        <v>633</v>
      </c>
      <c r="AN303" s="80">
        <v>0</v>
      </c>
      <c r="AO303" s="80">
        <v>0</v>
      </c>
      <c r="AP303" s="80">
        <v>0</v>
      </c>
      <c r="AQ303" s="80">
        <v>0</v>
      </c>
      <c r="AR303" s="80">
        <v>24</v>
      </c>
      <c r="AS303" s="80">
        <v>13</v>
      </c>
      <c r="AT303" s="80">
        <v>0</v>
      </c>
      <c r="AU303" s="80">
        <v>0</v>
      </c>
      <c r="AV303" s="80">
        <v>37</v>
      </c>
      <c r="AW303" s="81"/>
      <c r="AX303" s="80">
        <v>635</v>
      </c>
      <c r="AY303" s="80">
        <v>657</v>
      </c>
      <c r="AZ303" s="80">
        <v>0</v>
      </c>
      <c r="BA303" s="80">
        <v>-22</v>
      </c>
      <c r="BB303" s="80">
        <v>-1210</v>
      </c>
      <c r="BC303" s="80">
        <v>1796</v>
      </c>
      <c r="BD303" s="80">
        <v>543</v>
      </c>
      <c r="BE303" s="80">
        <v>43</v>
      </c>
      <c r="BF303" s="80">
        <v>-575</v>
      </c>
      <c r="BG303" s="80">
        <v>144</v>
      </c>
      <c r="BH303" s="80">
        <v>3</v>
      </c>
      <c r="BI303" s="80">
        <v>0</v>
      </c>
      <c r="BJ303" s="80">
        <v>3</v>
      </c>
      <c r="BK303" s="80">
        <v>721</v>
      </c>
      <c r="BL303" s="80">
        <v>0</v>
      </c>
      <c r="BM303" s="80">
        <v>29</v>
      </c>
      <c r="BN303" s="80">
        <v>750</v>
      </c>
      <c r="BO303" s="80">
        <v>0</v>
      </c>
      <c r="BP303" s="80">
        <v>-580</v>
      </c>
      <c r="BQ303" s="80">
        <v>1</v>
      </c>
      <c r="BR303" s="80">
        <v>0</v>
      </c>
      <c r="BS303" s="80">
        <v>-316</v>
      </c>
      <c r="BT303" s="80">
        <v>-265</v>
      </c>
      <c r="BU303" s="80">
        <v>-430</v>
      </c>
      <c r="BV303" s="80">
        <v>566</v>
      </c>
      <c r="BW303" s="80">
        <v>996</v>
      </c>
      <c r="BX303" s="81"/>
      <c r="BY303" s="80">
        <v>11918</v>
      </c>
      <c r="BZ303" s="80">
        <v>27</v>
      </c>
      <c r="CA303" s="80">
        <v>27</v>
      </c>
      <c r="CB303" s="80">
        <v>0</v>
      </c>
      <c r="CC303" s="80">
        <v>0</v>
      </c>
      <c r="CD303" s="80">
        <v>9193</v>
      </c>
      <c r="CE303" s="80">
        <v>1687</v>
      </c>
      <c r="CF303" s="80">
        <v>4807</v>
      </c>
      <c r="CG303" s="80">
        <v>1787</v>
      </c>
      <c r="CH303" s="80">
        <v>20</v>
      </c>
      <c r="CI303" s="80">
        <v>0</v>
      </c>
      <c r="CJ303" s="80">
        <v>0</v>
      </c>
      <c r="CK303" s="80">
        <v>892</v>
      </c>
      <c r="CL303" s="80">
        <v>2698</v>
      </c>
      <c r="CM303" s="80">
        <v>2492</v>
      </c>
      <c r="CN303" s="80">
        <v>1570</v>
      </c>
      <c r="CO303" s="80">
        <v>922</v>
      </c>
      <c r="CP303" s="80">
        <v>0</v>
      </c>
      <c r="CQ303" s="80">
        <v>206</v>
      </c>
      <c r="CR303" s="80">
        <v>0</v>
      </c>
      <c r="CS303" s="80">
        <v>0</v>
      </c>
      <c r="CT303" s="80">
        <v>206</v>
      </c>
      <c r="CU303" s="80">
        <v>0</v>
      </c>
      <c r="CV303" s="80">
        <v>0</v>
      </c>
      <c r="CW303" s="80">
        <v>0</v>
      </c>
      <c r="CX303" s="80">
        <v>0</v>
      </c>
      <c r="CY303" s="80">
        <v>0</v>
      </c>
      <c r="CZ303" s="80">
        <v>1807</v>
      </c>
      <c r="DA303" s="80">
        <v>3</v>
      </c>
      <c r="DB303" s="80">
        <v>3</v>
      </c>
      <c r="DC303" s="80">
        <v>0</v>
      </c>
      <c r="DD303" s="80">
        <v>0</v>
      </c>
      <c r="DE303" s="80">
        <v>0</v>
      </c>
      <c r="DF303" s="80">
        <v>0</v>
      </c>
      <c r="DG303" s="80">
        <v>1239</v>
      </c>
      <c r="DH303" s="80">
        <v>0</v>
      </c>
      <c r="DI303" s="80">
        <v>0</v>
      </c>
      <c r="DJ303" s="80">
        <v>0</v>
      </c>
      <c r="DK303" s="80">
        <v>0</v>
      </c>
      <c r="DL303" s="80">
        <v>0</v>
      </c>
      <c r="DM303" s="80">
        <v>1239</v>
      </c>
      <c r="DN303" s="80">
        <v>671</v>
      </c>
      <c r="DO303" s="80">
        <v>0</v>
      </c>
      <c r="DP303" s="80">
        <v>58</v>
      </c>
      <c r="DQ303" s="80">
        <v>510</v>
      </c>
      <c r="DR303" s="80">
        <v>336</v>
      </c>
      <c r="DS303" s="80">
        <v>168</v>
      </c>
      <c r="DT303" s="80">
        <v>168</v>
      </c>
      <c r="DU303" s="80">
        <v>0</v>
      </c>
      <c r="DV303" s="80">
        <v>0</v>
      </c>
      <c r="DW303" s="80">
        <v>229</v>
      </c>
      <c r="DX303" s="80">
        <v>13725</v>
      </c>
      <c r="DY303" s="80">
        <v>8859</v>
      </c>
      <c r="DZ303" s="80">
        <v>7046</v>
      </c>
      <c r="EA303" s="80">
        <v>0</v>
      </c>
      <c r="EB303" s="80">
        <v>0</v>
      </c>
      <c r="EC303" s="80">
        <v>1776</v>
      </c>
      <c r="ED303" s="80">
        <v>37</v>
      </c>
      <c r="EE303" s="80">
        <v>166</v>
      </c>
      <c r="EF303" s="80">
        <v>166</v>
      </c>
      <c r="EG303" s="80">
        <v>0</v>
      </c>
      <c r="EH303" s="80">
        <v>102</v>
      </c>
      <c r="EI303" s="80">
        <v>0</v>
      </c>
      <c r="EJ303" s="80">
        <v>102</v>
      </c>
      <c r="EK303" s="80">
        <v>102</v>
      </c>
      <c r="EL303" s="80">
        <v>0</v>
      </c>
      <c r="EM303" s="80">
        <v>82</v>
      </c>
      <c r="EN303" s="80">
        <v>20</v>
      </c>
      <c r="EO303" s="80">
        <v>4496</v>
      </c>
      <c r="EP303" s="80">
        <v>1276</v>
      </c>
      <c r="EQ303" s="80">
        <v>0</v>
      </c>
      <c r="ER303" s="80">
        <v>791</v>
      </c>
      <c r="ES303" s="80">
        <v>0</v>
      </c>
      <c r="ET303" s="80">
        <v>791</v>
      </c>
      <c r="EU303" s="80">
        <v>0</v>
      </c>
      <c r="EV303" s="80">
        <v>0</v>
      </c>
      <c r="EW303" s="80">
        <v>167</v>
      </c>
      <c r="EX303" s="80">
        <v>0</v>
      </c>
      <c r="EY303" s="80">
        <v>0</v>
      </c>
      <c r="EZ303" s="80">
        <v>0</v>
      </c>
      <c r="FA303" s="80">
        <v>318</v>
      </c>
      <c r="FB303" s="80">
        <v>0</v>
      </c>
      <c r="FC303" s="80">
        <v>0</v>
      </c>
      <c r="FD303" s="80">
        <v>3220</v>
      </c>
      <c r="FE303" s="80">
        <v>0</v>
      </c>
      <c r="FF303" s="80">
        <v>1555</v>
      </c>
      <c r="FG303" s="80">
        <v>5</v>
      </c>
      <c r="FH303" s="80">
        <v>1550</v>
      </c>
      <c r="FI303" s="80">
        <v>0</v>
      </c>
      <c r="FJ303" s="80">
        <v>0</v>
      </c>
      <c r="FK303" s="80">
        <v>0</v>
      </c>
      <c r="FL303" s="80">
        <v>0</v>
      </c>
      <c r="FM303" s="80">
        <v>1</v>
      </c>
      <c r="FN303" s="80">
        <v>681</v>
      </c>
      <c r="FO303" s="80">
        <v>210</v>
      </c>
      <c r="FP303" s="80">
        <v>773</v>
      </c>
      <c r="FQ303" s="80">
        <v>13725</v>
      </c>
      <c r="FR303" s="80">
        <v>417</v>
      </c>
      <c r="FS303" s="80">
        <v>50</v>
      </c>
      <c r="FT303" s="100">
        <v>11784.083461630424</v>
      </c>
      <c r="FU303" s="100"/>
      <c r="FV303" s="100">
        <v>7066</v>
      </c>
      <c r="FW303" s="67">
        <v>629</v>
      </c>
      <c r="FX303" s="100">
        <f t="shared" si="25"/>
        <v>-4350</v>
      </c>
      <c r="FY303" s="100">
        <f t="shared" si="26"/>
        <v>-11416</v>
      </c>
      <c r="FZ303" s="100">
        <v>7242.8832725041548</v>
      </c>
      <c r="GA303" s="67">
        <v>7066</v>
      </c>
      <c r="GB303" s="58">
        <f t="shared" si="23"/>
        <v>0</v>
      </c>
      <c r="GC303" s="67">
        <v>633</v>
      </c>
      <c r="GD303" s="100">
        <v>417</v>
      </c>
      <c r="GE303" s="100">
        <v>417</v>
      </c>
      <c r="GF303" s="58">
        <f t="shared" si="24"/>
        <v>0</v>
      </c>
      <c r="GG303" s="100">
        <v>-3842.0309999999999</v>
      </c>
      <c r="GH303" s="100">
        <v>-105.34200000000003</v>
      </c>
      <c r="GI303" s="100">
        <v>-3452.641876847174</v>
      </c>
      <c r="GJ303" s="67">
        <f t="shared" si="27"/>
        <v>4</v>
      </c>
      <c r="GK303" s="67"/>
      <c r="GM303" s="96"/>
    </row>
    <row r="304" spans="1:195" ht="13.5" customHeight="1" x14ac:dyDescent="0.2">
      <c r="A304" s="74">
        <v>853</v>
      </c>
      <c r="B304" s="75" t="s">
        <v>310</v>
      </c>
      <c r="C304" s="82" t="s">
        <v>310</v>
      </c>
      <c r="D304" s="76"/>
      <c r="E304" s="77" t="s">
        <v>219</v>
      </c>
      <c r="F304" s="78">
        <v>7</v>
      </c>
      <c r="G304" s="79">
        <v>185908</v>
      </c>
      <c r="H304" s="80">
        <v>313286</v>
      </c>
      <c r="I304" s="80">
        <v>141000</v>
      </c>
      <c r="J304" s="80">
        <v>67512</v>
      </c>
      <c r="K304" s="80">
        <v>38682</v>
      </c>
      <c r="L304" s="80">
        <v>66092</v>
      </c>
      <c r="M304" s="80">
        <v>0</v>
      </c>
      <c r="N304" s="80">
        <v>3856</v>
      </c>
      <c r="O304" s="80">
        <v>1280017</v>
      </c>
      <c r="P304" s="80">
        <v>524236</v>
      </c>
      <c r="Q304" s="80">
        <v>396712</v>
      </c>
      <c r="R304" s="80">
        <v>127524</v>
      </c>
      <c r="S304" s="80">
        <v>104119</v>
      </c>
      <c r="T304" s="80">
        <v>23405</v>
      </c>
      <c r="U304" s="80">
        <v>541150</v>
      </c>
      <c r="V304" s="80">
        <v>69313</v>
      </c>
      <c r="W304" s="80">
        <v>100245</v>
      </c>
      <c r="X304" s="80">
        <v>45073</v>
      </c>
      <c r="Y304" s="80">
        <v>-962875</v>
      </c>
      <c r="Z304" s="80">
        <v>730885</v>
      </c>
      <c r="AA304" s="80">
        <v>594644</v>
      </c>
      <c r="AB304" s="80">
        <v>86235</v>
      </c>
      <c r="AC304" s="80">
        <v>50006</v>
      </c>
      <c r="AD304" s="80">
        <v>265038</v>
      </c>
      <c r="AE304" s="80">
        <v>27242</v>
      </c>
      <c r="AF304" s="80">
        <v>15879</v>
      </c>
      <c r="AG304" s="80">
        <v>24607</v>
      </c>
      <c r="AH304" s="80">
        <v>18030</v>
      </c>
      <c r="AI304" s="80">
        <v>8640</v>
      </c>
      <c r="AJ304" s="80">
        <v>4604</v>
      </c>
      <c r="AK304" s="80">
        <v>60290</v>
      </c>
      <c r="AL304" s="80">
        <v>62705</v>
      </c>
      <c r="AM304" s="80">
        <v>62705</v>
      </c>
      <c r="AN304" s="80">
        <v>0</v>
      </c>
      <c r="AO304" s="80">
        <v>89651</v>
      </c>
      <c r="AP304" s="80">
        <v>90297</v>
      </c>
      <c r="AQ304" s="80">
        <v>646</v>
      </c>
      <c r="AR304" s="80">
        <v>87236</v>
      </c>
      <c r="AS304" s="80">
        <v>1388</v>
      </c>
      <c r="AT304" s="80">
        <v>437</v>
      </c>
      <c r="AU304" s="80">
        <v>45</v>
      </c>
      <c r="AV304" s="80">
        <v>89106</v>
      </c>
      <c r="AW304" s="81"/>
      <c r="AX304" s="80">
        <v>38517</v>
      </c>
      <c r="AY304" s="80">
        <v>60290</v>
      </c>
      <c r="AZ304" s="80">
        <v>89651</v>
      </c>
      <c r="BA304" s="80">
        <v>-111424</v>
      </c>
      <c r="BB304" s="80">
        <v>92463</v>
      </c>
      <c r="BC304" s="80">
        <v>67259</v>
      </c>
      <c r="BD304" s="80">
        <v>2152</v>
      </c>
      <c r="BE304" s="80">
        <v>157570</v>
      </c>
      <c r="BF304" s="80">
        <v>130980</v>
      </c>
      <c r="BG304" s="80">
        <v>-105618</v>
      </c>
      <c r="BH304" s="80">
        <v>-149804</v>
      </c>
      <c r="BI304" s="80">
        <v>153462</v>
      </c>
      <c r="BJ304" s="80">
        <v>3658</v>
      </c>
      <c r="BK304" s="80">
        <v>56348</v>
      </c>
      <c r="BL304" s="80">
        <v>101337</v>
      </c>
      <c r="BM304" s="80">
        <v>69963</v>
      </c>
      <c r="BN304" s="80">
        <v>24974</v>
      </c>
      <c r="BO304" s="80">
        <v>0</v>
      </c>
      <c r="BP304" s="80">
        <v>-12162</v>
      </c>
      <c r="BQ304" s="80">
        <v>-2443</v>
      </c>
      <c r="BR304" s="80">
        <v>-102</v>
      </c>
      <c r="BS304" s="80">
        <v>-3288</v>
      </c>
      <c r="BT304" s="80">
        <v>-6329</v>
      </c>
      <c r="BU304" s="80">
        <v>25361</v>
      </c>
      <c r="BV304" s="80">
        <v>172889</v>
      </c>
      <c r="BW304" s="80">
        <v>147528</v>
      </c>
      <c r="BX304" s="81"/>
      <c r="BY304" s="80">
        <v>1413615</v>
      </c>
      <c r="BZ304" s="80">
        <v>17840</v>
      </c>
      <c r="CA304" s="80">
        <v>3232</v>
      </c>
      <c r="CB304" s="80">
        <v>8126</v>
      </c>
      <c r="CC304" s="80">
        <v>6482</v>
      </c>
      <c r="CD304" s="80">
        <v>751602</v>
      </c>
      <c r="CE304" s="80">
        <v>111347</v>
      </c>
      <c r="CF304" s="80">
        <v>246538</v>
      </c>
      <c r="CG304" s="80">
        <v>354700</v>
      </c>
      <c r="CH304" s="80">
        <v>13025</v>
      </c>
      <c r="CI304" s="80">
        <v>2856</v>
      </c>
      <c r="CJ304" s="80">
        <v>2856</v>
      </c>
      <c r="CK304" s="80">
        <v>23136</v>
      </c>
      <c r="CL304" s="80">
        <v>644173</v>
      </c>
      <c r="CM304" s="80">
        <v>169037</v>
      </c>
      <c r="CN304" s="80">
        <v>54483</v>
      </c>
      <c r="CO304" s="80">
        <v>114554</v>
      </c>
      <c r="CP304" s="80">
        <v>0</v>
      </c>
      <c r="CQ304" s="80">
        <v>474980</v>
      </c>
      <c r="CR304" s="80">
        <v>0</v>
      </c>
      <c r="CS304" s="80">
        <v>0</v>
      </c>
      <c r="CT304" s="80">
        <v>474980</v>
      </c>
      <c r="CU304" s="80">
        <v>156</v>
      </c>
      <c r="CV304" s="80">
        <v>45525</v>
      </c>
      <c r="CW304" s="80">
        <v>27137</v>
      </c>
      <c r="CX304" s="80">
        <v>18388</v>
      </c>
      <c r="CY304" s="80">
        <v>0</v>
      </c>
      <c r="CZ304" s="80">
        <v>253895</v>
      </c>
      <c r="DA304" s="80">
        <v>3065</v>
      </c>
      <c r="DB304" s="80">
        <v>1237</v>
      </c>
      <c r="DC304" s="80">
        <v>1810</v>
      </c>
      <c r="DD304" s="80">
        <v>18</v>
      </c>
      <c r="DE304" s="80">
        <v>0</v>
      </c>
      <c r="DF304" s="80">
        <v>0</v>
      </c>
      <c r="DG304" s="80">
        <v>77940</v>
      </c>
      <c r="DH304" s="80">
        <v>1931</v>
      </c>
      <c r="DI304" s="80">
        <v>0</v>
      </c>
      <c r="DJ304" s="80">
        <v>224</v>
      </c>
      <c r="DK304" s="80">
        <v>1707</v>
      </c>
      <c r="DL304" s="80">
        <v>0</v>
      </c>
      <c r="DM304" s="80">
        <v>76009</v>
      </c>
      <c r="DN304" s="80">
        <v>23440</v>
      </c>
      <c r="DO304" s="80">
        <v>24603</v>
      </c>
      <c r="DP304" s="80">
        <v>7770</v>
      </c>
      <c r="DQ304" s="80">
        <v>20196</v>
      </c>
      <c r="DR304" s="80">
        <v>109535</v>
      </c>
      <c r="DS304" s="80">
        <v>28144</v>
      </c>
      <c r="DT304" s="80">
        <v>0</v>
      </c>
      <c r="DU304" s="80">
        <v>81391</v>
      </c>
      <c r="DV304" s="80">
        <v>0</v>
      </c>
      <c r="DW304" s="80">
        <v>63355</v>
      </c>
      <c r="DX304" s="80">
        <v>1713035</v>
      </c>
      <c r="DY304" s="80">
        <v>835671</v>
      </c>
      <c r="DZ304" s="80">
        <v>601956</v>
      </c>
      <c r="EA304" s="80">
        <v>0</v>
      </c>
      <c r="EB304" s="80">
        <v>23157</v>
      </c>
      <c r="EC304" s="80">
        <v>121452</v>
      </c>
      <c r="ED304" s="80">
        <v>89106</v>
      </c>
      <c r="EE304" s="80">
        <v>44343</v>
      </c>
      <c r="EF304" s="80">
        <v>36779</v>
      </c>
      <c r="EG304" s="80">
        <v>7564</v>
      </c>
      <c r="EH304" s="80">
        <v>10865</v>
      </c>
      <c r="EI304" s="80">
        <v>6884</v>
      </c>
      <c r="EJ304" s="80">
        <v>3981</v>
      </c>
      <c r="EK304" s="80">
        <v>46292</v>
      </c>
      <c r="EL304" s="80">
        <v>27131</v>
      </c>
      <c r="EM304" s="80">
        <v>19161</v>
      </c>
      <c r="EN304" s="80">
        <v>0</v>
      </c>
      <c r="EO304" s="80">
        <v>775864</v>
      </c>
      <c r="EP304" s="80">
        <v>420553</v>
      </c>
      <c r="EQ304" s="80">
        <v>170000</v>
      </c>
      <c r="ER304" s="80">
        <v>231630</v>
      </c>
      <c r="ES304" s="80">
        <v>0</v>
      </c>
      <c r="ET304" s="80">
        <v>111630</v>
      </c>
      <c r="EU304" s="80">
        <v>0</v>
      </c>
      <c r="EV304" s="80">
        <v>120000</v>
      </c>
      <c r="EW304" s="80">
        <v>0</v>
      </c>
      <c r="EX304" s="80">
        <v>0</v>
      </c>
      <c r="EY304" s="80">
        <v>370</v>
      </c>
      <c r="EZ304" s="80">
        <v>0</v>
      </c>
      <c r="FA304" s="80">
        <v>18170</v>
      </c>
      <c r="FB304" s="80">
        <v>0</v>
      </c>
      <c r="FC304" s="80">
        <v>383</v>
      </c>
      <c r="FD304" s="80">
        <v>355311</v>
      </c>
      <c r="FE304" s="80">
        <v>0</v>
      </c>
      <c r="FF304" s="80">
        <v>70006</v>
      </c>
      <c r="FG304" s="80">
        <v>0</v>
      </c>
      <c r="FH304" s="80">
        <v>70006</v>
      </c>
      <c r="FI304" s="80">
        <v>0</v>
      </c>
      <c r="FJ304" s="80">
        <v>0</v>
      </c>
      <c r="FK304" s="80">
        <v>0</v>
      </c>
      <c r="FL304" s="80">
        <v>126382</v>
      </c>
      <c r="FM304" s="80">
        <v>260</v>
      </c>
      <c r="FN304" s="80">
        <v>43403</v>
      </c>
      <c r="FO304" s="80">
        <v>22148</v>
      </c>
      <c r="FP304" s="80">
        <v>93112</v>
      </c>
      <c r="FQ304" s="80">
        <v>1713035</v>
      </c>
      <c r="FR304" s="80">
        <v>166149</v>
      </c>
      <c r="FS304" s="80">
        <v>0</v>
      </c>
      <c r="FT304" s="100">
        <v>774783.05444021174</v>
      </c>
      <c r="FU304" s="100"/>
      <c r="FV304" s="100">
        <v>387540</v>
      </c>
      <c r="FW304" s="67">
        <v>60726</v>
      </c>
      <c r="FX304" s="100">
        <f t="shared" si="25"/>
        <v>-387447</v>
      </c>
      <c r="FY304" s="100">
        <f t="shared" si="26"/>
        <v>-900170</v>
      </c>
      <c r="FZ304" s="100">
        <v>603787.96072905755</v>
      </c>
      <c r="GA304" s="67">
        <v>512723</v>
      </c>
      <c r="GB304" s="58">
        <f t="shared" si="23"/>
        <v>125183</v>
      </c>
      <c r="GC304" s="67">
        <v>62705</v>
      </c>
      <c r="GD304" s="100">
        <v>68510</v>
      </c>
      <c r="GE304" s="100">
        <v>23474</v>
      </c>
      <c r="GF304" s="58">
        <f t="shared" si="24"/>
        <v>45036</v>
      </c>
      <c r="GG304" s="100">
        <v>-367661.25599999999</v>
      </c>
      <c r="GH304" s="100">
        <v>-25563.146050000014</v>
      </c>
      <c r="GI304" s="100">
        <v>-204574.76054060471</v>
      </c>
      <c r="GJ304" s="67">
        <f t="shared" si="27"/>
        <v>1979</v>
      </c>
      <c r="GK304" s="67"/>
      <c r="GM304" s="96"/>
    </row>
    <row r="305" spans="1:195" ht="13.5" customHeight="1" x14ac:dyDescent="0.2">
      <c r="A305" s="74">
        <v>992</v>
      </c>
      <c r="B305" s="75" t="s">
        <v>211</v>
      </c>
      <c r="C305" s="75" t="s">
        <v>211</v>
      </c>
      <c r="D305" s="76"/>
      <c r="E305" s="77" t="s">
        <v>231</v>
      </c>
      <c r="F305" s="78">
        <v>4</v>
      </c>
      <c r="G305" s="79">
        <v>19646</v>
      </c>
      <c r="H305" s="80">
        <v>19459</v>
      </c>
      <c r="I305" s="80">
        <v>2689</v>
      </c>
      <c r="J305" s="80">
        <v>9251</v>
      </c>
      <c r="K305" s="80">
        <v>2305</v>
      </c>
      <c r="L305" s="80">
        <v>5214</v>
      </c>
      <c r="M305" s="80">
        <v>0</v>
      </c>
      <c r="N305" s="80">
        <v>35</v>
      </c>
      <c r="O305" s="80">
        <v>127201</v>
      </c>
      <c r="P305" s="80">
        <v>56756</v>
      </c>
      <c r="Q305" s="80">
        <v>42866</v>
      </c>
      <c r="R305" s="80">
        <v>13890</v>
      </c>
      <c r="S305" s="80">
        <v>11402</v>
      </c>
      <c r="T305" s="80">
        <v>2488</v>
      </c>
      <c r="U305" s="80">
        <v>53176</v>
      </c>
      <c r="V305" s="80">
        <v>7424</v>
      </c>
      <c r="W305" s="80">
        <v>8092</v>
      </c>
      <c r="X305" s="80">
        <v>1753</v>
      </c>
      <c r="Y305" s="80">
        <v>-107707</v>
      </c>
      <c r="Z305" s="80">
        <v>73089</v>
      </c>
      <c r="AA305" s="80">
        <v>62121</v>
      </c>
      <c r="AB305" s="80">
        <v>6969</v>
      </c>
      <c r="AC305" s="80">
        <v>3999</v>
      </c>
      <c r="AD305" s="80">
        <v>40389</v>
      </c>
      <c r="AE305" s="80">
        <v>1417</v>
      </c>
      <c r="AF305" s="80">
        <v>1147</v>
      </c>
      <c r="AG305" s="80">
        <v>748</v>
      </c>
      <c r="AH305" s="80">
        <v>548</v>
      </c>
      <c r="AI305" s="80">
        <v>473</v>
      </c>
      <c r="AJ305" s="80">
        <v>5</v>
      </c>
      <c r="AK305" s="80">
        <v>7188</v>
      </c>
      <c r="AL305" s="80">
        <v>6764</v>
      </c>
      <c r="AM305" s="80">
        <v>6764</v>
      </c>
      <c r="AN305" s="80">
        <v>0</v>
      </c>
      <c r="AO305" s="80">
        <v>0</v>
      </c>
      <c r="AP305" s="80">
        <v>0</v>
      </c>
      <c r="AQ305" s="80">
        <v>0</v>
      </c>
      <c r="AR305" s="80">
        <v>424</v>
      </c>
      <c r="AS305" s="80">
        <v>20</v>
      </c>
      <c r="AT305" s="80">
        <v>0</v>
      </c>
      <c r="AU305" s="80">
        <v>0</v>
      </c>
      <c r="AV305" s="80">
        <v>444</v>
      </c>
      <c r="AW305" s="81"/>
      <c r="AX305" s="80">
        <v>5410</v>
      </c>
      <c r="AY305" s="80">
        <v>7188</v>
      </c>
      <c r="AZ305" s="80">
        <v>0</v>
      </c>
      <c r="BA305" s="80">
        <v>-1778</v>
      </c>
      <c r="BB305" s="80">
        <v>-4846</v>
      </c>
      <c r="BC305" s="80">
        <v>5657</v>
      </c>
      <c r="BD305" s="80">
        <v>53</v>
      </c>
      <c r="BE305" s="80">
        <v>758</v>
      </c>
      <c r="BF305" s="80">
        <v>564</v>
      </c>
      <c r="BG305" s="80">
        <v>253</v>
      </c>
      <c r="BH305" s="80">
        <v>199</v>
      </c>
      <c r="BI305" s="80">
        <v>31</v>
      </c>
      <c r="BJ305" s="80">
        <v>230</v>
      </c>
      <c r="BK305" s="80">
        <v>2326</v>
      </c>
      <c r="BL305" s="80">
        <v>0</v>
      </c>
      <c r="BM305" s="80">
        <v>11674</v>
      </c>
      <c r="BN305" s="80">
        <v>14000</v>
      </c>
      <c r="BO305" s="80">
        <v>0</v>
      </c>
      <c r="BP305" s="80">
        <v>-2272</v>
      </c>
      <c r="BQ305" s="80">
        <v>24</v>
      </c>
      <c r="BR305" s="80">
        <v>-6</v>
      </c>
      <c r="BS305" s="80">
        <v>-293</v>
      </c>
      <c r="BT305" s="80">
        <v>-1997</v>
      </c>
      <c r="BU305" s="80">
        <v>818</v>
      </c>
      <c r="BV305" s="80">
        <v>4101</v>
      </c>
      <c r="BW305" s="80">
        <v>3283</v>
      </c>
      <c r="BX305" s="81"/>
      <c r="BY305" s="80">
        <v>161942</v>
      </c>
      <c r="BZ305" s="80">
        <v>869</v>
      </c>
      <c r="CA305" s="80">
        <v>0</v>
      </c>
      <c r="CB305" s="80">
        <v>869</v>
      </c>
      <c r="CC305" s="80">
        <v>0</v>
      </c>
      <c r="CD305" s="80">
        <v>116806</v>
      </c>
      <c r="CE305" s="80">
        <v>21598</v>
      </c>
      <c r="CF305" s="80">
        <v>81193</v>
      </c>
      <c r="CG305" s="80">
        <v>9765</v>
      </c>
      <c r="CH305" s="80">
        <v>1805</v>
      </c>
      <c r="CI305" s="80">
        <v>258</v>
      </c>
      <c r="CJ305" s="80">
        <v>161</v>
      </c>
      <c r="CK305" s="80">
        <v>2187</v>
      </c>
      <c r="CL305" s="80">
        <v>44267</v>
      </c>
      <c r="CM305" s="80">
        <v>19353</v>
      </c>
      <c r="CN305" s="80">
        <v>6246</v>
      </c>
      <c r="CO305" s="80">
        <v>13107</v>
      </c>
      <c r="CP305" s="80">
        <v>0</v>
      </c>
      <c r="CQ305" s="80">
        <v>24573</v>
      </c>
      <c r="CR305" s="80">
        <v>0</v>
      </c>
      <c r="CS305" s="80">
        <v>0</v>
      </c>
      <c r="CT305" s="80">
        <v>24573</v>
      </c>
      <c r="CU305" s="80">
        <v>341</v>
      </c>
      <c r="CV305" s="80">
        <v>0</v>
      </c>
      <c r="CW305" s="80">
        <v>0</v>
      </c>
      <c r="CX305" s="80">
        <v>0</v>
      </c>
      <c r="CY305" s="80">
        <v>0</v>
      </c>
      <c r="CZ305" s="80">
        <v>9365</v>
      </c>
      <c r="DA305" s="80">
        <v>31</v>
      </c>
      <c r="DB305" s="80">
        <v>31</v>
      </c>
      <c r="DC305" s="80">
        <v>0</v>
      </c>
      <c r="DD305" s="80">
        <v>0</v>
      </c>
      <c r="DE305" s="80">
        <v>0</v>
      </c>
      <c r="DF305" s="80">
        <v>0</v>
      </c>
      <c r="DG305" s="80">
        <v>5232</v>
      </c>
      <c r="DH305" s="80">
        <v>0</v>
      </c>
      <c r="DI305" s="80">
        <v>0</v>
      </c>
      <c r="DJ305" s="80">
        <v>0</v>
      </c>
      <c r="DK305" s="80">
        <v>0</v>
      </c>
      <c r="DL305" s="80">
        <v>0</v>
      </c>
      <c r="DM305" s="80">
        <v>5232</v>
      </c>
      <c r="DN305" s="80">
        <v>1920</v>
      </c>
      <c r="DO305" s="80">
        <v>390</v>
      </c>
      <c r="DP305" s="80">
        <v>2194</v>
      </c>
      <c r="DQ305" s="80">
        <v>728</v>
      </c>
      <c r="DR305" s="80">
        <v>9</v>
      </c>
      <c r="DS305" s="80">
        <v>9</v>
      </c>
      <c r="DT305" s="80">
        <v>0</v>
      </c>
      <c r="DU305" s="80">
        <v>0</v>
      </c>
      <c r="DV305" s="80">
        <v>0</v>
      </c>
      <c r="DW305" s="80">
        <v>4093</v>
      </c>
      <c r="DX305" s="80">
        <v>171307</v>
      </c>
      <c r="DY305" s="80">
        <v>73046</v>
      </c>
      <c r="DZ305" s="80">
        <v>78497</v>
      </c>
      <c r="EA305" s="80">
        <v>0</v>
      </c>
      <c r="EB305" s="80">
        <v>85</v>
      </c>
      <c r="EC305" s="80">
        <v>-5980</v>
      </c>
      <c r="ED305" s="80">
        <v>444</v>
      </c>
      <c r="EE305" s="80">
        <v>215</v>
      </c>
      <c r="EF305" s="80">
        <v>215</v>
      </c>
      <c r="EG305" s="80">
        <v>0</v>
      </c>
      <c r="EH305" s="80">
        <v>6</v>
      </c>
      <c r="EI305" s="80">
        <v>0</v>
      </c>
      <c r="EJ305" s="80">
        <v>6</v>
      </c>
      <c r="EK305" s="80">
        <v>356</v>
      </c>
      <c r="EL305" s="80">
        <v>36</v>
      </c>
      <c r="EM305" s="80">
        <v>0</v>
      </c>
      <c r="EN305" s="80">
        <v>320</v>
      </c>
      <c r="EO305" s="80">
        <v>97684</v>
      </c>
      <c r="EP305" s="80">
        <v>34021</v>
      </c>
      <c r="EQ305" s="80">
        <v>0</v>
      </c>
      <c r="ER305" s="80">
        <v>34004</v>
      </c>
      <c r="ES305" s="80">
        <v>0</v>
      </c>
      <c r="ET305" s="80">
        <v>34004</v>
      </c>
      <c r="EU305" s="80">
        <v>0</v>
      </c>
      <c r="EV305" s="80">
        <v>0</v>
      </c>
      <c r="EW305" s="80">
        <v>0</v>
      </c>
      <c r="EX305" s="80">
        <v>0</v>
      </c>
      <c r="EY305" s="80">
        <v>0</v>
      </c>
      <c r="EZ305" s="80">
        <v>0</v>
      </c>
      <c r="FA305" s="80">
        <v>17</v>
      </c>
      <c r="FB305" s="80">
        <v>0</v>
      </c>
      <c r="FC305" s="80">
        <v>0</v>
      </c>
      <c r="FD305" s="80">
        <v>63663</v>
      </c>
      <c r="FE305" s="80">
        <v>0</v>
      </c>
      <c r="FF305" s="80">
        <v>49046</v>
      </c>
      <c r="FG305" s="80">
        <v>38333</v>
      </c>
      <c r="FH305" s="80">
        <v>10713</v>
      </c>
      <c r="FI305" s="80">
        <v>0</v>
      </c>
      <c r="FJ305" s="80">
        <v>0</v>
      </c>
      <c r="FK305" s="80">
        <v>0</v>
      </c>
      <c r="FL305" s="80">
        <v>0</v>
      </c>
      <c r="FM305" s="80">
        <v>168</v>
      </c>
      <c r="FN305" s="80">
        <v>7095</v>
      </c>
      <c r="FO305" s="80">
        <v>974</v>
      </c>
      <c r="FP305" s="80">
        <v>6380</v>
      </c>
      <c r="FQ305" s="80">
        <v>171307</v>
      </c>
      <c r="FR305" s="80">
        <v>58615</v>
      </c>
      <c r="FS305" s="80">
        <v>8508</v>
      </c>
      <c r="FT305" s="100">
        <v>66899.77559309233</v>
      </c>
      <c r="FU305" s="100"/>
      <c r="FV305" s="100">
        <v>30029</v>
      </c>
      <c r="FW305" s="67">
        <v>6583</v>
      </c>
      <c r="FX305" s="100">
        <f t="shared" si="25"/>
        <v>-57715</v>
      </c>
      <c r="FY305" s="100">
        <f t="shared" si="26"/>
        <v>-100943</v>
      </c>
      <c r="FZ305" s="100">
        <v>70067.398487851562</v>
      </c>
      <c r="GA305" s="67">
        <v>43228</v>
      </c>
      <c r="GB305" s="58">
        <f t="shared" si="23"/>
        <v>13199</v>
      </c>
      <c r="GC305" s="67">
        <v>6765</v>
      </c>
      <c r="GD305" s="100">
        <v>9252</v>
      </c>
      <c r="GE305" s="100">
        <v>2138</v>
      </c>
      <c r="GF305" s="58">
        <f t="shared" si="24"/>
        <v>7114</v>
      </c>
      <c r="GG305" s="100">
        <v>-35082.592000000004</v>
      </c>
      <c r="GH305" s="100">
        <v>-2279.1858000000007</v>
      </c>
      <c r="GI305" s="100">
        <v>-33688.255901090044</v>
      </c>
      <c r="GJ305" s="67">
        <f t="shared" si="27"/>
        <v>182</v>
      </c>
      <c r="GK305" s="67"/>
      <c r="GM305" s="96"/>
    </row>
    <row r="306" spans="1:195" ht="13.5" customHeight="1" x14ac:dyDescent="0.2">
      <c r="A306" s="74">
        <v>846</v>
      </c>
      <c r="B306" s="75" t="s">
        <v>308</v>
      </c>
      <c r="C306" s="82" t="s">
        <v>308</v>
      </c>
      <c r="D306" s="76"/>
      <c r="E306" s="77" t="s">
        <v>215</v>
      </c>
      <c r="F306" s="78">
        <v>3</v>
      </c>
      <c r="G306" s="79">
        <v>5482</v>
      </c>
      <c r="H306" s="80">
        <v>4701</v>
      </c>
      <c r="I306" s="80">
        <v>1292</v>
      </c>
      <c r="J306" s="80">
        <v>1358</v>
      </c>
      <c r="K306" s="80">
        <v>227</v>
      </c>
      <c r="L306" s="80">
        <v>1824</v>
      </c>
      <c r="M306" s="80">
        <v>0</v>
      </c>
      <c r="N306" s="80">
        <v>0</v>
      </c>
      <c r="O306" s="80">
        <v>38850</v>
      </c>
      <c r="P306" s="80">
        <v>9509</v>
      </c>
      <c r="Q306" s="80">
        <v>6908</v>
      </c>
      <c r="R306" s="80">
        <v>2601</v>
      </c>
      <c r="S306" s="80">
        <v>2168</v>
      </c>
      <c r="T306" s="80">
        <v>433</v>
      </c>
      <c r="U306" s="80">
        <v>25769</v>
      </c>
      <c r="V306" s="80">
        <v>1871</v>
      </c>
      <c r="W306" s="80">
        <v>990</v>
      </c>
      <c r="X306" s="80">
        <v>711</v>
      </c>
      <c r="Y306" s="80">
        <v>-34149</v>
      </c>
      <c r="Z306" s="80">
        <v>16804</v>
      </c>
      <c r="AA306" s="80">
        <v>14998</v>
      </c>
      <c r="AB306" s="80">
        <v>846</v>
      </c>
      <c r="AC306" s="80">
        <v>960</v>
      </c>
      <c r="AD306" s="80">
        <v>17869</v>
      </c>
      <c r="AE306" s="80">
        <v>-159</v>
      </c>
      <c r="AF306" s="80">
        <v>30</v>
      </c>
      <c r="AG306" s="80">
        <v>31</v>
      </c>
      <c r="AH306" s="80">
        <v>2</v>
      </c>
      <c r="AI306" s="80">
        <v>214</v>
      </c>
      <c r="AJ306" s="80">
        <v>6</v>
      </c>
      <c r="AK306" s="80">
        <v>365</v>
      </c>
      <c r="AL306" s="80">
        <v>1513</v>
      </c>
      <c r="AM306" s="80">
        <v>1513</v>
      </c>
      <c r="AN306" s="80">
        <v>0</v>
      </c>
      <c r="AO306" s="80">
        <v>585</v>
      </c>
      <c r="AP306" s="80">
        <v>585</v>
      </c>
      <c r="AQ306" s="80">
        <v>0</v>
      </c>
      <c r="AR306" s="80">
        <v>-563</v>
      </c>
      <c r="AS306" s="80">
        <v>0</v>
      </c>
      <c r="AT306" s="80">
        <v>0</v>
      </c>
      <c r="AU306" s="80">
        <v>0</v>
      </c>
      <c r="AV306" s="80">
        <v>-563</v>
      </c>
      <c r="AW306" s="81"/>
      <c r="AX306" s="80">
        <v>1142</v>
      </c>
      <c r="AY306" s="80">
        <v>365</v>
      </c>
      <c r="AZ306" s="80">
        <v>585</v>
      </c>
      <c r="BA306" s="80">
        <v>192</v>
      </c>
      <c r="BB306" s="80">
        <v>-4396</v>
      </c>
      <c r="BC306" s="80">
        <v>6814</v>
      </c>
      <c r="BD306" s="80">
        <v>1350</v>
      </c>
      <c r="BE306" s="80">
        <v>1068</v>
      </c>
      <c r="BF306" s="80">
        <v>-3254</v>
      </c>
      <c r="BG306" s="80">
        <v>2339</v>
      </c>
      <c r="BH306" s="80">
        <v>-217</v>
      </c>
      <c r="BI306" s="80">
        <v>266</v>
      </c>
      <c r="BJ306" s="80">
        <v>49</v>
      </c>
      <c r="BK306" s="80">
        <v>5602</v>
      </c>
      <c r="BL306" s="80">
        <v>7000</v>
      </c>
      <c r="BM306" s="80">
        <v>1547</v>
      </c>
      <c r="BN306" s="80">
        <v>149</v>
      </c>
      <c r="BO306" s="80">
        <v>0</v>
      </c>
      <c r="BP306" s="80">
        <v>-3046</v>
      </c>
      <c r="BQ306" s="80">
        <v>0</v>
      </c>
      <c r="BR306" s="80">
        <v>187</v>
      </c>
      <c r="BS306" s="80">
        <v>-1160</v>
      </c>
      <c r="BT306" s="80">
        <v>-2073</v>
      </c>
      <c r="BU306" s="80">
        <v>-914</v>
      </c>
      <c r="BV306" s="80">
        <v>306</v>
      </c>
      <c r="BW306" s="80">
        <v>1220</v>
      </c>
      <c r="BX306" s="81"/>
      <c r="BY306" s="80">
        <v>41105</v>
      </c>
      <c r="BZ306" s="80">
        <v>0</v>
      </c>
      <c r="CA306" s="80">
        <v>0</v>
      </c>
      <c r="CB306" s="80">
        <v>0</v>
      </c>
      <c r="CC306" s="80">
        <v>0</v>
      </c>
      <c r="CD306" s="80">
        <v>28135</v>
      </c>
      <c r="CE306" s="80">
        <v>2898</v>
      </c>
      <c r="CF306" s="80">
        <v>20758</v>
      </c>
      <c r="CG306" s="80">
        <v>2477</v>
      </c>
      <c r="CH306" s="80">
        <v>0</v>
      </c>
      <c r="CI306" s="80">
        <v>31</v>
      </c>
      <c r="CJ306" s="80">
        <v>31</v>
      </c>
      <c r="CK306" s="80">
        <v>1971</v>
      </c>
      <c r="CL306" s="80">
        <v>12970</v>
      </c>
      <c r="CM306" s="80">
        <v>11249</v>
      </c>
      <c r="CN306" s="80">
        <v>2976</v>
      </c>
      <c r="CO306" s="80">
        <v>8273</v>
      </c>
      <c r="CP306" s="80">
        <v>0</v>
      </c>
      <c r="CQ306" s="80">
        <v>581</v>
      </c>
      <c r="CR306" s="80">
        <v>0</v>
      </c>
      <c r="CS306" s="80">
        <v>0</v>
      </c>
      <c r="CT306" s="80">
        <v>581</v>
      </c>
      <c r="CU306" s="80">
        <v>1140</v>
      </c>
      <c r="CV306" s="80">
        <v>230</v>
      </c>
      <c r="CW306" s="80">
        <v>0</v>
      </c>
      <c r="CX306" s="80">
        <v>203</v>
      </c>
      <c r="CY306" s="80">
        <v>27</v>
      </c>
      <c r="CZ306" s="80">
        <v>2792</v>
      </c>
      <c r="DA306" s="80">
        <v>68</v>
      </c>
      <c r="DB306" s="80">
        <v>68</v>
      </c>
      <c r="DC306" s="80">
        <v>0</v>
      </c>
      <c r="DD306" s="80">
        <v>0</v>
      </c>
      <c r="DE306" s="80">
        <v>0</v>
      </c>
      <c r="DF306" s="80">
        <v>0</v>
      </c>
      <c r="DG306" s="80">
        <v>2418</v>
      </c>
      <c r="DH306" s="80">
        <v>174</v>
      </c>
      <c r="DI306" s="80">
        <v>0</v>
      </c>
      <c r="DJ306" s="80">
        <v>174</v>
      </c>
      <c r="DK306" s="80">
        <v>0</v>
      </c>
      <c r="DL306" s="80">
        <v>0</v>
      </c>
      <c r="DM306" s="80">
        <v>2244</v>
      </c>
      <c r="DN306" s="80">
        <v>644</v>
      </c>
      <c r="DO306" s="80">
        <v>48</v>
      </c>
      <c r="DP306" s="80">
        <v>267</v>
      </c>
      <c r="DQ306" s="80">
        <v>1285</v>
      </c>
      <c r="DR306" s="80">
        <v>0</v>
      </c>
      <c r="DS306" s="80">
        <v>0</v>
      </c>
      <c r="DT306" s="80">
        <v>0</v>
      </c>
      <c r="DU306" s="80">
        <v>0</v>
      </c>
      <c r="DV306" s="80">
        <v>0</v>
      </c>
      <c r="DW306" s="80">
        <v>306</v>
      </c>
      <c r="DX306" s="80">
        <v>44127</v>
      </c>
      <c r="DY306" s="80">
        <v>19098</v>
      </c>
      <c r="DZ306" s="80">
        <v>22881</v>
      </c>
      <c r="EA306" s="80">
        <v>0</v>
      </c>
      <c r="EB306" s="80">
        <v>0</v>
      </c>
      <c r="EC306" s="80">
        <v>-3221</v>
      </c>
      <c r="ED306" s="80">
        <v>-562</v>
      </c>
      <c r="EE306" s="80">
        <v>0</v>
      </c>
      <c r="EF306" s="80">
        <v>0</v>
      </c>
      <c r="EG306" s="80">
        <v>0</v>
      </c>
      <c r="EH306" s="80">
        <v>0</v>
      </c>
      <c r="EI306" s="80">
        <v>0</v>
      </c>
      <c r="EJ306" s="80">
        <v>0</v>
      </c>
      <c r="EK306" s="80">
        <v>368</v>
      </c>
      <c r="EL306" s="80">
        <v>0</v>
      </c>
      <c r="EM306" s="80">
        <v>341</v>
      </c>
      <c r="EN306" s="80">
        <v>27</v>
      </c>
      <c r="EO306" s="80">
        <v>24661</v>
      </c>
      <c r="EP306" s="80">
        <v>19022</v>
      </c>
      <c r="EQ306" s="80">
        <v>0</v>
      </c>
      <c r="ER306" s="80">
        <v>19020</v>
      </c>
      <c r="ES306" s="80">
        <v>4421</v>
      </c>
      <c r="ET306" s="80">
        <v>14599</v>
      </c>
      <c r="EU306" s="80">
        <v>0</v>
      </c>
      <c r="EV306" s="80">
        <v>0</v>
      </c>
      <c r="EW306" s="80">
        <v>0</v>
      </c>
      <c r="EX306" s="80">
        <v>0</v>
      </c>
      <c r="EY306" s="80">
        <v>2</v>
      </c>
      <c r="EZ306" s="80">
        <v>0</v>
      </c>
      <c r="FA306" s="80">
        <v>0</v>
      </c>
      <c r="FB306" s="80">
        <v>0</v>
      </c>
      <c r="FC306" s="80">
        <v>0</v>
      </c>
      <c r="FD306" s="80">
        <v>5639</v>
      </c>
      <c r="FE306" s="80">
        <v>0</v>
      </c>
      <c r="FF306" s="80">
        <v>2348</v>
      </c>
      <c r="FG306" s="80">
        <v>1485</v>
      </c>
      <c r="FH306" s="80">
        <v>863</v>
      </c>
      <c r="FI306" s="80">
        <v>0</v>
      </c>
      <c r="FJ306" s="80">
        <v>0</v>
      </c>
      <c r="FK306" s="80">
        <v>0</v>
      </c>
      <c r="FL306" s="80">
        <v>0</v>
      </c>
      <c r="FM306" s="80">
        <v>0</v>
      </c>
      <c r="FN306" s="80">
        <v>1996</v>
      </c>
      <c r="FO306" s="80">
        <v>136</v>
      </c>
      <c r="FP306" s="80">
        <v>1159</v>
      </c>
      <c r="FQ306" s="80">
        <v>44127</v>
      </c>
      <c r="FR306" s="80">
        <v>384</v>
      </c>
      <c r="FS306" s="80">
        <v>198</v>
      </c>
      <c r="FT306" s="100">
        <v>19321.81465395807</v>
      </c>
      <c r="FU306" s="100"/>
      <c r="FV306" s="100">
        <v>8762</v>
      </c>
      <c r="FW306" s="67">
        <v>1515</v>
      </c>
      <c r="FX306" s="100">
        <f t="shared" si="25"/>
        <v>-23723</v>
      </c>
      <c r="FY306" s="100">
        <f t="shared" si="26"/>
        <v>-32636</v>
      </c>
      <c r="FZ306" s="100">
        <v>22719.769151766075</v>
      </c>
      <c r="GA306" s="67">
        <v>8913</v>
      </c>
      <c r="GB306" s="58">
        <f t="shared" si="23"/>
        <v>151</v>
      </c>
      <c r="GC306" s="67">
        <v>1515</v>
      </c>
      <c r="GD306" s="100">
        <v>1502</v>
      </c>
      <c r="GE306" s="100">
        <v>1502</v>
      </c>
      <c r="GF306" s="58">
        <f t="shared" si="24"/>
        <v>0</v>
      </c>
      <c r="GG306" s="100">
        <v>-8173.201</v>
      </c>
      <c r="GH306" s="100">
        <v>-229.4079000000001</v>
      </c>
      <c r="GI306" s="100">
        <v>-14529.010496478555</v>
      </c>
      <c r="GJ306" s="67">
        <f t="shared" si="27"/>
        <v>0</v>
      </c>
      <c r="GK306" s="67"/>
      <c r="GM306" s="96"/>
    </row>
    <row r="307" spans="1:195" ht="13.5" customHeight="1" x14ac:dyDescent="0.2">
      <c r="A307" s="74">
        <v>976</v>
      </c>
      <c r="B307" s="75" t="s">
        <v>321</v>
      </c>
      <c r="C307" s="82" t="s">
        <v>321</v>
      </c>
      <c r="D307" s="76"/>
      <c r="E307" s="77" t="s">
        <v>222</v>
      </c>
      <c r="F307" s="78">
        <v>2</v>
      </c>
      <c r="G307" s="79">
        <v>4291</v>
      </c>
      <c r="H307" s="80">
        <v>8637</v>
      </c>
      <c r="I307" s="80">
        <v>4376</v>
      </c>
      <c r="J307" s="80">
        <v>2381</v>
      </c>
      <c r="K307" s="80">
        <v>774</v>
      </c>
      <c r="L307" s="80">
        <v>1106</v>
      </c>
      <c r="M307" s="80">
        <v>0</v>
      </c>
      <c r="N307" s="80">
        <v>0</v>
      </c>
      <c r="O307" s="80">
        <v>38491</v>
      </c>
      <c r="P307" s="80">
        <v>18883</v>
      </c>
      <c r="Q307" s="80">
        <v>13977</v>
      </c>
      <c r="R307" s="80">
        <v>4906</v>
      </c>
      <c r="S307" s="80">
        <v>3924</v>
      </c>
      <c r="T307" s="80">
        <v>982</v>
      </c>
      <c r="U307" s="80">
        <v>15600</v>
      </c>
      <c r="V307" s="80">
        <v>2419</v>
      </c>
      <c r="W307" s="80">
        <v>1117</v>
      </c>
      <c r="X307" s="80">
        <v>472</v>
      </c>
      <c r="Y307" s="80">
        <v>-29854</v>
      </c>
      <c r="Z307" s="80">
        <v>12427</v>
      </c>
      <c r="AA307" s="80">
        <v>10661</v>
      </c>
      <c r="AB307" s="80">
        <v>846</v>
      </c>
      <c r="AC307" s="80">
        <v>920</v>
      </c>
      <c r="AD307" s="80">
        <v>18959</v>
      </c>
      <c r="AE307" s="80">
        <v>382</v>
      </c>
      <c r="AF307" s="80">
        <v>350</v>
      </c>
      <c r="AG307" s="80">
        <v>43</v>
      </c>
      <c r="AH307" s="80">
        <v>34</v>
      </c>
      <c r="AI307" s="80">
        <v>3</v>
      </c>
      <c r="AJ307" s="80">
        <v>8</v>
      </c>
      <c r="AK307" s="80">
        <v>1914</v>
      </c>
      <c r="AL307" s="80">
        <v>1561</v>
      </c>
      <c r="AM307" s="80">
        <v>1561</v>
      </c>
      <c r="AN307" s="80">
        <v>0</v>
      </c>
      <c r="AO307" s="80">
        <v>0</v>
      </c>
      <c r="AP307" s="80">
        <v>0</v>
      </c>
      <c r="AQ307" s="80">
        <v>0</v>
      </c>
      <c r="AR307" s="80">
        <v>353</v>
      </c>
      <c r="AS307" s="80">
        <v>25</v>
      </c>
      <c r="AT307" s="80">
        <v>0</v>
      </c>
      <c r="AU307" s="80">
        <v>41</v>
      </c>
      <c r="AV307" s="80">
        <v>419</v>
      </c>
      <c r="AW307" s="81"/>
      <c r="AX307" s="80">
        <v>1856</v>
      </c>
      <c r="AY307" s="80">
        <v>1914</v>
      </c>
      <c r="AZ307" s="80">
        <v>30</v>
      </c>
      <c r="BA307" s="80">
        <v>-88</v>
      </c>
      <c r="BB307" s="80">
        <v>-5824</v>
      </c>
      <c r="BC307" s="80">
        <v>7066</v>
      </c>
      <c r="BD307" s="80">
        <v>1242</v>
      </c>
      <c r="BE307" s="80">
        <v>0</v>
      </c>
      <c r="BF307" s="80">
        <v>-3968</v>
      </c>
      <c r="BG307" s="80">
        <v>854</v>
      </c>
      <c r="BH307" s="80">
        <v>-60</v>
      </c>
      <c r="BI307" s="80">
        <v>60</v>
      </c>
      <c r="BJ307" s="80">
        <v>0</v>
      </c>
      <c r="BK307" s="80">
        <v>-20</v>
      </c>
      <c r="BL307" s="80">
        <v>0</v>
      </c>
      <c r="BM307" s="80">
        <v>20</v>
      </c>
      <c r="BN307" s="80">
        <v>0</v>
      </c>
      <c r="BO307" s="80">
        <v>0</v>
      </c>
      <c r="BP307" s="80">
        <v>934</v>
      </c>
      <c r="BQ307" s="80">
        <v>1</v>
      </c>
      <c r="BR307" s="80">
        <v>0</v>
      </c>
      <c r="BS307" s="80">
        <v>-587</v>
      </c>
      <c r="BT307" s="80">
        <v>1520</v>
      </c>
      <c r="BU307" s="80">
        <v>-3114</v>
      </c>
      <c r="BV307" s="80">
        <v>12134</v>
      </c>
      <c r="BW307" s="80">
        <v>15248</v>
      </c>
      <c r="BX307" s="81"/>
      <c r="BY307" s="80">
        <v>26176</v>
      </c>
      <c r="BZ307" s="80">
        <v>254</v>
      </c>
      <c r="CA307" s="80">
        <v>0</v>
      </c>
      <c r="CB307" s="80">
        <v>254</v>
      </c>
      <c r="CC307" s="80">
        <v>0</v>
      </c>
      <c r="CD307" s="80">
        <v>22127</v>
      </c>
      <c r="CE307" s="80">
        <v>1621</v>
      </c>
      <c r="CF307" s="80">
        <v>9314</v>
      </c>
      <c r="CG307" s="80">
        <v>4663</v>
      </c>
      <c r="CH307" s="80">
        <v>981</v>
      </c>
      <c r="CI307" s="80">
        <v>60</v>
      </c>
      <c r="CJ307" s="80">
        <v>60</v>
      </c>
      <c r="CK307" s="80">
        <v>5488</v>
      </c>
      <c r="CL307" s="80">
        <v>3795</v>
      </c>
      <c r="CM307" s="80">
        <v>2730</v>
      </c>
      <c r="CN307" s="80">
        <v>1400</v>
      </c>
      <c r="CO307" s="80">
        <v>1330</v>
      </c>
      <c r="CP307" s="80">
        <v>0</v>
      </c>
      <c r="CQ307" s="80">
        <v>1057</v>
      </c>
      <c r="CR307" s="80">
        <v>0</v>
      </c>
      <c r="CS307" s="80">
        <v>0</v>
      </c>
      <c r="CT307" s="80">
        <v>1057</v>
      </c>
      <c r="CU307" s="80">
        <v>8</v>
      </c>
      <c r="CV307" s="80">
        <v>782</v>
      </c>
      <c r="CW307" s="80">
        <v>1</v>
      </c>
      <c r="CX307" s="80">
        <v>745</v>
      </c>
      <c r="CY307" s="80">
        <v>36</v>
      </c>
      <c r="CZ307" s="80">
        <v>14255</v>
      </c>
      <c r="DA307" s="80">
        <v>0</v>
      </c>
      <c r="DB307" s="80">
        <v>0</v>
      </c>
      <c r="DC307" s="80">
        <v>0</v>
      </c>
      <c r="DD307" s="80">
        <v>0</v>
      </c>
      <c r="DE307" s="80">
        <v>0</v>
      </c>
      <c r="DF307" s="80">
        <v>0</v>
      </c>
      <c r="DG307" s="80">
        <v>2121</v>
      </c>
      <c r="DH307" s="80">
        <v>0</v>
      </c>
      <c r="DI307" s="80">
        <v>0</v>
      </c>
      <c r="DJ307" s="80">
        <v>0</v>
      </c>
      <c r="DK307" s="80">
        <v>0</v>
      </c>
      <c r="DL307" s="80">
        <v>0</v>
      </c>
      <c r="DM307" s="80">
        <v>2121</v>
      </c>
      <c r="DN307" s="80">
        <v>752</v>
      </c>
      <c r="DO307" s="80">
        <v>0</v>
      </c>
      <c r="DP307" s="80">
        <v>894</v>
      </c>
      <c r="DQ307" s="80">
        <v>475</v>
      </c>
      <c r="DR307" s="80">
        <v>4750</v>
      </c>
      <c r="DS307" s="80">
        <v>0</v>
      </c>
      <c r="DT307" s="80">
        <v>4750</v>
      </c>
      <c r="DU307" s="80">
        <v>0</v>
      </c>
      <c r="DV307" s="80">
        <v>0</v>
      </c>
      <c r="DW307" s="80">
        <v>7384</v>
      </c>
      <c r="DX307" s="80">
        <v>41213</v>
      </c>
      <c r="DY307" s="80">
        <v>30426</v>
      </c>
      <c r="DZ307" s="80">
        <v>16586</v>
      </c>
      <c r="EA307" s="80">
        <v>0</v>
      </c>
      <c r="EB307" s="80">
        <v>7049</v>
      </c>
      <c r="EC307" s="80">
        <v>6372</v>
      </c>
      <c r="ED307" s="80">
        <v>419</v>
      </c>
      <c r="EE307" s="80">
        <v>2696</v>
      </c>
      <c r="EF307" s="80">
        <v>660</v>
      </c>
      <c r="EG307" s="80">
        <v>2036</v>
      </c>
      <c r="EH307" s="80">
        <v>114</v>
      </c>
      <c r="EI307" s="80">
        <v>0</v>
      </c>
      <c r="EJ307" s="80">
        <v>114</v>
      </c>
      <c r="EK307" s="80">
        <v>783</v>
      </c>
      <c r="EL307" s="80">
        <v>1</v>
      </c>
      <c r="EM307" s="80">
        <v>745</v>
      </c>
      <c r="EN307" s="80">
        <v>37</v>
      </c>
      <c r="EO307" s="80">
        <v>7193</v>
      </c>
      <c r="EP307" s="80">
        <v>618</v>
      </c>
      <c r="EQ307" s="80">
        <v>0</v>
      </c>
      <c r="ER307" s="80">
        <v>618</v>
      </c>
      <c r="ES307" s="80">
        <v>0</v>
      </c>
      <c r="ET307" s="80">
        <v>618</v>
      </c>
      <c r="EU307" s="80">
        <v>0</v>
      </c>
      <c r="EV307" s="80">
        <v>0</v>
      </c>
      <c r="EW307" s="80">
        <v>0</v>
      </c>
      <c r="EX307" s="80">
        <v>0</v>
      </c>
      <c r="EY307" s="80">
        <v>0</v>
      </c>
      <c r="EZ307" s="80">
        <v>0</v>
      </c>
      <c r="FA307" s="80">
        <v>0</v>
      </c>
      <c r="FB307" s="80">
        <v>0</v>
      </c>
      <c r="FC307" s="80">
        <v>0</v>
      </c>
      <c r="FD307" s="80">
        <v>6575</v>
      </c>
      <c r="FE307" s="80">
        <v>0</v>
      </c>
      <c r="FF307" s="80">
        <v>20</v>
      </c>
      <c r="FG307" s="80">
        <v>0</v>
      </c>
      <c r="FH307" s="80">
        <v>20</v>
      </c>
      <c r="FI307" s="80">
        <v>0</v>
      </c>
      <c r="FJ307" s="80">
        <v>0</v>
      </c>
      <c r="FK307" s="80">
        <v>0</v>
      </c>
      <c r="FL307" s="80">
        <v>0</v>
      </c>
      <c r="FM307" s="80">
        <v>202</v>
      </c>
      <c r="FN307" s="80">
        <v>3995</v>
      </c>
      <c r="FO307" s="80">
        <v>357</v>
      </c>
      <c r="FP307" s="80">
        <v>2001</v>
      </c>
      <c r="FQ307" s="80">
        <v>41212</v>
      </c>
      <c r="FR307" s="80">
        <v>2749</v>
      </c>
      <c r="FS307" s="80">
        <v>874</v>
      </c>
      <c r="FT307" s="100">
        <v>18899.191090296332</v>
      </c>
      <c r="FU307" s="100"/>
      <c r="FV307" s="100">
        <v>10354</v>
      </c>
      <c r="FW307" s="67">
        <v>1448</v>
      </c>
      <c r="FX307" s="100">
        <f t="shared" si="25"/>
        <v>-15312</v>
      </c>
      <c r="FY307" s="100">
        <f t="shared" si="26"/>
        <v>-28293</v>
      </c>
      <c r="FZ307" s="100">
        <v>20579.359441427241</v>
      </c>
      <c r="GA307" s="67">
        <v>12981</v>
      </c>
      <c r="GB307" s="58">
        <f t="shared" si="23"/>
        <v>2627</v>
      </c>
      <c r="GC307" s="67">
        <v>1564</v>
      </c>
      <c r="GD307" s="100">
        <v>2381</v>
      </c>
      <c r="GE307" s="100">
        <v>696</v>
      </c>
      <c r="GF307" s="58">
        <f t="shared" si="24"/>
        <v>1685</v>
      </c>
      <c r="GG307" s="100">
        <v>-6849.6019999999999</v>
      </c>
      <c r="GH307" s="100">
        <v>-227.24115000000009</v>
      </c>
      <c r="GI307" s="100">
        <v>-13888.677526383784</v>
      </c>
      <c r="GJ307" s="67">
        <f t="shared" si="27"/>
        <v>116</v>
      </c>
      <c r="GK307" s="67"/>
      <c r="GM307" s="96"/>
    </row>
    <row r="308" spans="1:195" ht="13.5" customHeight="1" x14ac:dyDescent="0.2">
      <c r="A308" s="74"/>
      <c r="B308" s="75"/>
      <c r="C308" s="75"/>
      <c r="D308" s="76"/>
      <c r="E308" s="77"/>
      <c r="F308" s="78"/>
      <c r="G308" s="79"/>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c r="AV308" s="80"/>
      <c r="AW308" s="81"/>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1"/>
      <c r="BY308" s="80"/>
      <c r="BZ308" s="80"/>
      <c r="CA308" s="80"/>
      <c r="CB308" s="80"/>
      <c r="CC308" s="80"/>
      <c r="CD308" s="80"/>
      <c r="CE308" s="80"/>
      <c r="CF308" s="80"/>
      <c r="CG308" s="80"/>
      <c r="CH308" s="80"/>
      <c r="CI308" s="80"/>
      <c r="CJ308" s="80"/>
      <c r="CK308" s="80"/>
      <c r="CL308" s="80"/>
      <c r="CM308" s="80"/>
      <c r="CN308" s="80"/>
      <c r="CO308" s="80"/>
      <c r="CP308" s="80"/>
      <c r="CQ308" s="80"/>
      <c r="CR308" s="80"/>
      <c r="CS308" s="80"/>
      <c r="CT308" s="80"/>
      <c r="CU308" s="80"/>
      <c r="CV308" s="80"/>
      <c r="CW308" s="80"/>
      <c r="CX308" s="80"/>
      <c r="CY308" s="80"/>
      <c r="CZ308" s="80"/>
      <c r="DA308" s="80"/>
      <c r="DB308" s="80"/>
      <c r="DC308" s="80"/>
      <c r="DD308" s="80"/>
      <c r="DE308" s="80"/>
      <c r="DF308" s="80"/>
      <c r="DG308" s="80"/>
      <c r="DH308" s="80"/>
      <c r="DI308" s="80"/>
      <c r="DJ308" s="80"/>
      <c r="DK308" s="80"/>
      <c r="DL308" s="80"/>
      <c r="DM308" s="80"/>
      <c r="DN308" s="80"/>
      <c r="DO308" s="80"/>
      <c r="DP308" s="80"/>
      <c r="DQ308" s="80"/>
      <c r="DR308" s="80"/>
      <c r="DS308" s="80"/>
      <c r="DT308" s="80"/>
      <c r="DU308" s="80"/>
      <c r="DV308" s="80"/>
      <c r="DW308" s="80"/>
      <c r="DX308" s="80"/>
      <c r="DY308" s="80"/>
      <c r="DZ308" s="80"/>
      <c r="EA308" s="80"/>
      <c r="EB308" s="80"/>
      <c r="EC308" s="80"/>
      <c r="ED308" s="80"/>
      <c r="EE308" s="80"/>
      <c r="EF308" s="80"/>
      <c r="EG308" s="80"/>
      <c r="EH308" s="80"/>
      <c r="EI308" s="80"/>
      <c r="EJ308" s="80"/>
      <c r="EK308" s="80"/>
      <c r="EL308" s="80"/>
      <c r="EM308" s="80"/>
      <c r="EN308" s="80"/>
      <c r="EO308" s="80"/>
      <c r="EP308" s="80"/>
      <c r="EQ308" s="80"/>
      <c r="ER308" s="80"/>
      <c r="ES308" s="80"/>
      <c r="ET308" s="80"/>
      <c r="EU308" s="80"/>
      <c r="EV308" s="80"/>
      <c r="EW308" s="80"/>
      <c r="EX308" s="80"/>
      <c r="EY308" s="80"/>
      <c r="EZ308" s="80"/>
      <c r="FA308" s="80"/>
      <c r="FB308" s="80"/>
      <c r="FC308" s="80"/>
      <c r="FD308" s="80"/>
      <c r="FE308" s="80"/>
      <c r="FF308" s="80"/>
      <c r="FG308" s="80"/>
      <c r="FH308" s="80"/>
      <c r="FI308" s="80"/>
      <c r="FJ308" s="80"/>
      <c r="FK308" s="80"/>
      <c r="FL308" s="80"/>
      <c r="FM308" s="80"/>
      <c r="FN308" s="80"/>
      <c r="FO308" s="80"/>
      <c r="FP308" s="80"/>
      <c r="FQ308" s="80"/>
      <c r="FR308" s="80"/>
      <c r="FS308" s="80"/>
      <c r="FT308" s="67"/>
      <c r="FU308" s="67"/>
      <c r="FV308" s="67"/>
      <c r="FW308" s="67"/>
      <c r="FX308" s="67"/>
      <c r="FY308" s="67"/>
      <c r="FZ308" s="67"/>
      <c r="GA308" s="67"/>
      <c r="GB308" s="67"/>
      <c r="GC308" s="67"/>
      <c r="GD308" s="67"/>
      <c r="GE308" s="67"/>
      <c r="GF308" s="67"/>
      <c r="GG308" s="67"/>
      <c r="GH308" s="67"/>
      <c r="GI308" s="67"/>
      <c r="GJ308" s="67"/>
      <c r="GK308" s="67"/>
    </row>
    <row r="309" spans="1:195" ht="13.5" customHeight="1" x14ac:dyDescent="0.2">
      <c r="A309" s="74">
        <v>766</v>
      </c>
      <c r="B309" s="75" t="s">
        <v>323</v>
      </c>
      <c r="C309" s="75" t="s">
        <v>324</v>
      </c>
      <c r="D309" s="84"/>
      <c r="E309" s="77" t="s">
        <v>325</v>
      </c>
      <c r="F309" s="78">
        <v>1</v>
      </c>
      <c r="G309" s="79">
        <v>99</v>
      </c>
      <c r="H309" s="80">
        <v>120</v>
      </c>
      <c r="I309" s="80">
        <v>44</v>
      </c>
      <c r="J309" s="80">
        <v>10</v>
      </c>
      <c r="K309" s="80">
        <v>3</v>
      </c>
      <c r="L309" s="80">
        <v>63</v>
      </c>
      <c r="M309" s="80">
        <v>0</v>
      </c>
      <c r="N309" s="80">
        <v>0</v>
      </c>
      <c r="O309" s="80">
        <v>784</v>
      </c>
      <c r="P309" s="80">
        <v>262</v>
      </c>
      <c r="Q309" s="80">
        <v>206</v>
      </c>
      <c r="R309" s="80">
        <v>56</v>
      </c>
      <c r="S309" s="80">
        <v>50</v>
      </c>
      <c r="T309" s="80">
        <v>6</v>
      </c>
      <c r="U309" s="80">
        <v>434</v>
      </c>
      <c r="V309" s="80">
        <v>64</v>
      </c>
      <c r="W309" s="80">
        <v>8</v>
      </c>
      <c r="X309" s="80">
        <v>16</v>
      </c>
      <c r="Y309" s="80">
        <v>-664</v>
      </c>
      <c r="Z309" s="80">
        <v>398</v>
      </c>
      <c r="AA309" s="80">
        <v>354</v>
      </c>
      <c r="AB309" s="80">
        <v>10</v>
      </c>
      <c r="AC309" s="80">
        <v>34</v>
      </c>
      <c r="AD309" s="80">
        <v>252</v>
      </c>
      <c r="AE309" s="80">
        <v>-3</v>
      </c>
      <c r="AF309" s="80">
        <v>0</v>
      </c>
      <c r="AG309" s="80">
        <v>0</v>
      </c>
      <c r="AH309" s="80">
        <v>0</v>
      </c>
      <c r="AI309" s="80">
        <v>3</v>
      </c>
      <c r="AJ309" s="80">
        <v>0</v>
      </c>
      <c r="AK309" s="80">
        <v>-17</v>
      </c>
      <c r="AL309" s="80">
        <v>31</v>
      </c>
      <c r="AM309" s="80">
        <v>31</v>
      </c>
      <c r="AN309" s="80">
        <v>0</v>
      </c>
      <c r="AO309" s="80">
        <v>2</v>
      </c>
      <c r="AP309" s="80">
        <v>2</v>
      </c>
      <c r="AQ309" s="80">
        <v>0</v>
      </c>
      <c r="AR309" s="80">
        <v>-46</v>
      </c>
      <c r="AS309" s="80">
        <v>0</v>
      </c>
      <c r="AT309" s="80">
        <v>0</v>
      </c>
      <c r="AU309" s="80">
        <v>0</v>
      </c>
      <c r="AV309" s="80">
        <v>-46</v>
      </c>
      <c r="AW309" s="81"/>
      <c r="AX309" s="80">
        <v>-17</v>
      </c>
      <c r="AY309" s="80">
        <v>-17</v>
      </c>
      <c r="AZ309" s="80">
        <v>0</v>
      </c>
      <c r="BA309" s="80">
        <v>0</v>
      </c>
      <c r="BB309" s="80">
        <v>0</v>
      </c>
      <c r="BC309" s="80">
        <v>0</v>
      </c>
      <c r="BD309" s="80">
        <v>0</v>
      </c>
      <c r="BE309" s="80">
        <v>0</v>
      </c>
      <c r="BF309" s="80">
        <v>-17</v>
      </c>
      <c r="BG309" s="80">
        <v>0</v>
      </c>
      <c r="BH309" s="80">
        <v>0</v>
      </c>
      <c r="BI309" s="80">
        <v>0</v>
      </c>
      <c r="BJ309" s="80">
        <v>0</v>
      </c>
      <c r="BK309" s="80">
        <v>-11</v>
      </c>
      <c r="BL309" s="80">
        <v>0</v>
      </c>
      <c r="BM309" s="80">
        <v>11</v>
      </c>
      <c r="BN309" s="80">
        <v>0</v>
      </c>
      <c r="BO309" s="80">
        <v>0</v>
      </c>
      <c r="BP309" s="80">
        <v>11</v>
      </c>
      <c r="BQ309" s="80">
        <v>0</v>
      </c>
      <c r="BR309" s="80">
        <v>0</v>
      </c>
      <c r="BS309" s="80">
        <v>11</v>
      </c>
      <c r="BT309" s="80">
        <v>0</v>
      </c>
      <c r="BU309" s="80">
        <v>24</v>
      </c>
      <c r="BV309" s="80">
        <v>336</v>
      </c>
      <c r="BW309" s="80">
        <v>312</v>
      </c>
      <c r="BX309" s="81"/>
      <c r="BY309" s="80">
        <v>773</v>
      </c>
      <c r="BZ309" s="80">
        <v>0</v>
      </c>
      <c r="CA309" s="80">
        <v>0</v>
      </c>
      <c r="CB309" s="80">
        <v>0</v>
      </c>
      <c r="CC309" s="80">
        <v>0</v>
      </c>
      <c r="CD309" s="80">
        <v>616</v>
      </c>
      <c r="CE309" s="80">
        <v>26</v>
      </c>
      <c r="CF309" s="80">
        <v>554</v>
      </c>
      <c r="CG309" s="80">
        <v>36</v>
      </c>
      <c r="CH309" s="80">
        <v>0</v>
      </c>
      <c r="CI309" s="80">
        <v>0</v>
      </c>
      <c r="CJ309" s="80">
        <v>0</v>
      </c>
      <c r="CK309" s="80">
        <v>0</v>
      </c>
      <c r="CL309" s="80">
        <v>157</v>
      </c>
      <c r="CM309" s="80">
        <v>148</v>
      </c>
      <c r="CN309" s="80">
        <v>0</v>
      </c>
      <c r="CO309" s="80">
        <v>148</v>
      </c>
      <c r="CP309" s="80">
        <v>0</v>
      </c>
      <c r="CQ309" s="80">
        <v>9</v>
      </c>
      <c r="CR309" s="80">
        <v>0</v>
      </c>
      <c r="CS309" s="80">
        <v>9</v>
      </c>
      <c r="CT309" s="80">
        <v>0</v>
      </c>
      <c r="CU309" s="80">
        <v>0</v>
      </c>
      <c r="CV309" s="80">
        <v>7</v>
      </c>
      <c r="CW309" s="80">
        <v>5</v>
      </c>
      <c r="CX309" s="80">
        <v>0</v>
      </c>
      <c r="CY309" s="80">
        <v>2</v>
      </c>
      <c r="CZ309" s="80">
        <v>352</v>
      </c>
      <c r="DA309" s="80">
        <v>0</v>
      </c>
      <c r="DB309" s="80">
        <v>0</v>
      </c>
      <c r="DC309" s="80">
        <v>0</v>
      </c>
      <c r="DD309" s="80">
        <v>0</v>
      </c>
      <c r="DE309" s="80">
        <v>0</v>
      </c>
      <c r="DF309" s="80">
        <v>0</v>
      </c>
      <c r="DG309" s="80">
        <v>16</v>
      </c>
      <c r="DH309" s="80">
        <v>0</v>
      </c>
      <c r="DI309" s="80">
        <v>0</v>
      </c>
      <c r="DJ309" s="80">
        <v>0</v>
      </c>
      <c r="DK309" s="80">
        <v>0</v>
      </c>
      <c r="DL309" s="80">
        <v>0</v>
      </c>
      <c r="DM309" s="80">
        <v>16</v>
      </c>
      <c r="DN309" s="80">
        <v>3</v>
      </c>
      <c r="DO309" s="80">
        <v>0</v>
      </c>
      <c r="DP309" s="80">
        <v>5</v>
      </c>
      <c r="DQ309" s="80">
        <v>8</v>
      </c>
      <c r="DR309" s="80">
        <v>0</v>
      </c>
      <c r="DS309" s="80">
        <v>0</v>
      </c>
      <c r="DT309" s="80">
        <v>0</v>
      </c>
      <c r="DU309" s="80">
        <v>0</v>
      </c>
      <c r="DV309" s="80">
        <v>0</v>
      </c>
      <c r="DW309" s="80">
        <v>336</v>
      </c>
      <c r="DX309" s="80">
        <v>1132</v>
      </c>
      <c r="DY309" s="80">
        <v>779</v>
      </c>
      <c r="DZ309" s="80">
        <v>528</v>
      </c>
      <c r="EA309" s="80">
        <v>0</v>
      </c>
      <c r="EB309" s="80">
        <v>0</v>
      </c>
      <c r="EC309" s="80">
        <v>-59</v>
      </c>
      <c r="ED309" s="80">
        <v>310</v>
      </c>
      <c r="EE309" s="80">
        <v>0</v>
      </c>
      <c r="EF309" s="80">
        <v>0</v>
      </c>
      <c r="EG309" s="80">
        <v>0</v>
      </c>
      <c r="EH309" s="80">
        <v>0</v>
      </c>
      <c r="EI309" s="80">
        <v>0</v>
      </c>
      <c r="EJ309" s="80">
        <v>0</v>
      </c>
      <c r="EK309" s="80">
        <v>5</v>
      </c>
      <c r="EL309" s="80">
        <v>5</v>
      </c>
      <c r="EM309" s="80">
        <v>0</v>
      </c>
      <c r="EN309" s="80">
        <v>0</v>
      </c>
      <c r="EO309" s="80">
        <v>348</v>
      </c>
      <c r="EP309" s="80">
        <v>254</v>
      </c>
      <c r="EQ309" s="80">
        <v>0</v>
      </c>
      <c r="ER309" s="80">
        <v>0</v>
      </c>
      <c r="ES309" s="80">
        <v>0</v>
      </c>
      <c r="ET309" s="80">
        <v>0</v>
      </c>
      <c r="EU309" s="80">
        <v>0</v>
      </c>
      <c r="EV309" s="80">
        <v>0</v>
      </c>
      <c r="EW309" s="80">
        <v>254</v>
      </c>
      <c r="EX309" s="80">
        <v>0</v>
      </c>
      <c r="EY309" s="80">
        <v>0</v>
      </c>
      <c r="EZ309" s="80">
        <v>0</v>
      </c>
      <c r="FA309" s="80">
        <v>0</v>
      </c>
      <c r="FB309" s="80">
        <v>0</v>
      </c>
      <c r="FC309" s="80">
        <v>0</v>
      </c>
      <c r="FD309" s="80">
        <v>94</v>
      </c>
      <c r="FE309" s="80">
        <v>0</v>
      </c>
      <c r="FF309" s="80">
        <v>0</v>
      </c>
      <c r="FG309" s="80">
        <v>0</v>
      </c>
      <c r="FH309" s="80">
        <v>0</v>
      </c>
      <c r="FI309" s="80">
        <v>0</v>
      </c>
      <c r="FJ309" s="80">
        <v>0</v>
      </c>
      <c r="FK309" s="80">
        <v>11</v>
      </c>
      <c r="FL309" s="80">
        <v>0</v>
      </c>
      <c r="FM309" s="80">
        <v>0</v>
      </c>
      <c r="FN309" s="80">
        <v>53</v>
      </c>
      <c r="FO309" s="80">
        <v>5</v>
      </c>
      <c r="FP309" s="80">
        <v>25</v>
      </c>
      <c r="FQ309" s="80">
        <v>1132</v>
      </c>
      <c r="FR309" s="80">
        <v>0</v>
      </c>
      <c r="FS309" s="80">
        <v>0</v>
      </c>
      <c r="FT309" s="67"/>
      <c r="FU309" s="67"/>
      <c r="FV309" s="67"/>
      <c r="FW309" s="67"/>
      <c r="FX309" s="67"/>
      <c r="FY309" s="67"/>
      <c r="FZ309" s="67"/>
      <c r="GA309" s="67"/>
      <c r="GB309" s="67"/>
      <c r="GC309" s="67"/>
      <c r="GD309" s="67"/>
      <c r="GE309" s="67"/>
      <c r="GF309" s="67"/>
      <c r="GG309" s="67"/>
      <c r="GH309" s="67"/>
      <c r="GI309" s="67"/>
      <c r="GJ309" s="67"/>
      <c r="GK309" s="67"/>
    </row>
    <row r="310" spans="1:195" ht="13.5" customHeight="1" x14ac:dyDescent="0.2">
      <c r="A310" s="74">
        <v>318</v>
      </c>
      <c r="B310" s="75" t="s">
        <v>326</v>
      </c>
      <c r="C310" s="75" t="s">
        <v>327</v>
      </c>
      <c r="D310" s="84"/>
      <c r="E310" s="77" t="s">
        <v>325</v>
      </c>
      <c r="F310" s="78">
        <v>1</v>
      </c>
      <c r="G310" s="79">
        <v>250</v>
      </c>
      <c r="H310" s="80">
        <v>319</v>
      </c>
      <c r="I310" s="80">
        <v>98</v>
      </c>
      <c r="J310" s="80">
        <v>110</v>
      </c>
      <c r="K310" s="80">
        <v>35</v>
      </c>
      <c r="L310" s="80">
        <v>76</v>
      </c>
      <c r="M310" s="80">
        <v>0</v>
      </c>
      <c r="N310" s="80">
        <v>0</v>
      </c>
      <c r="O310" s="80">
        <v>1908</v>
      </c>
      <c r="P310" s="80">
        <v>1280</v>
      </c>
      <c r="Q310" s="80">
        <v>1037</v>
      </c>
      <c r="R310" s="80">
        <v>243</v>
      </c>
      <c r="S310" s="80">
        <v>205</v>
      </c>
      <c r="T310" s="80">
        <v>38</v>
      </c>
      <c r="U310" s="80">
        <v>404</v>
      </c>
      <c r="V310" s="80">
        <v>188</v>
      </c>
      <c r="W310" s="80">
        <v>33</v>
      </c>
      <c r="X310" s="80">
        <v>3</v>
      </c>
      <c r="Y310" s="80">
        <v>-1589</v>
      </c>
      <c r="Z310" s="80">
        <v>906</v>
      </c>
      <c r="AA310" s="80">
        <v>827</v>
      </c>
      <c r="AB310" s="80">
        <v>13</v>
      </c>
      <c r="AC310" s="80">
        <v>66</v>
      </c>
      <c r="AD310" s="80">
        <v>941</v>
      </c>
      <c r="AE310" s="80">
        <v>-22</v>
      </c>
      <c r="AF310" s="80">
        <v>0</v>
      </c>
      <c r="AG310" s="80">
        <v>3</v>
      </c>
      <c r="AH310" s="80">
        <v>0</v>
      </c>
      <c r="AI310" s="80">
        <v>25</v>
      </c>
      <c r="AJ310" s="80">
        <v>0</v>
      </c>
      <c r="AK310" s="80">
        <v>236</v>
      </c>
      <c r="AL310" s="80">
        <v>81</v>
      </c>
      <c r="AM310" s="80">
        <v>81</v>
      </c>
      <c r="AN310" s="80">
        <v>0</v>
      </c>
      <c r="AO310" s="80">
        <v>0</v>
      </c>
      <c r="AP310" s="80">
        <v>0</v>
      </c>
      <c r="AQ310" s="80">
        <v>0</v>
      </c>
      <c r="AR310" s="80">
        <v>155</v>
      </c>
      <c r="AS310" s="80">
        <v>0</v>
      </c>
      <c r="AT310" s="80">
        <v>0</v>
      </c>
      <c r="AU310" s="80">
        <v>0</v>
      </c>
      <c r="AV310" s="80">
        <v>155</v>
      </c>
      <c r="AW310" s="81"/>
      <c r="AX310" s="80">
        <v>280</v>
      </c>
      <c r="AY310" s="80">
        <v>236</v>
      </c>
      <c r="AZ310" s="80">
        <v>0</v>
      </c>
      <c r="BA310" s="80">
        <v>44</v>
      </c>
      <c r="BB310" s="80">
        <v>-14</v>
      </c>
      <c r="BC310" s="80">
        <v>14</v>
      </c>
      <c r="BD310" s="80">
        <v>0</v>
      </c>
      <c r="BE310" s="80">
        <v>0</v>
      </c>
      <c r="BF310" s="80">
        <v>266</v>
      </c>
      <c r="BG310" s="80">
        <v>-85</v>
      </c>
      <c r="BH310" s="80">
        <v>0</v>
      </c>
      <c r="BI310" s="80">
        <v>0</v>
      </c>
      <c r="BJ310" s="80">
        <v>0</v>
      </c>
      <c r="BK310" s="80">
        <v>-92</v>
      </c>
      <c r="BL310" s="80">
        <v>0</v>
      </c>
      <c r="BM310" s="80">
        <v>92</v>
      </c>
      <c r="BN310" s="80">
        <v>0</v>
      </c>
      <c r="BO310" s="80">
        <v>0</v>
      </c>
      <c r="BP310" s="80">
        <v>7</v>
      </c>
      <c r="BQ310" s="80">
        <v>-3</v>
      </c>
      <c r="BR310" s="80">
        <v>0</v>
      </c>
      <c r="BS310" s="80">
        <v>-26</v>
      </c>
      <c r="BT310" s="80">
        <v>36</v>
      </c>
      <c r="BU310" s="80">
        <v>181</v>
      </c>
      <c r="BV310" s="80">
        <v>298</v>
      </c>
      <c r="BW310" s="80">
        <v>117</v>
      </c>
      <c r="BX310" s="81"/>
      <c r="BY310" s="80">
        <v>2786</v>
      </c>
      <c r="BZ310" s="80">
        <v>0</v>
      </c>
      <c r="CA310" s="80">
        <v>0</v>
      </c>
      <c r="CB310" s="80">
        <v>0</v>
      </c>
      <c r="CC310" s="80">
        <v>0</v>
      </c>
      <c r="CD310" s="80">
        <v>2720</v>
      </c>
      <c r="CE310" s="80">
        <v>142</v>
      </c>
      <c r="CF310" s="80">
        <v>2443</v>
      </c>
      <c r="CG310" s="80">
        <v>133</v>
      </c>
      <c r="CH310" s="80">
        <v>2</v>
      </c>
      <c r="CI310" s="80">
        <v>0</v>
      </c>
      <c r="CJ310" s="80">
        <v>0</v>
      </c>
      <c r="CK310" s="80">
        <v>0</v>
      </c>
      <c r="CL310" s="80">
        <v>66</v>
      </c>
      <c r="CM310" s="80">
        <v>57</v>
      </c>
      <c r="CN310" s="80">
        <v>24</v>
      </c>
      <c r="CO310" s="80">
        <v>33</v>
      </c>
      <c r="CP310" s="80">
        <v>0</v>
      </c>
      <c r="CQ310" s="80">
        <v>9</v>
      </c>
      <c r="CR310" s="80">
        <v>0</v>
      </c>
      <c r="CS310" s="80">
        <v>9</v>
      </c>
      <c r="CT310" s="80">
        <v>0</v>
      </c>
      <c r="CU310" s="80">
        <v>0</v>
      </c>
      <c r="CV310" s="80">
        <v>114</v>
      </c>
      <c r="CW310" s="80">
        <v>22</v>
      </c>
      <c r="CX310" s="80">
        <v>92</v>
      </c>
      <c r="CY310" s="80">
        <v>0</v>
      </c>
      <c r="CZ310" s="80">
        <v>393</v>
      </c>
      <c r="DA310" s="80">
        <v>0</v>
      </c>
      <c r="DB310" s="80">
        <v>0</v>
      </c>
      <c r="DC310" s="80">
        <v>0</v>
      </c>
      <c r="DD310" s="80">
        <v>0</v>
      </c>
      <c r="DE310" s="80">
        <v>0</v>
      </c>
      <c r="DF310" s="80">
        <v>0</v>
      </c>
      <c r="DG310" s="80">
        <v>95</v>
      </c>
      <c r="DH310" s="80">
        <v>0</v>
      </c>
      <c r="DI310" s="80">
        <v>0</v>
      </c>
      <c r="DJ310" s="80">
        <v>0</v>
      </c>
      <c r="DK310" s="80">
        <v>0</v>
      </c>
      <c r="DL310" s="80">
        <v>0</v>
      </c>
      <c r="DM310" s="80">
        <v>95</v>
      </c>
      <c r="DN310" s="80">
        <v>58</v>
      </c>
      <c r="DO310" s="80">
        <v>0</v>
      </c>
      <c r="DP310" s="80">
        <v>17</v>
      </c>
      <c r="DQ310" s="80">
        <v>20</v>
      </c>
      <c r="DR310" s="80">
        <v>0</v>
      </c>
      <c r="DS310" s="80">
        <v>0</v>
      </c>
      <c r="DT310" s="80">
        <v>0</v>
      </c>
      <c r="DU310" s="80">
        <v>0</v>
      </c>
      <c r="DV310" s="80">
        <v>0</v>
      </c>
      <c r="DW310" s="80">
        <v>298</v>
      </c>
      <c r="DX310" s="80">
        <v>3293</v>
      </c>
      <c r="DY310" s="80">
        <v>496</v>
      </c>
      <c r="DZ310" s="80">
        <v>492</v>
      </c>
      <c r="EA310" s="80">
        <v>0</v>
      </c>
      <c r="EB310" s="80">
        <v>0</v>
      </c>
      <c r="EC310" s="80">
        <v>-151</v>
      </c>
      <c r="ED310" s="80">
        <v>155</v>
      </c>
      <c r="EE310" s="80">
        <v>0</v>
      </c>
      <c r="EF310" s="80">
        <v>0</v>
      </c>
      <c r="EG310" s="80">
        <v>0</v>
      </c>
      <c r="EH310" s="80">
        <v>74</v>
      </c>
      <c r="EI310" s="80">
        <v>0</v>
      </c>
      <c r="EJ310" s="80">
        <v>74</v>
      </c>
      <c r="EK310" s="80">
        <v>144</v>
      </c>
      <c r="EL310" s="80">
        <v>22</v>
      </c>
      <c r="EM310" s="80">
        <v>122</v>
      </c>
      <c r="EN310" s="80">
        <v>0</v>
      </c>
      <c r="EO310" s="80">
        <v>2580</v>
      </c>
      <c r="EP310" s="80">
        <v>2283</v>
      </c>
      <c r="EQ310" s="80">
        <v>0</v>
      </c>
      <c r="ER310" s="80">
        <v>1155</v>
      </c>
      <c r="ES310" s="80">
        <v>1155</v>
      </c>
      <c r="ET310" s="80">
        <v>0</v>
      </c>
      <c r="EU310" s="80">
        <v>0</v>
      </c>
      <c r="EV310" s="80">
        <v>0</v>
      </c>
      <c r="EW310" s="80">
        <v>970</v>
      </c>
      <c r="EX310" s="80">
        <v>0</v>
      </c>
      <c r="EY310" s="80">
        <v>0</v>
      </c>
      <c r="EZ310" s="80">
        <v>0</v>
      </c>
      <c r="FA310" s="80">
        <v>158</v>
      </c>
      <c r="FB310" s="80">
        <v>0</v>
      </c>
      <c r="FC310" s="80">
        <v>0</v>
      </c>
      <c r="FD310" s="80">
        <v>297</v>
      </c>
      <c r="FE310" s="80">
        <v>0</v>
      </c>
      <c r="FF310" s="80">
        <v>41</v>
      </c>
      <c r="FG310" s="80">
        <v>41</v>
      </c>
      <c r="FH310" s="80">
        <v>0</v>
      </c>
      <c r="FI310" s="80">
        <v>0</v>
      </c>
      <c r="FJ310" s="80">
        <v>0</v>
      </c>
      <c r="FK310" s="80">
        <v>34</v>
      </c>
      <c r="FL310" s="80">
        <v>0</v>
      </c>
      <c r="FM310" s="80">
        <v>0</v>
      </c>
      <c r="FN310" s="80">
        <v>71</v>
      </c>
      <c r="FO310" s="80">
        <v>31</v>
      </c>
      <c r="FP310" s="80">
        <v>120</v>
      </c>
      <c r="FQ310" s="80">
        <v>3294</v>
      </c>
      <c r="FR310" s="80">
        <v>0</v>
      </c>
      <c r="FS310" s="80">
        <v>499</v>
      </c>
      <c r="FT310" s="67"/>
      <c r="FU310" s="67"/>
      <c r="FV310" s="67"/>
      <c r="FW310" s="67"/>
      <c r="FX310" s="67"/>
      <c r="FY310" s="67"/>
      <c r="FZ310" s="67"/>
      <c r="GA310" s="67"/>
      <c r="GB310" s="67"/>
      <c r="GC310" s="67"/>
      <c r="GD310" s="67"/>
      <c r="GE310" s="67"/>
      <c r="GF310" s="67"/>
      <c r="GG310" s="67"/>
      <c r="GH310" s="67"/>
      <c r="GI310" s="67"/>
      <c r="GJ310" s="67"/>
      <c r="GK310" s="67"/>
    </row>
    <row r="311" spans="1:195" ht="13.5" customHeight="1" x14ac:dyDescent="0.2">
      <c r="A311" s="74">
        <v>295</v>
      </c>
      <c r="B311" s="75" t="s">
        <v>328</v>
      </c>
      <c r="C311" s="75" t="s">
        <v>329</v>
      </c>
      <c r="D311" s="84"/>
      <c r="E311" s="77" t="s">
        <v>325</v>
      </c>
      <c r="F311" s="78">
        <v>1</v>
      </c>
      <c r="G311" s="79">
        <v>317</v>
      </c>
      <c r="H311" s="80">
        <v>259</v>
      </c>
      <c r="I311" s="80">
        <v>113</v>
      </c>
      <c r="J311" s="80">
        <v>92</v>
      </c>
      <c r="K311" s="80">
        <v>14</v>
      </c>
      <c r="L311" s="80">
        <v>40</v>
      </c>
      <c r="M311" s="80">
        <v>0</v>
      </c>
      <c r="N311" s="80">
        <v>0</v>
      </c>
      <c r="O311" s="80">
        <v>2193</v>
      </c>
      <c r="P311" s="80">
        <v>1351</v>
      </c>
      <c r="Q311" s="80">
        <v>1083</v>
      </c>
      <c r="R311" s="80">
        <v>268</v>
      </c>
      <c r="S311" s="80">
        <v>230</v>
      </c>
      <c r="T311" s="80">
        <v>38</v>
      </c>
      <c r="U311" s="80">
        <v>576</v>
      </c>
      <c r="V311" s="80">
        <v>203</v>
      </c>
      <c r="W311" s="80">
        <v>29</v>
      </c>
      <c r="X311" s="80">
        <v>34</v>
      </c>
      <c r="Y311" s="80">
        <v>-1934</v>
      </c>
      <c r="Z311" s="80">
        <v>1034</v>
      </c>
      <c r="AA311" s="80">
        <v>961</v>
      </c>
      <c r="AB311" s="80">
        <v>16</v>
      </c>
      <c r="AC311" s="80">
        <v>57</v>
      </c>
      <c r="AD311" s="80">
        <v>886</v>
      </c>
      <c r="AE311" s="80">
        <v>7</v>
      </c>
      <c r="AF311" s="80">
        <v>14</v>
      </c>
      <c r="AG311" s="80">
        <v>0</v>
      </c>
      <c r="AH311" s="80">
        <v>0</v>
      </c>
      <c r="AI311" s="80">
        <v>7</v>
      </c>
      <c r="AJ311" s="80">
        <v>0</v>
      </c>
      <c r="AK311" s="80">
        <v>-7</v>
      </c>
      <c r="AL311" s="80">
        <v>141</v>
      </c>
      <c r="AM311" s="80">
        <v>141</v>
      </c>
      <c r="AN311" s="80">
        <v>0</v>
      </c>
      <c r="AO311" s="80">
        <v>0</v>
      </c>
      <c r="AP311" s="80">
        <v>0</v>
      </c>
      <c r="AQ311" s="80">
        <v>0</v>
      </c>
      <c r="AR311" s="80">
        <v>-148</v>
      </c>
      <c r="AS311" s="80">
        <v>0</v>
      </c>
      <c r="AT311" s="80">
        <v>0</v>
      </c>
      <c r="AU311" s="80">
        <v>0</v>
      </c>
      <c r="AV311" s="80">
        <v>-148</v>
      </c>
      <c r="AW311" s="81"/>
      <c r="AX311" s="80">
        <v>103</v>
      </c>
      <c r="AY311" s="80">
        <v>-7</v>
      </c>
      <c r="AZ311" s="80">
        <v>0</v>
      </c>
      <c r="BA311" s="80">
        <v>110</v>
      </c>
      <c r="BB311" s="80">
        <v>-451</v>
      </c>
      <c r="BC311" s="80">
        <v>502</v>
      </c>
      <c r="BD311" s="80">
        <v>51</v>
      </c>
      <c r="BE311" s="80">
        <v>0</v>
      </c>
      <c r="BF311" s="80">
        <v>-348</v>
      </c>
      <c r="BG311" s="80">
        <v>-26</v>
      </c>
      <c r="BH311" s="80">
        <v>0</v>
      </c>
      <c r="BI311" s="80">
        <v>0</v>
      </c>
      <c r="BJ311" s="80">
        <v>0</v>
      </c>
      <c r="BK311" s="80">
        <v>-50</v>
      </c>
      <c r="BL311" s="80">
        <v>0</v>
      </c>
      <c r="BM311" s="80">
        <v>50</v>
      </c>
      <c r="BN311" s="80">
        <v>0</v>
      </c>
      <c r="BO311" s="80">
        <v>0</v>
      </c>
      <c r="BP311" s="80">
        <v>24</v>
      </c>
      <c r="BQ311" s="80">
        <v>-6</v>
      </c>
      <c r="BR311" s="80">
        <v>0</v>
      </c>
      <c r="BS311" s="80">
        <v>53</v>
      </c>
      <c r="BT311" s="80">
        <v>-23</v>
      </c>
      <c r="BU311" s="80">
        <v>-376</v>
      </c>
      <c r="BV311" s="80">
        <v>454</v>
      </c>
      <c r="BW311" s="80">
        <v>830</v>
      </c>
      <c r="BX311" s="81"/>
      <c r="BY311" s="80">
        <v>2506</v>
      </c>
      <c r="BZ311" s="80">
        <v>0</v>
      </c>
      <c r="CA311" s="80">
        <v>0</v>
      </c>
      <c r="CB311" s="80">
        <v>0</v>
      </c>
      <c r="CC311" s="80">
        <v>0</v>
      </c>
      <c r="CD311" s="80">
        <v>2348</v>
      </c>
      <c r="CE311" s="80">
        <v>121</v>
      </c>
      <c r="CF311" s="80">
        <v>1937</v>
      </c>
      <c r="CG311" s="80">
        <v>177</v>
      </c>
      <c r="CH311" s="80">
        <v>85</v>
      </c>
      <c r="CI311" s="80">
        <v>0</v>
      </c>
      <c r="CJ311" s="80">
        <v>0</v>
      </c>
      <c r="CK311" s="80">
        <v>28</v>
      </c>
      <c r="CL311" s="80">
        <v>158</v>
      </c>
      <c r="CM311" s="80">
        <v>151</v>
      </c>
      <c r="CN311" s="80">
        <v>48</v>
      </c>
      <c r="CO311" s="80">
        <v>103</v>
      </c>
      <c r="CP311" s="80">
        <v>0</v>
      </c>
      <c r="CQ311" s="80">
        <v>0</v>
      </c>
      <c r="CR311" s="80">
        <v>0</v>
      </c>
      <c r="CS311" s="80">
        <v>0</v>
      </c>
      <c r="CT311" s="80">
        <v>0</v>
      </c>
      <c r="CU311" s="80">
        <v>7</v>
      </c>
      <c r="CV311" s="80">
        <v>2</v>
      </c>
      <c r="CW311" s="80">
        <v>2</v>
      </c>
      <c r="CX311" s="80">
        <v>0</v>
      </c>
      <c r="CY311" s="80">
        <v>0</v>
      </c>
      <c r="CZ311" s="80">
        <v>950</v>
      </c>
      <c r="DA311" s="80">
        <v>0</v>
      </c>
      <c r="DB311" s="80">
        <v>0</v>
      </c>
      <c r="DC311" s="80">
        <v>0</v>
      </c>
      <c r="DD311" s="80">
        <v>0</v>
      </c>
      <c r="DE311" s="80">
        <v>0</v>
      </c>
      <c r="DF311" s="80">
        <v>0</v>
      </c>
      <c r="DG311" s="80">
        <v>496</v>
      </c>
      <c r="DH311" s="80">
        <v>341</v>
      </c>
      <c r="DI311" s="80">
        <v>0</v>
      </c>
      <c r="DJ311" s="80">
        <v>329</v>
      </c>
      <c r="DK311" s="80">
        <v>12</v>
      </c>
      <c r="DL311" s="80">
        <v>0</v>
      </c>
      <c r="DM311" s="80">
        <v>155</v>
      </c>
      <c r="DN311" s="80">
        <v>111</v>
      </c>
      <c r="DO311" s="80">
        <v>5</v>
      </c>
      <c r="DP311" s="80">
        <v>39</v>
      </c>
      <c r="DQ311" s="80">
        <v>0</v>
      </c>
      <c r="DR311" s="80">
        <v>0</v>
      </c>
      <c r="DS311" s="80">
        <v>0</v>
      </c>
      <c r="DT311" s="80">
        <v>0</v>
      </c>
      <c r="DU311" s="80">
        <v>0</v>
      </c>
      <c r="DV311" s="80">
        <v>0</v>
      </c>
      <c r="DW311" s="80">
        <v>454</v>
      </c>
      <c r="DX311" s="80">
        <v>3458</v>
      </c>
      <c r="DY311" s="80">
        <v>2243</v>
      </c>
      <c r="DZ311" s="80">
        <v>705</v>
      </c>
      <c r="EA311" s="80">
        <v>0</v>
      </c>
      <c r="EB311" s="80">
        <v>0</v>
      </c>
      <c r="EC311" s="80">
        <v>1687</v>
      </c>
      <c r="ED311" s="80">
        <v>-149</v>
      </c>
      <c r="EE311" s="80">
        <v>0</v>
      </c>
      <c r="EF311" s="80">
        <v>0</v>
      </c>
      <c r="EG311" s="80">
        <v>0</v>
      </c>
      <c r="EH311" s="80">
        <v>203</v>
      </c>
      <c r="EI311" s="80">
        <v>0</v>
      </c>
      <c r="EJ311" s="80">
        <v>203</v>
      </c>
      <c r="EK311" s="80">
        <v>6</v>
      </c>
      <c r="EL311" s="80">
        <v>2</v>
      </c>
      <c r="EM311" s="80">
        <v>4</v>
      </c>
      <c r="EN311" s="80">
        <v>0</v>
      </c>
      <c r="EO311" s="80">
        <v>1005</v>
      </c>
      <c r="EP311" s="80">
        <v>650</v>
      </c>
      <c r="EQ311" s="80">
        <v>0</v>
      </c>
      <c r="ER311" s="80">
        <v>0</v>
      </c>
      <c r="ES311" s="80">
        <v>0</v>
      </c>
      <c r="ET311" s="80">
        <v>0</v>
      </c>
      <c r="EU311" s="80">
        <v>0</v>
      </c>
      <c r="EV311" s="80">
        <v>0</v>
      </c>
      <c r="EW311" s="80">
        <v>625</v>
      </c>
      <c r="EX311" s="80">
        <v>0</v>
      </c>
      <c r="EY311" s="80">
        <v>0</v>
      </c>
      <c r="EZ311" s="80">
        <v>0</v>
      </c>
      <c r="FA311" s="80">
        <v>25</v>
      </c>
      <c r="FB311" s="80">
        <v>0</v>
      </c>
      <c r="FC311" s="80">
        <v>0</v>
      </c>
      <c r="FD311" s="80">
        <v>355</v>
      </c>
      <c r="FE311" s="80">
        <v>0</v>
      </c>
      <c r="FF311" s="80">
        <v>0</v>
      </c>
      <c r="FG311" s="80">
        <v>0</v>
      </c>
      <c r="FH311" s="80">
        <v>0</v>
      </c>
      <c r="FI311" s="80">
        <v>0</v>
      </c>
      <c r="FJ311" s="80">
        <v>0</v>
      </c>
      <c r="FK311" s="80">
        <v>50</v>
      </c>
      <c r="FL311" s="80">
        <v>0</v>
      </c>
      <c r="FM311" s="80">
        <v>0</v>
      </c>
      <c r="FN311" s="80">
        <v>80</v>
      </c>
      <c r="FO311" s="80">
        <v>63</v>
      </c>
      <c r="FP311" s="80">
        <v>162</v>
      </c>
      <c r="FQ311" s="80">
        <v>3457</v>
      </c>
      <c r="FR311" s="80">
        <v>0</v>
      </c>
      <c r="FS311" s="80">
        <v>251</v>
      </c>
      <c r="FT311" s="67"/>
      <c r="FU311" s="67"/>
      <c r="FV311" s="67"/>
      <c r="FW311" s="67"/>
      <c r="FX311" s="67"/>
      <c r="FY311" s="67"/>
      <c r="FZ311" s="67"/>
      <c r="GA311" s="67"/>
      <c r="GB311" s="67"/>
      <c r="GC311" s="67"/>
      <c r="GD311" s="67"/>
      <c r="GE311" s="67"/>
      <c r="GF311" s="67"/>
      <c r="GG311" s="67"/>
      <c r="GH311" s="67"/>
      <c r="GI311" s="67"/>
      <c r="GJ311" s="67"/>
      <c r="GK311" s="67"/>
    </row>
    <row r="312" spans="1:195" ht="13.5" customHeight="1" x14ac:dyDescent="0.2">
      <c r="A312" s="74">
        <v>438</v>
      </c>
      <c r="B312" s="75" t="s">
        <v>330</v>
      </c>
      <c r="C312" s="75" t="s">
        <v>331</v>
      </c>
      <c r="D312" s="84"/>
      <c r="E312" s="77" t="s">
        <v>325</v>
      </c>
      <c r="F312" s="78">
        <v>1</v>
      </c>
      <c r="G312" s="79">
        <v>398</v>
      </c>
      <c r="H312" s="80">
        <v>163</v>
      </c>
      <c r="I312" s="80">
        <v>37</v>
      </c>
      <c r="J312" s="80">
        <v>79</v>
      </c>
      <c r="K312" s="80">
        <v>4</v>
      </c>
      <c r="L312" s="80">
        <v>43</v>
      </c>
      <c r="M312" s="80">
        <v>0</v>
      </c>
      <c r="N312" s="80">
        <v>0</v>
      </c>
      <c r="O312" s="80">
        <v>2341</v>
      </c>
      <c r="P312" s="80">
        <v>1239</v>
      </c>
      <c r="Q312" s="80">
        <v>1016</v>
      </c>
      <c r="R312" s="80">
        <v>223</v>
      </c>
      <c r="S312" s="80">
        <v>198</v>
      </c>
      <c r="T312" s="80">
        <v>25</v>
      </c>
      <c r="U312" s="80">
        <v>946</v>
      </c>
      <c r="V312" s="80">
        <v>92</v>
      </c>
      <c r="W312" s="80">
        <v>53</v>
      </c>
      <c r="X312" s="80">
        <v>11</v>
      </c>
      <c r="Y312" s="80">
        <v>-2178</v>
      </c>
      <c r="Z312" s="80">
        <v>1463</v>
      </c>
      <c r="AA312" s="80">
        <v>1313</v>
      </c>
      <c r="AB312" s="80">
        <v>65</v>
      </c>
      <c r="AC312" s="80">
        <v>85</v>
      </c>
      <c r="AD312" s="80">
        <v>689</v>
      </c>
      <c r="AE312" s="80">
        <v>-21</v>
      </c>
      <c r="AF312" s="80">
        <v>0</v>
      </c>
      <c r="AG312" s="80">
        <v>0</v>
      </c>
      <c r="AH312" s="80">
        <v>0</v>
      </c>
      <c r="AI312" s="80">
        <v>21</v>
      </c>
      <c r="AJ312" s="80">
        <v>0</v>
      </c>
      <c r="AK312" s="80">
        <v>-47</v>
      </c>
      <c r="AL312" s="80">
        <v>170</v>
      </c>
      <c r="AM312" s="80">
        <v>170</v>
      </c>
      <c r="AN312" s="80">
        <v>0</v>
      </c>
      <c r="AO312" s="80">
        <v>0</v>
      </c>
      <c r="AP312" s="80">
        <v>0</v>
      </c>
      <c r="AQ312" s="80">
        <v>0</v>
      </c>
      <c r="AR312" s="80">
        <v>-217</v>
      </c>
      <c r="AS312" s="80">
        <v>0</v>
      </c>
      <c r="AT312" s="80">
        <v>0</v>
      </c>
      <c r="AU312" s="80">
        <v>0</v>
      </c>
      <c r="AV312" s="80">
        <v>-217</v>
      </c>
      <c r="AW312" s="81"/>
      <c r="AX312" s="80">
        <v>-106</v>
      </c>
      <c r="AY312" s="80">
        <v>-47</v>
      </c>
      <c r="AZ312" s="80">
        <v>0</v>
      </c>
      <c r="BA312" s="80">
        <v>-59</v>
      </c>
      <c r="BB312" s="80">
        <v>-414</v>
      </c>
      <c r="BC312" s="80">
        <v>527</v>
      </c>
      <c r="BD312" s="80">
        <v>113</v>
      </c>
      <c r="BE312" s="80">
        <v>0</v>
      </c>
      <c r="BF312" s="80">
        <v>-520</v>
      </c>
      <c r="BG312" s="80">
        <v>525</v>
      </c>
      <c r="BH312" s="80">
        <v>0</v>
      </c>
      <c r="BI312" s="80">
        <v>0</v>
      </c>
      <c r="BJ312" s="80">
        <v>0</v>
      </c>
      <c r="BK312" s="80">
        <v>293</v>
      </c>
      <c r="BL312" s="80">
        <v>735</v>
      </c>
      <c r="BM312" s="80">
        <v>468</v>
      </c>
      <c r="BN312" s="80">
        <v>26</v>
      </c>
      <c r="BO312" s="80">
        <v>0</v>
      </c>
      <c r="BP312" s="80">
        <v>232</v>
      </c>
      <c r="BQ312" s="80">
        <v>0</v>
      </c>
      <c r="BR312" s="80">
        <v>0</v>
      </c>
      <c r="BS312" s="80">
        <v>232</v>
      </c>
      <c r="BT312" s="80">
        <v>0</v>
      </c>
      <c r="BU312" s="80">
        <v>5</v>
      </c>
      <c r="BV312" s="80">
        <v>213</v>
      </c>
      <c r="BW312" s="80">
        <v>208</v>
      </c>
      <c r="BX312" s="81"/>
      <c r="BY312" s="80">
        <v>3559</v>
      </c>
      <c r="BZ312" s="80">
        <v>102</v>
      </c>
      <c r="CA312" s="80">
        <v>0</v>
      </c>
      <c r="CB312" s="80">
        <v>102</v>
      </c>
      <c r="CC312" s="80">
        <v>0</v>
      </c>
      <c r="CD312" s="80">
        <v>3294</v>
      </c>
      <c r="CE312" s="80">
        <v>117</v>
      </c>
      <c r="CF312" s="80">
        <v>2520</v>
      </c>
      <c r="CG312" s="80">
        <v>509</v>
      </c>
      <c r="CH312" s="80">
        <v>135</v>
      </c>
      <c r="CI312" s="80">
        <v>0</v>
      </c>
      <c r="CJ312" s="80">
        <v>0</v>
      </c>
      <c r="CK312" s="80">
        <v>13</v>
      </c>
      <c r="CL312" s="80">
        <v>163</v>
      </c>
      <c r="CM312" s="80">
        <v>163</v>
      </c>
      <c r="CN312" s="80">
        <v>122</v>
      </c>
      <c r="CO312" s="80">
        <v>41</v>
      </c>
      <c r="CP312" s="80">
        <v>0</v>
      </c>
      <c r="CQ312" s="80">
        <v>0</v>
      </c>
      <c r="CR312" s="80">
        <v>0</v>
      </c>
      <c r="CS312" s="80">
        <v>0</v>
      </c>
      <c r="CT312" s="80">
        <v>0</v>
      </c>
      <c r="CU312" s="80">
        <v>0</v>
      </c>
      <c r="CV312" s="80">
        <v>13</v>
      </c>
      <c r="CW312" s="80">
        <v>10</v>
      </c>
      <c r="CX312" s="80">
        <v>3</v>
      </c>
      <c r="CY312" s="80">
        <v>0</v>
      </c>
      <c r="CZ312" s="80">
        <v>288</v>
      </c>
      <c r="DA312" s="80">
        <v>0</v>
      </c>
      <c r="DB312" s="80">
        <v>0</v>
      </c>
      <c r="DC312" s="80">
        <v>0</v>
      </c>
      <c r="DD312" s="80">
        <v>0</v>
      </c>
      <c r="DE312" s="80">
        <v>0</v>
      </c>
      <c r="DF312" s="80">
        <v>0</v>
      </c>
      <c r="DG312" s="80">
        <v>75</v>
      </c>
      <c r="DH312" s="80">
        <v>9</v>
      </c>
      <c r="DI312" s="80">
        <v>0</v>
      </c>
      <c r="DJ312" s="80">
        <v>9</v>
      </c>
      <c r="DK312" s="80">
        <v>0</v>
      </c>
      <c r="DL312" s="80">
        <v>0</v>
      </c>
      <c r="DM312" s="80">
        <v>66</v>
      </c>
      <c r="DN312" s="80">
        <v>38</v>
      </c>
      <c r="DO312" s="80">
        <v>0</v>
      </c>
      <c r="DP312" s="80">
        <v>17</v>
      </c>
      <c r="DQ312" s="80">
        <v>11</v>
      </c>
      <c r="DR312" s="80">
        <v>0</v>
      </c>
      <c r="DS312" s="80">
        <v>0</v>
      </c>
      <c r="DT312" s="80">
        <v>0</v>
      </c>
      <c r="DU312" s="80">
        <v>0</v>
      </c>
      <c r="DV312" s="80">
        <v>0</v>
      </c>
      <c r="DW312" s="80">
        <v>213</v>
      </c>
      <c r="DX312" s="80">
        <v>3860</v>
      </c>
      <c r="DY312" s="80">
        <v>1650</v>
      </c>
      <c r="DZ312" s="80">
        <v>1043</v>
      </c>
      <c r="EA312" s="80">
        <v>0</v>
      </c>
      <c r="EB312" s="80">
        <v>0</v>
      </c>
      <c r="EC312" s="80">
        <v>824</v>
      </c>
      <c r="ED312" s="80">
        <v>-217</v>
      </c>
      <c r="EE312" s="80">
        <v>0</v>
      </c>
      <c r="EF312" s="80">
        <v>0</v>
      </c>
      <c r="EG312" s="80">
        <v>0</v>
      </c>
      <c r="EH312" s="80">
        <v>0</v>
      </c>
      <c r="EI312" s="80">
        <v>0</v>
      </c>
      <c r="EJ312" s="80">
        <v>0</v>
      </c>
      <c r="EK312" s="80">
        <v>13</v>
      </c>
      <c r="EL312" s="80">
        <v>0</v>
      </c>
      <c r="EM312" s="80">
        <v>3</v>
      </c>
      <c r="EN312" s="80">
        <v>10</v>
      </c>
      <c r="EO312" s="80">
        <v>2197</v>
      </c>
      <c r="EP312" s="80">
        <v>1900</v>
      </c>
      <c r="EQ312" s="80">
        <v>0</v>
      </c>
      <c r="ER312" s="80">
        <v>1157</v>
      </c>
      <c r="ES312" s="80">
        <v>1157</v>
      </c>
      <c r="ET312" s="80">
        <v>0</v>
      </c>
      <c r="EU312" s="80">
        <v>0</v>
      </c>
      <c r="EV312" s="80">
        <v>0</v>
      </c>
      <c r="EW312" s="80">
        <v>592</v>
      </c>
      <c r="EX312" s="80">
        <v>0</v>
      </c>
      <c r="EY312" s="80">
        <v>0</v>
      </c>
      <c r="EZ312" s="80">
        <v>0</v>
      </c>
      <c r="FA312" s="80">
        <v>151</v>
      </c>
      <c r="FB312" s="80">
        <v>0</v>
      </c>
      <c r="FC312" s="80">
        <v>0</v>
      </c>
      <c r="FD312" s="80">
        <v>297</v>
      </c>
      <c r="FE312" s="80">
        <v>0</v>
      </c>
      <c r="FF312" s="80">
        <v>65</v>
      </c>
      <c r="FG312" s="80">
        <v>65</v>
      </c>
      <c r="FH312" s="80">
        <v>0</v>
      </c>
      <c r="FI312" s="80">
        <v>0</v>
      </c>
      <c r="FJ312" s="80">
        <v>0</v>
      </c>
      <c r="FK312" s="80">
        <v>55</v>
      </c>
      <c r="FL312" s="80">
        <v>0</v>
      </c>
      <c r="FM312" s="80">
        <v>0</v>
      </c>
      <c r="FN312" s="80">
        <v>31</v>
      </c>
      <c r="FO312" s="80">
        <v>5</v>
      </c>
      <c r="FP312" s="80">
        <v>141</v>
      </c>
      <c r="FQ312" s="80">
        <v>3860</v>
      </c>
      <c r="FR312" s="80">
        <v>0</v>
      </c>
      <c r="FS312" s="80">
        <v>20</v>
      </c>
      <c r="FT312" s="67"/>
      <c r="FU312" s="67"/>
      <c r="FV312" s="67"/>
      <c r="FW312" s="67"/>
      <c r="FX312" s="67"/>
      <c r="FY312" s="67"/>
      <c r="FZ312" s="67"/>
      <c r="GA312" s="67"/>
      <c r="GB312" s="67"/>
      <c r="GC312" s="67"/>
      <c r="GD312" s="67"/>
      <c r="GE312" s="67"/>
      <c r="GF312" s="67"/>
      <c r="GG312" s="67"/>
      <c r="GH312" s="67"/>
      <c r="GI312" s="67"/>
      <c r="GJ312" s="67"/>
      <c r="GK312" s="67"/>
    </row>
    <row r="313" spans="1:195" ht="13.5" customHeight="1" x14ac:dyDescent="0.2">
      <c r="A313" s="74">
        <v>941</v>
      </c>
      <c r="B313" s="75" t="s">
        <v>332</v>
      </c>
      <c r="C313" s="75" t="s">
        <v>333</v>
      </c>
      <c r="D313" s="84"/>
      <c r="E313" s="77" t="s">
        <v>325</v>
      </c>
      <c r="F313" s="78">
        <v>1</v>
      </c>
      <c r="G313" s="79">
        <v>441</v>
      </c>
      <c r="H313" s="80">
        <v>461</v>
      </c>
      <c r="I313" s="80">
        <v>182</v>
      </c>
      <c r="J313" s="80">
        <v>140</v>
      </c>
      <c r="K313" s="80">
        <v>0</v>
      </c>
      <c r="L313" s="80">
        <v>139</v>
      </c>
      <c r="M313" s="80">
        <v>0</v>
      </c>
      <c r="N313" s="80">
        <v>0</v>
      </c>
      <c r="O313" s="80">
        <v>3018</v>
      </c>
      <c r="P313" s="80">
        <v>1528</v>
      </c>
      <c r="Q313" s="80">
        <v>1239</v>
      </c>
      <c r="R313" s="80">
        <v>289</v>
      </c>
      <c r="S313" s="80">
        <v>249</v>
      </c>
      <c r="T313" s="80">
        <v>40</v>
      </c>
      <c r="U313" s="80">
        <v>1145</v>
      </c>
      <c r="V313" s="80">
        <v>265</v>
      </c>
      <c r="W313" s="80">
        <v>69</v>
      </c>
      <c r="X313" s="80">
        <v>11</v>
      </c>
      <c r="Y313" s="80">
        <v>-2557</v>
      </c>
      <c r="Z313" s="80">
        <v>1240</v>
      </c>
      <c r="AA313" s="80">
        <v>1149</v>
      </c>
      <c r="AB313" s="80">
        <v>12</v>
      </c>
      <c r="AC313" s="80">
        <v>79</v>
      </c>
      <c r="AD313" s="80">
        <v>1495</v>
      </c>
      <c r="AE313" s="80">
        <v>-1</v>
      </c>
      <c r="AF313" s="80">
        <v>0</v>
      </c>
      <c r="AG313" s="80">
        <v>10</v>
      </c>
      <c r="AH313" s="80">
        <v>0</v>
      </c>
      <c r="AI313" s="80">
        <v>11</v>
      </c>
      <c r="AJ313" s="80">
        <v>0</v>
      </c>
      <c r="AK313" s="80">
        <v>177</v>
      </c>
      <c r="AL313" s="80">
        <v>177</v>
      </c>
      <c r="AM313" s="80">
        <v>177</v>
      </c>
      <c r="AN313" s="80">
        <v>0</v>
      </c>
      <c r="AO313" s="80">
        <v>0</v>
      </c>
      <c r="AP313" s="80">
        <v>0</v>
      </c>
      <c r="AQ313" s="80">
        <v>0</v>
      </c>
      <c r="AR313" s="80">
        <v>0</v>
      </c>
      <c r="AS313" s="80">
        <v>0</v>
      </c>
      <c r="AT313" s="80">
        <v>0</v>
      </c>
      <c r="AU313" s="80">
        <v>0</v>
      </c>
      <c r="AV313" s="80">
        <v>0</v>
      </c>
      <c r="AW313" s="81"/>
      <c r="AX313" s="80">
        <v>177</v>
      </c>
      <c r="AY313" s="80">
        <v>177</v>
      </c>
      <c r="AZ313" s="80">
        <v>0</v>
      </c>
      <c r="BA313" s="80">
        <v>0</v>
      </c>
      <c r="BB313" s="80">
        <v>-36</v>
      </c>
      <c r="BC313" s="80">
        <v>36</v>
      </c>
      <c r="BD313" s="80">
        <v>0</v>
      </c>
      <c r="BE313" s="80">
        <v>0</v>
      </c>
      <c r="BF313" s="80">
        <v>141</v>
      </c>
      <c r="BG313" s="80">
        <v>-175</v>
      </c>
      <c r="BH313" s="80">
        <v>12</v>
      </c>
      <c r="BI313" s="80">
        <v>0</v>
      </c>
      <c r="BJ313" s="80">
        <v>12</v>
      </c>
      <c r="BK313" s="80">
        <v>-108</v>
      </c>
      <c r="BL313" s="80">
        <v>0</v>
      </c>
      <c r="BM313" s="80">
        <v>0</v>
      </c>
      <c r="BN313" s="80">
        <v>-108</v>
      </c>
      <c r="BO313" s="80">
        <v>8</v>
      </c>
      <c r="BP313" s="80">
        <v>-87</v>
      </c>
      <c r="BQ313" s="80">
        <v>0</v>
      </c>
      <c r="BR313" s="80">
        <v>0</v>
      </c>
      <c r="BS313" s="80">
        <v>19</v>
      </c>
      <c r="BT313" s="80">
        <v>-106</v>
      </c>
      <c r="BU313" s="80">
        <v>-33</v>
      </c>
      <c r="BV313" s="80">
        <v>415</v>
      </c>
      <c r="BW313" s="80">
        <v>448</v>
      </c>
      <c r="BX313" s="81"/>
      <c r="BY313" s="80">
        <v>3586</v>
      </c>
      <c r="BZ313" s="80">
        <v>0</v>
      </c>
      <c r="CA313" s="80">
        <v>0</v>
      </c>
      <c r="CB313" s="80">
        <v>0</v>
      </c>
      <c r="CC313" s="80">
        <v>0</v>
      </c>
      <c r="CD313" s="80">
        <v>3440</v>
      </c>
      <c r="CE313" s="80">
        <v>28</v>
      </c>
      <c r="CF313" s="80">
        <v>2177</v>
      </c>
      <c r="CG313" s="80">
        <v>1034</v>
      </c>
      <c r="CH313" s="80">
        <v>74</v>
      </c>
      <c r="CI313" s="80">
        <v>0</v>
      </c>
      <c r="CJ313" s="80">
        <v>0</v>
      </c>
      <c r="CK313" s="80">
        <v>127</v>
      </c>
      <c r="CL313" s="80">
        <v>146</v>
      </c>
      <c r="CM313" s="80">
        <v>136</v>
      </c>
      <c r="CN313" s="80">
        <v>24</v>
      </c>
      <c r="CO313" s="80">
        <v>112</v>
      </c>
      <c r="CP313" s="80">
        <v>0</v>
      </c>
      <c r="CQ313" s="80">
        <v>10</v>
      </c>
      <c r="CR313" s="80">
        <v>0</v>
      </c>
      <c r="CS313" s="80">
        <v>0</v>
      </c>
      <c r="CT313" s="80">
        <v>10</v>
      </c>
      <c r="CU313" s="80">
        <v>0</v>
      </c>
      <c r="CV313" s="80">
        <v>46</v>
      </c>
      <c r="CW313" s="80">
        <v>46</v>
      </c>
      <c r="CX313" s="80">
        <v>0</v>
      </c>
      <c r="CY313" s="80">
        <v>0</v>
      </c>
      <c r="CZ313" s="80">
        <v>507</v>
      </c>
      <c r="DA313" s="80">
        <v>0</v>
      </c>
      <c r="DB313" s="80">
        <v>0</v>
      </c>
      <c r="DC313" s="80">
        <v>0</v>
      </c>
      <c r="DD313" s="80">
        <v>0</v>
      </c>
      <c r="DE313" s="80">
        <v>0</v>
      </c>
      <c r="DF313" s="80">
        <v>0</v>
      </c>
      <c r="DG313" s="80">
        <v>92</v>
      </c>
      <c r="DH313" s="80">
        <v>0</v>
      </c>
      <c r="DI313" s="80">
        <v>0</v>
      </c>
      <c r="DJ313" s="80">
        <v>0</v>
      </c>
      <c r="DK313" s="80">
        <v>0</v>
      </c>
      <c r="DL313" s="80">
        <v>0</v>
      </c>
      <c r="DM313" s="80">
        <v>92</v>
      </c>
      <c r="DN313" s="80">
        <v>59</v>
      </c>
      <c r="DO313" s="80">
        <v>0</v>
      </c>
      <c r="DP313" s="80">
        <v>9</v>
      </c>
      <c r="DQ313" s="80">
        <v>24</v>
      </c>
      <c r="DR313" s="80">
        <v>0</v>
      </c>
      <c r="DS313" s="80">
        <v>0</v>
      </c>
      <c r="DT313" s="80">
        <v>0</v>
      </c>
      <c r="DU313" s="80">
        <v>0</v>
      </c>
      <c r="DV313" s="80">
        <v>0</v>
      </c>
      <c r="DW313" s="80">
        <v>415</v>
      </c>
      <c r="DX313" s="80">
        <v>4139</v>
      </c>
      <c r="DY313" s="80">
        <v>2098</v>
      </c>
      <c r="DZ313" s="80">
        <v>1280</v>
      </c>
      <c r="EA313" s="80">
        <v>0</v>
      </c>
      <c r="EB313" s="80">
        <v>20</v>
      </c>
      <c r="EC313" s="80">
        <v>798</v>
      </c>
      <c r="ED313" s="80">
        <v>0</v>
      </c>
      <c r="EE313" s="80">
        <v>0</v>
      </c>
      <c r="EF313" s="80">
        <v>0</v>
      </c>
      <c r="EG313" s="80">
        <v>0</v>
      </c>
      <c r="EH313" s="80">
        <v>0</v>
      </c>
      <c r="EI313" s="80">
        <v>0</v>
      </c>
      <c r="EJ313" s="80">
        <v>0</v>
      </c>
      <c r="EK313" s="80">
        <v>49</v>
      </c>
      <c r="EL313" s="80">
        <v>46</v>
      </c>
      <c r="EM313" s="80">
        <v>3</v>
      </c>
      <c r="EN313" s="80">
        <v>0</v>
      </c>
      <c r="EO313" s="80">
        <v>1991</v>
      </c>
      <c r="EP313" s="80">
        <v>1563</v>
      </c>
      <c r="EQ313" s="80">
        <v>0</v>
      </c>
      <c r="ER313" s="80">
        <v>0</v>
      </c>
      <c r="ES313" s="80">
        <v>0</v>
      </c>
      <c r="ET313" s="80">
        <v>0</v>
      </c>
      <c r="EU313" s="80">
        <v>0</v>
      </c>
      <c r="EV313" s="80">
        <v>0</v>
      </c>
      <c r="EW313" s="80">
        <v>907</v>
      </c>
      <c r="EX313" s="80">
        <v>0</v>
      </c>
      <c r="EY313" s="80">
        <v>0</v>
      </c>
      <c r="EZ313" s="80">
        <v>0</v>
      </c>
      <c r="FA313" s="80">
        <v>656</v>
      </c>
      <c r="FB313" s="80">
        <v>0</v>
      </c>
      <c r="FC313" s="80">
        <v>0</v>
      </c>
      <c r="FD313" s="80">
        <v>428</v>
      </c>
      <c r="FE313" s="80">
        <v>0</v>
      </c>
      <c r="FF313" s="80">
        <v>0</v>
      </c>
      <c r="FG313" s="80">
        <v>0</v>
      </c>
      <c r="FH313" s="80">
        <v>0</v>
      </c>
      <c r="FI313" s="80">
        <v>0</v>
      </c>
      <c r="FJ313" s="80">
        <v>0</v>
      </c>
      <c r="FK313" s="80">
        <v>75</v>
      </c>
      <c r="FL313" s="80">
        <v>0</v>
      </c>
      <c r="FM313" s="80">
        <v>0</v>
      </c>
      <c r="FN313" s="80">
        <v>138</v>
      </c>
      <c r="FO313" s="80">
        <v>46</v>
      </c>
      <c r="FP313" s="80">
        <v>169</v>
      </c>
      <c r="FQ313" s="80">
        <v>4138</v>
      </c>
      <c r="FR313" s="80">
        <v>0</v>
      </c>
      <c r="FS313" s="80">
        <v>0</v>
      </c>
      <c r="FT313" s="67"/>
      <c r="FU313" s="67"/>
      <c r="FV313" s="67"/>
      <c r="FW313" s="67"/>
      <c r="FX313" s="67"/>
      <c r="FY313" s="67"/>
      <c r="FZ313" s="67"/>
      <c r="GA313" s="67"/>
      <c r="GB313" s="67"/>
      <c r="GC313" s="67"/>
      <c r="GD313" s="67"/>
      <c r="GE313" s="67"/>
      <c r="GF313" s="67"/>
      <c r="GG313" s="67"/>
      <c r="GH313" s="67"/>
      <c r="GI313" s="67"/>
      <c r="GJ313" s="67"/>
      <c r="GK313" s="67"/>
    </row>
    <row r="314" spans="1:195" ht="13.5" customHeight="1" x14ac:dyDescent="0.2">
      <c r="A314" s="74">
        <v>35</v>
      </c>
      <c r="B314" s="75" t="s">
        <v>334</v>
      </c>
      <c r="C314" s="75" t="s">
        <v>335</v>
      </c>
      <c r="D314" s="84"/>
      <c r="E314" s="77" t="s">
        <v>325</v>
      </c>
      <c r="F314" s="78">
        <v>1</v>
      </c>
      <c r="G314" s="79">
        <v>470</v>
      </c>
      <c r="H314" s="80">
        <v>412</v>
      </c>
      <c r="I314" s="80">
        <v>142</v>
      </c>
      <c r="J314" s="80">
        <v>55</v>
      </c>
      <c r="K314" s="80">
        <v>65</v>
      </c>
      <c r="L314" s="80">
        <v>150</v>
      </c>
      <c r="M314" s="80">
        <v>0</v>
      </c>
      <c r="N314" s="80">
        <v>0</v>
      </c>
      <c r="O314" s="80">
        <v>2726</v>
      </c>
      <c r="P314" s="80">
        <v>1599</v>
      </c>
      <c r="Q314" s="80">
        <v>1293</v>
      </c>
      <c r="R314" s="80">
        <v>306</v>
      </c>
      <c r="S314" s="80">
        <v>261</v>
      </c>
      <c r="T314" s="80">
        <v>45</v>
      </c>
      <c r="U314" s="80">
        <v>834</v>
      </c>
      <c r="V314" s="80">
        <v>200</v>
      </c>
      <c r="W314" s="80">
        <v>83</v>
      </c>
      <c r="X314" s="80">
        <v>10</v>
      </c>
      <c r="Y314" s="80">
        <v>-2314</v>
      </c>
      <c r="Z314" s="80">
        <v>1415</v>
      </c>
      <c r="AA314" s="80">
        <v>1281</v>
      </c>
      <c r="AB314" s="80">
        <v>88</v>
      </c>
      <c r="AC314" s="80">
        <v>46</v>
      </c>
      <c r="AD314" s="80">
        <v>1213</v>
      </c>
      <c r="AE314" s="80">
        <v>-8</v>
      </c>
      <c r="AF314" s="80">
        <v>4</v>
      </c>
      <c r="AG314" s="80">
        <v>7</v>
      </c>
      <c r="AH314" s="80">
        <v>0</v>
      </c>
      <c r="AI314" s="80">
        <v>19</v>
      </c>
      <c r="AJ314" s="80">
        <v>0</v>
      </c>
      <c r="AK314" s="80">
        <v>306</v>
      </c>
      <c r="AL314" s="80">
        <v>363</v>
      </c>
      <c r="AM314" s="80">
        <v>363</v>
      </c>
      <c r="AN314" s="80">
        <v>0</v>
      </c>
      <c r="AO314" s="80">
        <v>0</v>
      </c>
      <c r="AP314" s="80">
        <v>0</v>
      </c>
      <c r="AQ314" s="80">
        <v>0</v>
      </c>
      <c r="AR314" s="80">
        <v>-57</v>
      </c>
      <c r="AS314" s="80">
        <v>26</v>
      </c>
      <c r="AT314" s="80">
        <v>0</v>
      </c>
      <c r="AU314" s="80">
        <v>0</v>
      </c>
      <c r="AV314" s="80">
        <v>-31</v>
      </c>
      <c r="AW314" s="81"/>
      <c r="AX314" s="80">
        <v>306</v>
      </c>
      <c r="AY314" s="80">
        <v>306</v>
      </c>
      <c r="AZ314" s="80">
        <v>0</v>
      </c>
      <c r="BA314" s="80">
        <v>0</v>
      </c>
      <c r="BB314" s="80">
        <v>-172</v>
      </c>
      <c r="BC314" s="80">
        <v>172</v>
      </c>
      <c r="BD314" s="80">
        <v>0</v>
      </c>
      <c r="BE314" s="80">
        <v>0</v>
      </c>
      <c r="BF314" s="80">
        <v>134</v>
      </c>
      <c r="BG314" s="80">
        <v>181</v>
      </c>
      <c r="BH314" s="80">
        <v>0</v>
      </c>
      <c r="BI314" s="80">
        <v>0</v>
      </c>
      <c r="BJ314" s="80">
        <v>0</v>
      </c>
      <c r="BK314" s="80">
        <v>-30</v>
      </c>
      <c r="BL314" s="80">
        <v>0</v>
      </c>
      <c r="BM314" s="80">
        <v>30</v>
      </c>
      <c r="BN314" s="80">
        <v>0</v>
      </c>
      <c r="BO314" s="80">
        <v>0</v>
      </c>
      <c r="BP314" s="80">
        <v>211</v>
      </c>
      <c r="BQ314" s="80">
        <v>5</v>
      </c>
      <c r="BR314" s="80">
        <v>0</v>
      </c>
      <c r="BS314" s="80">
        <v>114</v>
      </c>
      <c r="BT314" s="80">
        <v>92</v>
      </c>
      <c r="BU314" s="80">
        <v>313</v>
      </c>
      <c r="BV314" s="80">
        <v>893</v>
      </c>
      <c r="BW314" s="80">
        <v>580</v>
      </c>
      <c r="BX314" s="81"/>
      <c r="BY314" s="80">
        <v>4681</v>
      </c>
      <c r="BZ314" s="80">
        <v>3</v>
      </c>
      <c r="CA314" s="80">
        <v>3</v>
      </c>
      <c r="CB314" s="80">
        <v>0</v>
      </c>
      <c r="CC314" s="80">
        <v>0</v>
      </c>
      <c r="CD314" s="80">
        <v>4535</v>
      </c>
      <c r="CE314" s="80">
        <v>266</v>
      </c>
      <c r="CF314" s="80">
        <v>2616</v>
      </c>
      <c r="CG314" s="80">
        <v>1588</v>
      </c>
      <c r="CH314" s="80">
        <v>65</v>
      </c>
      <c r="CI314" s="80">
        <v>0</v>
      </c>
      <c r="CJ314" s="80">
        <v>0</v>
      </c>
      <c r="CK314" s="80">
        <v>0</v>
      </c>
      <c r="CL314" s="80">
        <v>143</v>
      </c>
      <c r="CM314" s="80">
        <v>103</v>
      </c>
      <c r="CN314" s="80">
        <v>24</v>
      </c>
      <c r="CO314" s="80">
        <v>79</v>
      </c>
      <c r="CP314" s="80">
        <v>0</v>
      </c>
      <c r="CQ314" s="80">
        <v>0</v>
      </c>
      <c r="CR314" s="80">
        <v>0</v>
      </c>
      <c r="CS314" s="80">
        <v>0</v>
      </c>
      <c r="CT314" s="80">
        <v>0</v>
      </c>
      <c r="CU314" s="80">
        <v>40</v>
      </c>
      <c r="CV314" s="80">
        <v>0</v>
      </c>
      <c r="CW314" s="80">
        <v>0</v>
      </c>
      <c r="CX314" s="80">
        <v>0</v>
      </c>
      <c r="CY314" s="80">
        <v>0</v>
      </c>
      <c r="CZ314" s="80">
        <v>1233</v>
      </c>
      <c r="DA314" s="80">
        <v>0</v>
      </c>
      <c r="DB314" s="80">
        <v>0</v>
      </c>
      <c r="DC314" s="80">
        <v>0</v>
      </c>
      <c r="DD314" s="80">
        <v>0</v>
      </c>
      <c r="DE314" s="80">
        <v>0</v>
      </c>
      <c r="DF314" s="80">
        <v>0</v>
      </c>
      <c r="DG314" s="80">
        <v>340</v>
      </c>
      <c r="DH314" s="80">
        <v>200</v>
      </c>
      <c r="DI314" s="80">
        <v>0</v>
      </c>
      <c r="DJ314" s="80">
        <v>200</v>
      </c>
      <c r="DK314" s="80">
        <v>0</v>
      </c>
      <c r="DL314" s="80">
        <v>0</v>
      </c>
      <c r="DM314" s="80">
        <v>140</v>
      </c>
      <c r="DN314" s="80">
        <v>58</v>
      </c>
      <c r="DO314" s="80">
        <v>0</v>
      </c>
      <c r="DP314" s="80">
        <v>81</v>
      </c>
      <c r="DQ314" s="80">
        <v>1</v>
      </c>
      <c r="DR314" s="80">
        <v>384</v>
      </c>
      <c r="DS314" s="80">
        <v>84</v>
      </c>
      <c r="DT314" s="80">
        <v>300</v>
      </c>
      <c r="DU314" s="80">
        <v>0</v>
      </c>
      <c r="DV314" s="80">
        <v>0</v>
      </c>
      <c r="DW314" s="80">
        <v>509</v>
      </c>
      <c r="DX314" s="80">
        <v>5914</v>
      </c>
      <c r="DY314" s="80">
        <v>4649</v>
      </c>
      <c r="DZ314" s="80">
        <v>1373</v>
      </c>
      <c r="EA314" s="80">
        <v>0</v>
      </c>
      <c r="EB314" s="80">
        <v>28</v>
      </c>
      <c r="EC314" s="80">
        <v>3281</v>
      </c>
      <c r="ED314" s="80">
        <v>-33</v>
      </c>
      <c r="EE314" s="80">
        <v>280</v>
      </c>
      <c r="EF314" s="80">
        <v>280</v>
      </c>
      <c r="EG314" s="80">
        <v>0</v>
      </c>
      <c r="EH314" s="80">
        <v>0</v>
      </c>
      <c r="EI314" s="80">
        <v>0</v>
      </c>
      <c r="EJ314" s="80">
        <v>0</v>
      </c>
      <c r="EK314" s="80">
        <v>175</v>
      </c>
      <c r="EL314" s="80">
        <v>0</v>
      </c>
      <c r="EM314" s="80">
        <v>175</v>
      </c>
      <c r="EN314" s="80">
        <v>0</v>
      </c>
      <c r="EO314" s="80">
        <v>807</v>
      </c>
      <c r="EP314" s="80">
        <v>317</v>
      </c>
      <c r="EQ314" s="80">
        <v>0</v>
      </c>
      <c r="ER314" s="80">
        <v>0</v>
      </c>
      <c r="ES314" s="80">
        <v>0</v>
      </c>
      <c r="ET314" s="80">
        <v>0</v>
      </c>
      <c r="EU314" s="80">
        <v>0</v>
      </c>
      <c r="EV314" s="80">
        <v>0</v>
      </c>
      <c r="EW314" s="80">
        <v>267</v>
      </c>
      <c r="EX314" s="80">
        <v>0</v>
      </c>
      <c r="EY314" s="80">
        <v>0</v>
      </c>
      <c r="EZ314" s="80">
        <v>1</v>
      </c>
      <c r="FA314" s="80">
        <v>49</v>
      </c>
      <c r="FB314" s="80">
        <v>0</v>
      </c>
      <c r="FC314" s="80">
        <v>0</v>
      </c>
      <c r="FD314" s="80">
        <v>490</v>
      </c>
      <c r="FE314" s="80">
        <v>0</v>
      </c>
      <c r="FF314" s="80">
        <v>0</v>
      </c>
      <c r="FG314" s="80">
        <v>0</v>
      </c>
      <c r="FH314" s="80">
        <v>0</v>
      </c>
      <c r="FI314" s="80">
        <v>0</v>
      </c>
      <c r="FJ314" s="80">
        <v>0</v>
      </c>
      <c r="FK314" s="80">
        <v>29</v>
      </c>
      <c r="FL314" s="80">
        <v>0</v>
      </c>
      <c r="FM314" s="80">
        <v>6</v>
      </c>
      <c r="FN314" s="80">
        <v>176</v>
      </c>
      <c r="FO314" s="80">
        <v>84</v>
      </c>
      <c r="FP314" s="80">
        <v>195</v>
      </c>
      <c r="FQ314" s="80">
        <v>5911</v>
      </c>
      <c r="FR314" s="80">
        <v>0</v>
      </c>
      <c r="FS314" s="80">
        <v>101</v>
      </c>
      <c r="FT314" s="67"/>
      <c r="FU314" s="67"/>
      <c r="FV314" s="67"/>
      <c r="FW314" s="67"/>
      <c r="FX314" s="67"/>
      <c r="FY314" s="67"/>
      <c r="FZ314" s="67"/>
      <c r="GA314" s="67"/>
      <c r="GB314" s="67"/>
      <c r="GC314" s="67"/>
      <c r="GD314" s="67"/>
      <c r="GE314" s="67"/>
      <c r="GF314" s="67"/>
      <c r="GG314" s="67"/>
      <c r="GH314" s="67"/>
      <c r="GI314" s="67"/>
      <c r="GJ314" s="67"/>
      <c r="GK314" s="67"/>
    </row>
    <row r="315" spans="1:195" ht="13.5" customHeight="1" x14ac:dyDescent="0.2">
      <c r="A315" s="74">
        <v>65</v>
      </c>
      <c r="B315" s="75" t="s">
        <v>336</v>
      </c>
      <c r="C315" s="75" t="s">
        <v>337</v>
      </c>
      <c r="D315" s="84"/>
      <c r="E315" s="77" t="s">
        <v>325</v>
      </c>
      <c r="F315" s="78">
        <v>1</v>
      </c>
      <c r="G315" s="79">
        <v>500</v>
      </c>
      <c r="H315" s="80">
        <v>373</v>
      </c>
      <c r="I315" s="80">
        <v>95</v>
      </c>
      <c r="J315" s="80">
        <v>143</v>
      </c>
      <c r="K315" s="80">
        <v>2</v>
      </c>
      <c r="L315" s="80">
        <v>133</v>
      </c>
      <c r="M315" s="80">
        <v>0</v>
      </c>
      <c r="N315" s="80">
        <v>0</v>
      </c>
      <c r="O315" s="80">
        <v>3278</v>
      </c>
      <c r="P315" s="80">
        <v>1476</v>
      </c>
      <c r="Q315" s="80">
        <v>1183</v>
      </c>
      <c r="R315" s="80">
        <v>293</v>
      </c>
      <c r="S315" s="80">
        <v>235</v>
      </c>
      <c r="T315" s="80">
        <v>58</v>
      </c>
      <c r="U315" s="80">
        <v>1373</v>
      </c>
      <c r="V315" s="80">
        <v>234</v>
      </c>
      <c r="W315" s="80">
        <v>180</v>
      </c>
      <c r="X315" s="80">
        <v>15</v>
      </c>
      <c r="Y315" s="80">
        <v>-2905</v>
      </c>
      <c r="Z315" s="80">
        <v>1165</v>
      </c>
      <c r="AA315" s="80">
        <v>1046</v>
      </c>
      <c r="AB315" s="80">
        <v>10</v>
      </c>
      <c r="AC315" s="80">
        <v>109</v>
      </c>
      <c r="AD315" s="80">
        <v>1816</v>
      </c>
      <c r="AE315" s="80">
        <v>-6</v>
      </c>
      <c r="AF315" s="80">
        <v>0</v>
      </c>
      <c r="AG315" s="80">
        <v>1</v>
      </c>
      <c r="AH315" s="80">
        <v>0</v>
      </c>
      <c r="AI315" s="80">
        <v>7</v>
      </c>
      <c r="AJ315" s="80">
        <v>0</v>
      </c>
      <c r="AK315" s="80">
        <v>70</v>
      </c>
      <c r="AL315" s="80">
        <v>176</v>
      </c>
      <c r="AM315" s="80">
        <v>146</v>
      </c>
      <c r="AN315" s="80">
        <v>30</v>
      </c>
      <c r="AO315" s="80">
        <v>0</v>
      </c>
      <c r="AP315" s="80">
        <v>0</v>
      </c>
      <c r="AQ315" s="80">
        <v>0</v>
      </c>
      <c r="AR315" s="80">
        <v>-106</v>
      </c>
      <c r="AS315" s="80">
        <v>0</v>
      </c>
      <c r="AT315" s="80">
        <v>0</v>
      </c>
      <c r="AU315" s="80">
        <v>0</v>
      </c>
      <c r="AV315" s="80">
        <v>-106</v>
      </c>
      <c r="AW315" s="81"/>
      <c r="AX315" s="80">
        <v>98</v>
      </c>
      <c r="AY315" s="80">
        <v>70</v>
      </c>
      <c r="AZ315" s="80">
        <v>0</v>
      </c>
      <c r="BA315" s="80">
        <v>28</v>
      </c>
      <c r="BB315" s="80">
        <v>-80</v>
      </c>
      <c r="BC315" s="80">
        <v>150</v>
      </c>
      <c r="BD315" s="80">
        <v>0</v>
      </c>
      <c r="BE315" s="80">
        <v>70</v>
      </c>
      <c r="BF315" s="80">
        <v>18</v>
      </c>
      <c r="BG315" s="80">
        <v>-100</v>
      </c>
      <c r="BH315" s="80">
        <v>0</v>
      </c>
      <c r="BI315" s="80">
        <v>0</v>
      </c>
      <c r="BJ315" s="80">
        <v>0</v>
      </c>
      <c r="BK315" s="80">
        <v>-13</v>
      </c>
      <c r="BL315" s="80">
        <v>0</v>
      </c>
      <c r="BM315" s="80">
        <v>14</v>
      </c>
      <c r="BN315" s="80">
        <v>1</v>
      </c>
      <c r="BO315" s="80">
        <v>2</v>
      </c>
      <c r="BP315" s="80">
        <v>-89</v>
      </c>
      <c r="BQ315" s="80">
        <v>-1</v>
      </c>
      <c r="BR315" s="80">
        <v>0</v>
      </c>
      <c r="BS315" s="80">
        <v>-55</v>
      </c>
      <c r="BT315" s="80">
        <v>-33</v>
      </c>
      <c r="BU315" s="80">
        <v>-83</v>
      </c>
      <c r="BV315" s="80">
        <v>609</v>
      </c>
      <c r="BW315" s="80">
        <v>692</v>
      </c>
      <c r="BX315" s="81"/>
      <c r="BY315" s="80">
        <v>2796</v>
      </c>
      <c r="BZ315" s="80">
        <v>0</v>
      </c>
      <c r="CA315" s="80">
        <v>0</v>
      </c>
      <c r="CB315" s="80">
        <v>0</v>
      </c>
      <c r="CC315" s="80">
        <v>0</v>
      </c>
      <c r="CD315" s="80">
        <v>2611</v>
      </c>
      <c r="CE315" s="80">
        <v>119</v>
      </c>
      <c r="CF315" s="80">
        <v>2037</v>
      </c>
      <c r="CG315" s="80">
        <v>373</v>
      </c>
      <c r="CH315" s="80">
        <v>74</v>
      </c>
      <c r="CI315" s="80">
        <v>0</v>
      </c>
      <c r="CJ315" s="80">
        <v>0</v>
      </c>
      <c r="CK315" s="80">
        <v>8</v>
      </c>
      <c r="CL315" s="80">
        <v>185</v>
      </c>
      <c r="CM315" s="80">
        <v>185</v>
      </c>
      <c r="CN315" s="80">
        <v>133</v>
      </c>
      <c r="CO315" s="80">
        <v>52</v>
      </c>
      <c r="CP315" s="80">
        <v>0</v>
      </c>
      <c r="CQ315" s="80">
        <v>0</v>
      </c>
      <c r="CR315" s="80">
        <v>0</v>
      </c>
      <c r="CS315" s="80">
        <v>0</v>
      </c>
      <c r="CT315" s="80">
        <v>0</v>
      </c>
      <c r="CU315" s="80">
        <v>0</v>
      </c>
      <c r="CV315" s="80">
        <v>14</v>
      </c>
      <c r="CW315" s="80">
        <v>1</v>
      </c>
      <c r="CX315" s="80">
        <v>12</v>
      </c>
      <c r="CY315" s="80">
        <v>1</v>
      </c>
      <c r="CZ315" s="80">
        <v>766</v>
      </c>
      <c r="DA315" s="80">
        <v>0</v>
      </c>
      <c r="DB315" s="80">
        <v>0</v>
      </c>
      <c r="DC315" s="80">
        <v>0</v>
      </c>
      <c r="DD315" s="80">
        <v>0</v>
      </c>
      <c r="DE315" s="80">
        <v>0</v>
      </c>
      <c r="DF315" s="80">
        <v>0</v>
      </c>
      <c r="DG315" s="80">
        <v>157</v>
      </c>
      <c r="DH315" s="80">
        <v>0</v>
      </c>
      <c r="DI315" s="80">
        <v>0</v>
      </c>
      <c r="DJ315" s="80">
        <v>0</v>
      </c>
      <c r="DK315" s="80">
        <v>0</v>
      </c>
      <c r="DL315" s="80">
        <v>0</v>
      </c>
      <c r="DM315" s="80">
        <v>157</v>
      </c>
      <c r="DN315" s="80">
        <v>65</v>
      </c>
      <c r="DO315" s="80">
        <v>0</v>
      </c>
      <c r="DP315" s="80">
        <v>30</v>
      </c>
      <c r="DQ315" s="80">
        <v>62</v>
      </c>
      <c r="DR315" s="80">
        <v>0</v>
      </c>
      <c r="DS315" s="80">
        <v>0</v>
      </c>
      <c r="DT315" s="80">
        <v>0</v>
      </c>
      <c r="DU315" s="80">
        <v>0</v>
      </c>
      <c r="DV315" s="80">
        <v>0</v>
      </c>
      <c r="DW315" s="80">
        <v>609</v>
      </c>
      <c r="DX315" s="80">
        <v>3576</v>
      </c>
      <c r="DY315" s="80">
        <v>2563</v>
      </c>
      <c r="DZ315" s="80">
        <v>1500</v>
      </c>
      <c r="EA315" s="80">
        <v>0</v>
      </c>
      <c r="EB315" s="80">
        <v>0</v>
      </c>
      <c r="EC315" s="80">
        <v>1169</v>
      </c>
      <c r="ED315" s="80">
        <v>-106</v>
      </c>
      <c r="EE315" s="80">
        <v>0</v>
      </c>
      <c r="EF315" s="80">
        <v>0</v>
      </c>
      <c r="EG315" s="80">
        <v>0</v>
      </c>
      <c r="EH315" s="80">
        <v>0</v>
      </c>
      <c r="EI315" s="80">
        <v>0</v>
      </c>
      <c r="EJ315" s="80">
        <v>0</v>
      </c>
      <c r="EK315" s="80">
        <v>13</v>
      </c>
      <c r="EL315" s="80">
        <v>1</v>
      </c>
      <c r="EM315" s="80">
        <v>12</v>
      </c>
      <c r="EN315" s="80">
        <v>0</v>
      </c>
      <c r="EO315" s="80">
        <v>1000</v>
      </c>
      <c r="EP315" s="80">
        <v>582</v>
      </c>
      <c r="EQ315" s="80">
        <v>0</v>
      </c>
      <c r="ER315" s="80">
        <v>0</v>
      </c>
      <c r="ES315" s="80">
        <v>0</v>
      </c>
      <c r="ET315" s="80">
        <v>0</v>
      </c>
      <c r="EU315" s="80">
        <v>0</v>
      </c>
      <c r="EV315" s="80">
        <v>0</v>
      </c>
      <c r="EW315" s="80">
        <v>442</v>
      </c>
      <c r="EX315" s="80">
        <v>0</v>
      </c>
      <c r="EY315" s="80">
        <v>5</v>
      </c>
      <c r="EZ315" s="80">
        <v>0</v>
      </c>
      <c r="FA315" s="80">
        <v>135</v>
      </c>
      <c r="FB315" s="80">
        <v>0</v>
      </c>
      <c r="FC315" s="80">
        <v>0</v>
      </c>
      <c r="FD315" s="80">
        <v>418</v>
      </c>
      <c r="FE315" s="80">
        <v>0</v>
      </c>
      <c r="FF315" s="80">
        <v>0</v>
      </c>
      <c r="FG315" s="80">
        <v>0</v>
      </c>
      <c r="FH315" s="80">
        <v>0</v>
      </c>
      <c r="FI315" s="80">
        <v>0</v>
      </c>
      <c r="FJ315" s="80">
        <v>0</v>
      </c>
      <c r="FK315" s="80">
        <v>24</v>
      </c>
      <c r="FL315" s="80">
        <v>0</v>
      </c>
      <c r="FM315" s="80">
        <v>0</v>
      </c>
      <c r="FN315" s="80">
        <v>196</v>
      </c>
      <c r="FO315" s="80">
        <v>37</v>
      </c>
      <c r="FP315" s="80">
        <v>161</v>
      </c>
      <c r="FQ315" s="80">
        <v>3576</v>
      </c>
      <c r="FR315" s="80">
        <v>0</v>
      </c>
      <c r="FS315" s="80">
        <v>0</v>
      </c>
      <c r="FT315" s="67"/>
      <c r="FU315" s="67"/>
      <c r="FV315" s="67"/>
      <c r="FW315" s="67"/>
      <c r="FX315" s="67"/>
      <c r="FY315" s="67"/>
      <c r="FZ315" s="67"/>
      <c r="GA315" s="67"/>
      <c r="GB315" s="67"/>
      <c r="GC315" s="67"/>
      <c r="GD315" s="67"/>
      <c r="GE315" s="67"/>
      <c r="GF315" s="67"/>
      <c r="GG315" s="67"/>
      <c r="GH315" s="67"/>
      <c r="GI315" s="67"/>
      <c r="GJ315" s="67"/>
      <c r="GK315" s="67"/>
    </row>
    <row r="316" spans="1:195" s="83" customFormat="1" ht="13.5" customHeight="1" x14ac:dyDescent="0.2">
      <c r="A316" s="74">
        <v>62</v>
      </c>
      <c r="B316" s="75" t="s">
        <v>338</v>
      </c>
      <c r="C316" s="75" t="s">
        <v>339</v>
      </c>
      <c r="D316" s="84"/>
      <c r="E316" s="77" t="s">
        <v>325</v>
      </c>
      <c r="F316" s="78">
        <v>1</v>
      </c>
      <c r="G316" s="79">
        <v>554</v>
      </c>
      <c r="H316" s="80">
        <v>1279</v>
      </c>
      <c r="I316" s="80">
        <v>550</v>
      </c>
      <c r="J316" s="80">
        <v>234</v>
      </c>
      <c r="K316" s="80">
        <v>9</v>
      </c>
      <c r="L316" s="80">
        <v>486</v>
      </c>
      <c r="M316" s="80">
        <v>0</v>
      </c>
      <c r="N316" s="80">
        <v>0</v>
      </c>
      <c r="O316" s="80">
        <v>4286</v>
      </c>
      <c r="P316" s="80">
        <v>2532</v>
      </c>
      <c r="Q316" s="80">
        <v>2127</v>
      </c>
      <c r="R316" s="80">
        <v>405</v>
      </c>
      <c r="S316" s="80">
        <v>411</v>
      </c>
      <c r="T316" s="80">
        <v>-6</v>
      </c>
      <c r="U316" s="80">
        <v>912</v>
      </c>
      <c r="V316" s="80">
        <v>421</v>
      </c>
      <c r="W316" s="80">
        <v>117</v>
      </c>
      <c r="X316" s="80">
        <v>304</v>
      </c>
      <c r="Y316" s="80">
        <v>-3007</v>
      </c>
      <c r="Z316" s="80">
        <v>1928</v>
      </c>
      <c r="AA316" s="80">
        <v>1456</v>
      </c>
      <c r="AB316" s="80">
        <v>243</v>
      </c>
      <c r="AC316" s="80">
        <v>229</v>
      </c>
      <c r="AD316" s="80">
        <v>1569</v>
      </c>
      <c r="AE316" s="80">
        <v>36</v>
      </c>
      <c r="AF316" s="80">
        <v>42</v>
      </c>
      <c r="AG316" s="80">
        <v>1</v>
      </c>
      <c r="AH316" s="80">
        <v>0</v>
      </c>
      <c r="AI316" s="80">
        <v>7</v>
      </c>
      <c r="AJ316" s="80">
        <v>0</v>
      </c>
      <c r="AK316" s="80">
        <v>526</v>
      </c>
      <c r="AL316" s="80">
        <v>274</v>
      </c>
      <c r="AM316" s="80">
        <v>274</v>
      </c>
      <c r="AN316" s="80">
        <v>0</v>
      </c>
      <c r="AO316" s="80">
        <v>0</v>
      </c>
      <c r="AP316" s="80">
        <v>0</v>
      </c>
      <c r="AQ316" s="80">
        <v>0</v>
      </c>
      <c r="AR316" s="80">
        <v>252</v>
      </c>
      <c r="AS316" s="80">
        <v>26</v>
      </c>
      <c r="AT316" s="80">
        <v>0</v>
      </c>
      <c r="AU316" s="80">
        <v>3</v>
      </c>
      <c r="AV316" s="80">
        <v>281</v>
      </c>
      <c r="AW316" s="81"/>
      <c r="AX316" s="80">
        <v>526</v>
      </c>
      <c r="AY316" s="80">
        <v>526</v>
      </c>
      <c r="AZ316" s="80">
        <v>0</v>
      </c>
      <c r="BA316" s="80">
        <v>0</v>
      </c>
      <c r="BB316" s="80">
        <v>-523</v>
      </c>
      <c r="BC316" s="80">
        <v>557</v>
      </c>
      <c r="BD316" s="80">
        <v>5</v>
      </c>
      <c r="BE316" s="80">
        <v>29</v>
      </c>
      <c r="BF316" s="80">
        <v>3</v>
      </c>
      <c r="BG316" s="80">
        <v>-45</v>
      </c>
      <c r="BH316" s="80">
        <v>0</v>
      </c>
      <c r="BI316" s="80">
        <v>0</v>
      </c>
      <c r="BJ316" s="80">
        <v>0</v>
      </c>
      <c r="BK316" s="80">
        <v>-59</v>
      </c>
      <c r="BL316" s="80">
        <v>10</v>
      </c>
      <c r="BM316" s="80">
        <v>69</v>
      </c>
      <c r="BN316" s="80">
        <v>0</v>
      </c>
      <c r="BO316" s="80">
        <v>0</v>
      </c>
      <c r="BP316" s="80">
        <v>14</v>
      </c>
      <c r="BQ316" s="80">
        <v>-1</v>
      </c>
      <c r="BR316" s="80">
        <v>0</v>
      </c>
      <c r="BS316" s="80">
        <v>-27</v>
      </c>
      <c r="BT316" s="80">
        <v>42</v>
      </c>
      <c r="BU316" s="80">
        <v>-43</v>
      </c>
      <c r="BV316" s="80">
        <v>5277</v>
      </c>
      <c r="BW316" s="80">
        <v>5320</v>
      </c>
      <c r="BX316" s="81"/>
      <c r="BY316" s="80">
        <v>4099</v>
      </c>
      <c r="BZ316" s="80">
        <v>0</v>
      </c>
      <c r="CA316" s="80">
        <v>0</v>
      </c>
      <c r="CB316" s="80">
        <v>0</v>
      </c>
      <c r="CC316" s="80">
        <v>0</v>
      </c>
      <c r="CD316" s="80">
        <v>4023</v>
      </c>
      <c r="CE316" s="80">
        <v>388</v>
      </c>
      <c r="CF316" s="80">
        <v>2236</v>
      </c>
      <c r="CG316" s="80">
        <v>1308</v>
      </c>
      <c r="CH316" s="80">
        <v>82</v>
      </c>
      <c r="CI316" s="80">
        <v>9</v>
      </c>
      <c r="CJ316" s="80">
        <v>9</v>
      </c>
      <c r="CK316" s="80">
        <v>0</v>
      </c>
      <c r="CL316" s="80">
        <v>76</v>
      </c>
      <c r="CM316" s="80">
        <v>76</v>
      </c>
      <c r="CN316" s="80">
        <v>0</v>
      </c>
      <c r="CO316" s="80">
        <v>76</v>
      </c>
      <c r="CP316" s="80">
        <v>0</v>
      </c>
      <c r="CQ316" s="80">
        <v>0</v>
      </c>
      <c r="CR316" s="80">
        <v>0</v>
      </c>
      <c r="CS316" s="80">
        <v>0</v>
      </c>
      <c r="CT316" s="80">
        <v>0</v>
      </c>
      <c r="CU316" s="80">
        <v>0</v>
      </c>
      <c r="CV316" s="80">
        <v>134</v>
      </c>
      <c r="CW316" s="80">
        <v>15</v>
      </c>
      <c r="CX316" s="80">
        <v>119</v>
      </c>
      <c r="CY316" s="80">
        <v>0</v>
      </c>
      <c r="CZ316" s="80">
        <v>5502</v>
      </c>
      <c r="DA316" s="80">
        <v>0</v>
      </c>
      <c r="DB316" s="80">
        <v>0</v>
      </c>
      <c r="DC316" s="80">
        <v>0</v>
      </c>
      <c r="DD316" s="80">
        <v>0</v>
      </c>
      <c r="DE316" s="80">
        <v>0</v>
      </c>
      <c r="DF316" s="80">
        <v>0</v>
      </c>
      <c r="DG316" s="80">
        <v>225</v>
      </c>
      <c r="DH316" s="80">
        <v>0</v>
      </c>
      <c r="DI316" s="80">
        <v>0</v>
      </c>
      <c r="DJ316" s="80">
        <v>0</v>
      </c>
      <c r="DK316" s="80">
        <v>0</v>
      </c>
      <c r="DL316" s="80">
        <v>0</v>
      </c>
      <c r="DM316" s="80">
        <v>225</v>
      </c>
      <c r="DN316" s="80">
        <v>153</v>
      </c>
      <c r="DO316" s="80">
        <v>0</v>
      </c>
      <c r="DP316" s="80">
        <v>70</v>
      </c>
      <c r="DQ316" s="80">
        <v>2</v>
      </c>
      <c r="DR316" s="80">
        <v>2121</v>
      </c>
      <c r="DS316" s="80">
        <v>13</v>
      </c>
      <c r="DT316" s="80">
        <v>2108</v>
      </c>
      <c r="DU316" s="80">
        <v>0</v>
      </c>
      <c r="DV316" s="80">
        <v>0</v>
      </c>
      <c r="DW316" s="80">
        <v>3156</v>
      </c>
      <c r="DX316" s="80">
        <v>9735</v>
      </c>
      <c r="DY316" s="80">
        <v>7851</v>
      </c>
      <c r="DZ316" s="80">
        <v>1784</v>
      </c>
      <c r="EA316" s="80">
        <v>0</v>
      </c>
      <c r="EB316" s="80">
        <v>304</v>
      </c>
      <c r="EC316" s="80">
        <v>5482</v>
      </c>
      <c r="ED316" s="80">
        <v>281</v>
      </c>
      <c r="EE316" s="80">
        <v>210</v>
      </c>
      <c r="EF316" s="80">
        <v>210</v>
      </c>
      <c r="EG316" s="80">
        <v>0</v>
      </c>
      <c r="EH316" s="80">
        <v>0</v>
      </c>
      <c r="EI316" s="80">
        <v>0</v>
      </c>
      <c r="EJ316" s="80">
        <v>0</v>
      </c>
      <c r="EK316" s="80">
        <v>133</v>
      </c>
      <c r="EL316" s="80">
        <v>15</v>
      </c>
      <c r="EM316" s="80">
        <v>118</v>
      </c>
      <c r="EN316" s="80">
        <v>0</v>
      </c>
      <c r="EO316" s="80">
        <v>1543</v>
      </c>
      <c r="EP316" s="80">
        <v>955</v>
      </c>
      <c r="EQ316" s="80">
        <v>0</v>
      </c>
      <c r="ER316" s="80">
        <v>238</v>
      </c>
      <c r="ES316" s="80">
        <v>175</v>
      </c>
      <c r="ET316" s="80">
        <v>63</v>
      </c>
      <c r="EU316" s="80">
        <v>0</v>
      </c>
      <c r="EV316" s="80">
        <v>0</v>
      </c>
      <c r="EW316" s="80">
        <v>469</v>
      </c>
      <c r="EX316" s="80">
        <v>0</v>
      </c>
      <c r="EY316" s="80">
        <v>0</v>
      </c>
      <c r="EZ316" s="80">
        <v>0</v>
      </c>
      <c r="FA316" s="80">
        <v>248</v>
      </c>
      <c r="FB316" s="80">
        <v>0</v>
      </c>
      <c r="FC316" s="80">
        <v>0</v>
      </c>
      <c r="FD316" s="80">
        <v>588</v>
      </c>
      <c r="FE316" s="80">
        <v>0</v>
      </c>
      <c r="FF316" s="80">
        <v>38</v>
      </c>
      <c r="FG316" s="80">
        <v>21</v>
      </c>
      <c r="FH316" s="80">
        <v>17</v>
      </c>
      <c r="FI316" s="80">
        <v>0</v>
      </c>
      <c r="FJ316" s="80">
        <v>0</v>
      </c>
      <c r="FK316" s="80">
        <v>30</v>
      </c>
      <c r="FL316" s="80">
        <v>0</v>
      </c>
      <c r="FM316" s="80">
        <v>2</v>
      </c>
      <c r="FN316" s="80">
        <v>178</v>
      </c>
      <c r="FO316" s="80">
        <v>62</v>
      </c>
      <c r="FP316" s="80">
        <v>278</v>
      </c>
      <c r="FQ316" s="80">
        <v>9737</v>
      </c>
      <c r="FR316" s="80">
        <v>0</v>
      </c>
      <c r="FS316" s="80">
        <v>10</v>
      </c>
      <c r="FT316" s="67"/>
      <c r="FU316" s="67"/>
      <c r="FV316" s="67"/>
      <c r="FW316" s="67"/>
      <c r="FX316" s="67"/>
      <c r="FY316" s="67"/>
      <c r="FZ316" s="67"/>
      <c r="GA316" s="67"/>
      <c r="GB316" s="67"/>
      <c r="GC316" s="67"/>
      <c r="GD316" s="67"/>
      <c r="GE316" s="67"/>
      <c r="GF316" s="67"/>
      <c r="GG316" s="67"/>
      <c r="GH316" s="67"/>
      <c r="GI316" s="67"/>
      <c r="GJ316" s="67"/>
      <c r="GK316" s="67"/>
    </row>
    <row r="317" spans="1:195" ht="13.5" customHeight="1" x14ac:dyDescent="0.2">
      <c r="A317" s="74">
        <v>43</v>
      </c>
      <c r="B317" s="75" t="s">
        <v>340</v>
      </c>
      <c r="C317" s="75" t="s">
        <v>341</v>
      </c>
      <c r="D317" s="84"/>
      <c r="E317" s="77" t="s">
        <v>325</v>
      </c>
      <c r="F317" s="78">
        <v>1</v>
      </c>
      <c r="G317" s="79">
        <v>935</v>
      </c>
      <c r="H317" s="80">
        <v>878</v>
      </c>
      <c r="I317" s="80">
        <v>454</v>
      </c>
      <c r="J317" s="80">
        <v>279</v>
      </c>
      <c r="K317" s="80">
        <v>7</v>
      </c>
      <c r="L317" s="80">
        <v>138</v>
      </c>
      <c r="M317" s="80">
        <v>0</v>
      </c>
      <c r="N317" s="80">
        <v>0</v>
      </c>
      <c r="O317" s="80">
        <v>5766</v>
      </c>
      <c r="P317" s="80">
        <v>2640</v>
      </c>
      <c r="Q317" s="80">
        <v>2138</v>
      </c>
      <c r="R317" s="80">
        <v>502</v>
      </c>
      <c r="S317" s="80">
        <v>385</v>
      </c>
      <c r="T317" s="80">
        <v>117</v>
      </c>
      <c r="U317" s="80">
        <v>2280</v>
      </c>
      <c r="V317" s="80">
        <v>415</v>
      </c>
      <c r="W317" s="80">
        <v>347</v>
      </c>
      <c r="X317" s="80">
        <v>84</v>
      </c>
      <c r="Y317" s="80">
        <v>-4888</v>
      </c>
      <c r="Z317" s="80">
        <v>2837</v>
      </c>
      <c r="AA317" s="80">
        <v>2526</v>
      </c>
      <c r="AB317" s="80">
        <v>59</v>
      </c>
      <c r="AC317" s="80">
        <v>252</v>
      </c>
      <c r="AD317" s="80">
        <v>2334</v>
      </c>
      <c r="AE317" s="80">
        <v>10</v>
      </c>
      <c r="AF317" s="80">
        <v>18</v>
      </c>
      <c r="AG317" s="80">
        <v>2</v>
      </c>
      <c r="AH317" s="80">
        <v>0</v>
      </c>
      <c r="AI317" s="80">
        <v>9</v>
      </c>
      <c r="AJ317" s="80">
        <v>1</v>
      </c>
      <c r="AK317" s="80">
        <v>293</v>
      </c>
      <c r="AL317" s="80">
        <v>337</v>
      </c>
      <c r="AM317" s="80">
        <v>337</v>
      </c>
      <c r="AN317" s="80">
        <v>0</v>
      </c>
      <c r="AO317" s="80">
        <v>0</v>
      </c>
      <c r="AP317" s="80">
        <v>0</v>
      </c>
      <c r="AQ317" s="80">
        <v>0</v>
      </c>
      <c r="AR317" s="80">
        <v>-44</v>
      </c>
      <c r="AS317" s="80">
        <v>0</v>
      </c>
      <c r="AT317" s="80">
        <v>0</v>
      </c>
      <c r="AU317" s="80">
        <v>0</v>
      </c>
      <c r="AV317" s="80">
        <v>-44</v>
      </c>
      <c r="AW317" s="81"/>
      <c r="AX317" s="80">
        <v>293</v>
      </c>
      <c r="AY317" s="80">
        <v>293</v>
      </c>
      <c r="AZ317" s="80">
        <v>0</v>
      </c>
      <c r="BA317" s="80">
        <v>0</v>
      </c>
      <c r="BB317" s="80">
        <v>-638</v>
      </c>
      <c r="BC317" s="80">
        <v>788</v>
      </c>
      <c r="BD317" s="80">
        <v>150</v>
      </c>
      <c r="BE317" s="80">
        <v>0</v>
      </c>
      <c r="BF317" s="80">
        <v>-345</v>
      </c>
      <c r="BG317" s="80">
        <v>-295</v>
      </c>
      <c r="BH317" s="80">
        <v>0</v>
      </c>
      <c r="BI317" s="80">
        <v>0</v>
      </c>
      <c r="BJ317" s="80">
        <v>0</v>
      </c>
      <c r="BK317" s="80">
        <v>-280</v>
      </c>
      <c r="BL317" s="80">
        <v>5</v>
      </c>
      <c r="BM317" s="80">
        <v>263</v>
      </c>
      <c r="BN317" s="80">
        <v>-22</v>
      </c>
      <c r="BO317" s="80">
        <v>0</v>
      </c>
      <c r="BP317" s="80">
        <v>-15</v>
      </c>
      <c r="BQ317" s="80">
        <v>10</v>
      </c>
      <c r="BR317" s="80">
        <v>0</v>
      </c>
      <c r="BS317" s="80">
        <v>10</v>
      </c>
      <c r="BT317" s="80">
        <v>-35</v>
      </c>
      <c r="BU317" s="80">
        <v>-639</v>
      </c>
      <c r="BV317" s="80">
        <v>2161</v>
      </c>
      <c r="BW317" s="80">
        <v>2800</v>
      </c>
      <c r="BX317" s="81"/>
      <c r="BY317" s="80">
        <v>4709</v>
      </c>
      <c r="BZ317" s="80">
        <v>67</v>
      </c>
      <c r="CA317" s="80">
        <v>0</v>
      </c>
      <c r="CB317" s="80">
        <v>67</v>
      </c>
      <c r="CC317" s="80">
        <v>0</v>
      </c>
      <c r="CD317" s="80">
        <v>4288</v>
      </c>
      <c r="CE317" s="80">
        <v>333</v>
      </c>
      <c r="CF317" s="80">
        <v>2216</v>
      </c>
      <c r="CG317" s="80">
        <v>1674</v>
      </c>
      <c r="CH317" s="80">
        <v>53</v>
      </c>
      <c r="CI317" s="80">
        <v>2</v>
      </c>
      <c r="CJ317" s="80">
        <v>2</v>
      </c>
      <c r="CK317" s="80">
        <v>10</v>
      </c>
      <c r="CL317" s="80">
        <v>354</v>
      </c>
      <c r="CM317" s="80">
        <v>354</v>
      </c>
      <c r="CN317" s="80">
        <v>244</v>
      </c>
      <c r="CO317" s="80">
        <v>110</v>
      </c>
      <c r="CP317" s="80">
        <v>0</v>
      </c>
      <c r="CQ317" s="80">
        <v>0</v>
      </c>
      <c r="CR317" s="80">
        <v>0</v>
      </c>
      <c r="CS317" s="80">
        <v>0</v>
      </c>
      <c r="CT317" s="80">
        <v>0</v>
      </c>
      <c r="CU317" s="80">
        <v>0</v>
      </c>
      <c r="CV317" s="80">
        <v>42</v>
      </c>
      <c r="CW317" s="80">
        <v>8</v>
      </c>
      <c r="CX317" s="80">
        <v>34</v>
      </c>
      <c r="CY317" s="80">
        <v>0</v>
      </c>
      <c r="CZ317" s="80">
        <v>2434</v>
      </c>
      <c r="DA317" s="80">
        <v>0</v>
      </c>
      <c r="DB317" s="80">
        <v>0</v>
      </c>
      <c r="DC317" s="80">
        <v>0</v>
      </c>
      <c r="DD317" s="80">
        <v>0</v>
      </c>
      <c r="DE317" s="80">
        <v>0</v>
      </c>
      <c r="DF317" s="80">
        <v>0</v>
      </c>
      <c r="DG317" s="80">
        <v>273</v>
      </c>
      <c r="DH317" s="80">
        <v>5</v>
      </c>
      <c r="DI317" s="80">
        <v>0</v>
      </c>
      <c r="DJ317" s="80">
        <v>0</v>
      </c>
      <c r="DK317" s="80">
        <v>5</v>
      </c>
      <c r="DL317" s="80">
        <v>0</v>
      </c>
      <c r="DM317" s="80">
        <v>268</v>
      </c>
      <c r="DN317" s="80">
        <v>108</v>
      </c>
      <c r="DO317" s="80">
        <v>0</v>
      </c>
      <c r="DP317" s="80">
        <v>67</v>
      </c>
      <c r="DQ317" s="80">
        <v>93</v>
      </c>
      <c r="DR317" s="80">
        <v>0</v>
      </c>
      <c r="DS317" s="80">
        <v>0</v>
      </c>
      <c r="DT317" s="80">
        <v>0</v>
      </c>
      <c r="DU317" s="80">
        <v>0</v>
      </c>
      <c r="DV317" s="80">
        <v>0</v>
      </c>
      <c r="DW317" s="80">
        <v>2161</v>
      </c>
      <c r="DX317" s="80">
        <v>7185</v>
      </c>
      <c r="DY317" s="80">
        <v>5811</v>
      </c>
      <c r="DZ317" s="80">
        <v>1848</v>
      </c>
      <c r="EA317" s="80">
        <v>0</v>
      </c>
      <c r="EB317" s="80">
        <v>3</v>
      </c>
      <c r="EC317" s="80">
        <v>4004</v>
      </c>
      <c r="ED317" s="80">
        <v>-44</v>
      </c>
      <c r="EE317" s="80">
        <v>0</v>
      </c>
      <c r="EF317" s="80">
        <v>0</v>
      </c>
      <c r="EG317" s="80">
        <v>0</v>
      </c>
      <c r="EH317" s="80">
        <v>0</v>
      </c>
      <c r="EI317" s="80">
        <v>0</v>
      </c>
      <c r="EJ317" s="80">
        <v>0</v>
      </c>
      <c r="EK317" s="80">
        <v>42</v>
      </c>
      <c r="EL317" s="80">
        <v>7</v>
      </c>
      <c r="EM317" s="80">
        <v>35</v>
      </c>
      <c r="EN317" s="80">
        <v>0</v>
      </c>
      <c r="EO317" s="80">
        <v>1332</v>
      </c>
      <c r="EP317" s="80">
        <v>632</v>
      </c>
      <c r="EQ317" s="80">
        <v>0</v>
      </c>
      <c r="ER317" s="80">
        <v>0</v>
      </c>
      <c r="ES317" s="80">
        <v>0</v>
      </c>
      <c r="ET317" s="80">
        <v>0</v>
      </c>
      <c r="EU317" s="80">
        <v>0</v>
      </c>
      <c r="EV317" s="80">
        <v>0</v>
      </c>
      <c r="EW317" s="80">
        <v>632</v>
      </c>
      <c r="EX317" s="80">
        <v>0</v>
      </c>
      <c r="EY317" s="80">
        <v>0</v>
      </c>
      <c r="EZ317" s="80">
        <v>0</v>
      </c>
      <c r="FA317" s="80">
        <v>0</v>
      </c>
      <c r="FB317" s="80">
        <v>0</v>
      </c>
      <c r="FC317" s="80">
        <v>0</v>
      </c>
      <c r="FD317" s="80">
        <v>700</v>
      </c>
      <c r="FE317" s="80">
        <v>0</v>
      </c>
      <c r="FF317" s="80">
        <v>30</v>
      </c>
      <c r="FG317" s="80">
        <v>30</v>
      </c>
      <c r="FH317" s="80">
        <v>0</v>
      </c>
      <c r="FI317" s="80">
        <v>0</v>
      </c>
      <c r="FJ317" s="80">
        <v>0</v>
      </c>
      <c r="FK317" s="80">
        <v>23</v>
      </c>
      <c r="FL317" s="80">
        <v>0</v>
      </c>
      <c r="FM317" s="80">
        <v>6</v>
      </c>
      <c r="FN317" s="80">
        <v>237</v>
      </c>
      <c r="FO317" s="80">
        <v>57</v>
      </c>
      <c r="FP317" s="80">
        <v>347</v>
      </c>
      <c r="FQ317" s="80">
        <v>7185</v>
      </c>
      <c r="FR317" s="80">
        <v>0</v>
      </c>
      <c r="FS317" s="80">
        <v>50</v>
      </c>
      <c r="FT317" s="67"/>
      <c r="FU317" s="67"/>
      <c r="FV317" s="67"/>
      <c r="FW317" s="67"/>
      <c r="FX317" s="67"/>
      <c r="FY317" s="67"/>
      <c r="FZ317" s="67"/>
      <c r="GA317" s="67"/>
      <c r="GB317" s="67"/>
      <c r="GC317" s="67"/>
      <c r="GD317" s="67"/>
      <c r="GE317" s="67"/>
      <c r="GF317" s="67"/>
      <c r="GG317" s="67"/>
      <c r="GH317" s="67"/>
      <c r="GI317" s="67"/>
      <c r="GJ317" s="67"/>
      <c r="GK317" s="67"/>
    </row>
    <row r="318" spans="1:195" ht="13.5" customHeight="1" x14ac:dyDescent="0.2">
      <c r="A318" s="74">
        <v>771</v>
      </c>
      <c r="B318" s="75" t="s">
        <v>342</v>
      </c>
      <c r="C318" s="75" t="s">
        <v>343</v>
      </c>
      <c r="D318" s="84"/>
      <c r="E318" s="77" t="s">
        <v>325</v>
      </c>
      <c r="F318" s="78">
        <v>1</v>
      </c>
      <c r="G318" s="79">
        <v>1031</v>
      </c>
      <c r="H318" s="80">
        <v>871</v>
      </c>
      <c r="I318" s="80">
        <v>363</v>
      </c>
      <c r="J318" s="80">
        <v>243</v>
      </c>
      <c r="K318" s="80">
        <v>5</v>
      </c>
      <c r="L318" s="80">
        <v>260</v>
      </c>
      <c r="M318" s="80">
        <v>0</v>
      </c>
      <c r="N318" s="80">
        <v>0</v>
      </c>
      <c r="O318" s="80">
        <v>5953</v>
      </c>
      <c r="P318" s="80">
        <v>3215</v>
      </c>
      <c r="Q318" s="80">
        <v>2591</v>
      </c>
      <c r="R318" s="80">
        <v>624</v>
      </c>
      <c r="S318" s="80">
        <v>525</v>
      </c>
      <c r="T318" s="80">
        <v>99</v>
      </c>
      <c r="U318" s="80">
        <v>2035</v>
      </c>
      <c r="V318" s="80">
        <v>448</v>
      </c>
      <c r="W318" s="80">
        <v>215</v>
      </c>
      <c r="X318" s="80">
        <v>40</v>
      </c>
      <c r="Y318" s="80">
        <v>-5082</v>
      </c>
      <c r="Z318" s="80">
        <v>3329</v>
      </c>
      <c r="AA318" s="80">
        <v>3140</v>
      </c>
      <c r="AB318" s="80">
        <v>31</v>
      </c>
      <c r="AC318" s="80">
        <v>158</v>
      </c>
      <c r="AD318" s="80">
        <v>2303</v>
      </c>
      <c r="AE318" s="80">
        <v>-41</v>
      </c>
      <c r="AF318" s="80">
        <v>0</v>
      </c>
      <c r="AG318" s="80">
        <v>3</v>
      </c>
      <c r="AH318" s="80">
        <v>0</v>
      </c>
      <c r="AI318" s="80">
        <v>42</v>
      </c>
      <c r="AJ318" s="80">
        <v>2</v>
      </c>
      <c r="AK318" s="80">
        <v>509</v>
      </c>
      <c r="AL318" s="80">
        <v>304</v>
      </c>
      <c r="AM318" s="80">
        <v>304</v>
      </c>
      <c r="AN318" s="80">
        <v>0</v>
      </c>
      <c r="AO318" s="80">
        <v>0</v>
      </c>
      <c r="AP318" s="80">
        <v>0</v>
      </c>
      <c r="AQ318" s="80">
        <v>0</v>
      </c>
      <c r="AR318" s="80">
        <v>205</v>
      </c>
      <c r="AS318" s="80">
        <v>62</v>
      </c>
      <c r="AT318" s="80">
        <v>0</v>
      </c>
      <c r="AU318" s="80">
        <v>0</v>
      </c>
      <c r="AV318" s="80">
        <v>267</v>
      </c>
      <c r="AW318" s="81"/>
      <c r="AX318" s="80">
        <v>509</v>
      </c>
      <c r="AY318" s="80">
        <v>509</v>
      </c>
      <c r="AZ318" s="80">
        <v>0</v>
      </c>
      <c r="BA318" s="80">
        <v>0</v>
      </c>
      <c r="BB318" s="80">
        <v>-121</v>
      </c>
      <c r="BC318" s="80">
        <v>121</v>
      </c>
      <c r="BD318" s="80">
        <v>0</v>
      </c>
      <c r="BE318" s="80">
        <v>0</v>
      </c>
      <c r="BF318" s="80">
        <v>388</v>
      </c>
      <c r="BG318" s="80">
        <v>-64</v>
      </c>
      <c r="BH318" s="80">
        <v>0</v>
      </c>
      <c r="BI318" s="80">
        <v>0</v>
      </c>
      <c r="BJ318" s="80">
        <v>0</v>
      </c>
      <c r="BK318" s="80">
        <v>-118</v>
      </c>
      <c r="BL318" s="80">
        <v>0</v>
      </c>
      <c r="BM318" s="80">
        <v>124</v>
      </c>
      <c r="BN318" s="80">
        <v>6</v>
      </c>
      <c r="BO318" s="80">
        <v>0</v>
      </c>
      <c r="BP318" s="80">
        <v>54</v>
      </c>
      <c r="BQ318" s="80">
        <v>-5</v>
      </c>
      <c r="BR318" s="80">
        <v>0</v>
      </c>
      <c r="BS318" s="80">
        <v>-2</v>
      </c>
      <c r="BT318" s="80">
        <v>61</v>
      </c>
      <c r="BU318" s="80">
        <v>325</v>
      </c>
      <c r="BV318" s="80">
        <v>1032</v>
      </c>
      <c r="BW318" s="80">
        <v>707</v>
      </c>
      <c r="BX318" s="81"/>
      <c r="BY318" s="80">
        <v>7161</v>
      </c>
      <c r="BZ318" s="80">
        <v>38</v>
      </c>
      <c r="CA318" s="80">
        <v>0</v>
      </c>
      <c r="CB318" s="80">
        <v>38</v>
      </c>
      <c r="CC318" s="80">
        <v>0</v>
      </c>
      <c r="CD318" s="80">
        <v>6741</v>
      </c>
      <c r="CE318" s="80">
        <v>152</v>
      </c>
      <c r="CF318" s="80">
        <v>5386</v>
      </c>
      <c r="CG318" s="80">
        <v>1167</v>
      </c>
      <c r="CH318" s="80">
        <v>32</v>
      </c>
      <c r="CI318" s="80">
        <v>0</v>
      </c>
      <c r="CJ318" s="80">
        <v>0</v>
      </c>
      <c r="CK318" s="80">
        <v>4</v>
      </c>
      <c r="CL318" s="80">
        <v>382</v>
      </c>
      <c r="CM318" s="80">
        <v>382</v>
      </c>
      <c r="CN318" s="80">
        <v>301</v>
      </c>
      <c r="CO318" s="80">
        <v>81</v>
      </c>
      <c r="CP318" s="80">
        <v>0</v>
      </c>
      <c r="CQ318" s="80">
        <v>0</v>
      </c>
      <c r="CR318" s="80">
        <v>0</v>
      </c>
      <c r="CS318" s="80">
        <v>0</v>
      </c>
      <c r="CT318" s="80">
        <v>0</v>
      </c>
      <c r="CU318" s="80">
        <v>0</v>
      </c>
      <c r="CV318" s="80">
        <v>77</v>
      </c>
      <c r="CW318" s="80">
        <v>7</v>
      </c>
      <c r="CX318" s="80">
        <v>22</v>
      </c>
      <c r="CY318" s="80">
        <v>48</v>
      </c>
      <c r="CZ318" s="80">
        <v>1293</v>
      </c>
      <c r="DA318" s="80">
        <v>0</v>
      </c>
      <c r="DB318" s="80">
        <v>0</v>
      </c>
      <c r="DC318" s="80">
        <v>0</v>
      </c>
      <c r="DD318" s="80">
        <v>0</v>
      </c>
      <c r="DE318" s="80">
        <v>0</v>
      </c>
      <c r="DF318" s="80">
        <v>0</v>
      </c>
      <c r="DG318" s="80">
        <v>261</v>
      </c>
      <c r="DH318" s="80">
        <v>0</v>
      </c>
      <c r="DI318" s="80">
        <v>0</v>
      </c>
      <c r="DJ318" s="80">
        <v>0</v>
      </c>
      <c r="DK318" s="80">
        <v>0</v>
      </c>
      <c r="DL318" s="80">
        <v>0</v>
      </c>
      <c r="DM318" s="80">
        <v>261</v>
      </c>
      <c r="DN318" s="80">
        <v>162</v>
      </c>
      <c r="DO318" s="80">
        <v>0</v>
      </c>
      <c r="DP318" s="80">
        <v>99</v>
      </c>
      <c r="DQ318" s="80">
        <v>0</v>
      </c>
      <c r="DR318" s="80">
        <v>0</v>
      </c>
      <c r="DS318" s="80">
        <v>0</v>
      </c>
      <c r="DT318" s="80">
        <v>0</v>
      </c>
      <c r="DU318" s="80">
        <v>0</v>
      </c>
      <c r="DV318" s="80">
        <v>0</v>
      </c>
      <c r="DW318" s="80">
        <v>1032</v>
      </c>
      <c r="DX318" s="80">
        <v>8531</v>
      </c>
      <c r="DY318" s="80">
        <v>5615</v>
      </c>
      <c r="DZ318" s="80">
        <v>2435</v>
      </c>
      <c r="EA318" s="80">
        <v>0</v>
      </c>
      <c r="EB318" s="80">
        <v>0</v>
      </c>
      <c r="EC318" s="80">
        <v>2912</v>
      </c>
      <c r="ED318" s="80">
        <v>268</v>
      </c>
      <c r="EE318" s="80">
        <v>41</v>
      </c>
      <c r="EF318" s="80">
        <v>41</v>
      </c>
      <c r="EG318" s="80">
        <v>0</v>
      </c>
      <c r="EH318" s="80">
        <v>0</v>
      </c>
      <c r="EI318" s="80">
        <v>0</v>
      </c>
      <c r="EJ318" s="80">
        <v>0</v>
      </c>
      <c r="EK318" s="80">
        <v>133</v>
      </c>
      <c r="EL318" s="80">
        <v>6</v>
      </c>
      <c r="EM318" s="80">
        <v>22</v>
      </c>
      <c r="EN318" s="80">
        <v>105</v>
      </c>
      <c r="EO318" s="80">
        <v>2742</v>
      </c>
      <c r="EP318" s="80">
        <v>1840</v>
      </c>
      <c r="EQ318" s="80">
        <v>0</v>
      </c>
      <c r="ER318" s="80">
        <v>1706</v>
      </c>
      <c r="ES318" s="80">
        <v>1706</v>
      </c>
      <c r="ET318" s="80">
        <v>0</v>
      </c>
      <c r="EU318" s="80">
        <v>0</v>
      </c>
      <c r="EV318" s="80">
        <v>0</v>
      </c>
      <c r="EW318" s="80">
        <v>134</v>
      </c>
      <c r="EX318" s="80">
        <v>0</v>
      </c>
      <c r="EY318" s="80">
        <v>0</v>
      </c>
      <c r="EZ318" s="80">
        <v>0</v>
      </c>
      <c r="FA318" s="80">
        <v>0</v>
      </c>
      <c r="FB318" s="80">
        <v>0</v>
      </c>
      <c r="FC318" s="80">
        <v>0</v>
      </c>
      <c r="FD318" s="80">
        <v>902</v>
      </c>
      <c r="FE318" s="80">
        <v>0</v>
      </c>
      <c r="FF318" s="80">
        <v>98</v>
      </c>
      <c r="FG318" s="80">
        <v>98</v>
      </c>
      <c r="FH318" s="80">
        <v>0</v>
      </c>
      <c r="FI318" s="80">
        <v>0</v>
      </c>
      <c r="FJ318" s="80">
        <v>0</v>
      </c>
      <c r="FK318" s="80">
        <v>45</v>
      </c>
      <c r="FL318" s="80">
        <v>0</v>
      </c>
      <c r="FM318" s="80">
        <v>3</v>
      </c>
      <c r="FN318" s="80">
        <v>183</v>
      </c>
      <c r="FO318" s="80">
        <v>212</v>
      </c>
      <c r="FP318" s="80">
        <v>361</v>
      </c>
      <c r="FQ318" s="80">
        <v>8531</v>
      </c>
      <c r="FR318" s="80">
        <v>0</v>
      </c>
      <c r="FS318" s="80">
        <v>446</v>
      </c>
      <c r="FT318" s="67"/>
      <c r="FU318" s="67"/>
      <c r="FV318" s="67"/>
      <c r="FW318" s="67"/>
      <c r="FX318" s="67"/>
      <c r="FY318" s="67"/>
      <c r="FZ318" s="67"/>
      <c r="GA318" s="67"/>
      <c r="GB318" s="67"/>
      <c r="GC318" s="67"/>
      <c r="GD318" s="67"/>
      <c r="GE318" s="67"/>
      <c r="GF318" s="67"/>
      <c r="GG318" s="67"/>
      <c r="GH318" s="67"/>
      <c r="GI318" s="67"/>
      <c r="GJ318" s="67"/>
    </row>
    <row r="319" spans="1:195" s="83" customFormat="1" ht="13.5" customHeight="1" x14ac:dyDescent="0.2">
      <c r="A319" s="74">
        <v>76</v>
      </c>
      <c r="B319" s="75" t="s">
        <v>344</v>
      </c>
      <c r="C319" s="75" t="s">
        <v>345</v>
      </c>
      <c r="D319" s="84"/>
      <c r="E319" s="77" t="s">
        <v>325</v>
      </c>
      <c r="F319" s="78">
        <v>1</v>
      </c>
      <c r="G319" s="79">
        <v>1537</v>
      </c>
      <c r="H319" s="80">
        <v>840</v>
      </c>
      <c r="I319" s="80">
        <v>310</v>
      </c>
      <c r="J319" s="80">
        <v>309</v>
      </c>
      <c r="K319" s="80">
        <v>44</v>
      </c>
      <c r="L319" s="80">
        <v>177</v>
      </c>
      <c r="M319" s="80">
        <v>0</v>
      </c>
      <c r="N319" s="80">
        <v>0</v>
      </c>
      <c r="O319" s="80">
        <v>7218</v>
      </c>
      <c r="P319" s="80">
        <v>3373</v>
      </c>
      <c r="Q319" s="80">
        <v>2709</v>
      </c>
      <c r="R319" s="80">
        <v>664</v>
      </c>
      <c r="S319" s="80">
        <v>552</v>
      </c>
      <c r="T319" s="80">
        <v>112</v>
      </c>
      <c r="U319" s="80">
        <v>2776</v>
      </c>
      <c r="V319" s="80">
        <v>532</v>
      </c>
      <c r="W319" s="80">
        <v>519</v>
      </c>
      <c r="X319" s="80">
        <v>18</v>
      </c>
      <c r="Y319" s="80">
        <v>-6378</v>
      </c>
      <c r="Z319" s="80">
        <v>4168</v>
      </c>
      <c r="AA319" s="80">
        <v>3948</v>
      </c>
      <c r="AB319" s="80">
        <v>90</v>
      </c>
      <c r="AC319" s="80">
        <v>130</v>
      </c>
      <c r="AD319" s="80">
        <v>2907</v>
      </c>
      <c r="AE319" s="80">
        <v>16</v>
      </c>
      <c r="AF319" s="80">
        <v>13</v>
      </c>
      <c r="AG319" s="80">
        <v>4</v>
      </c>
      <c r="AH319" s="80">
        <v>0</v>
      </c>
      <c r="AI319" s="80">
        <v>1</v>
      </c>
      <c r="AJ319" s="80">
        <v>0</v>
      </c>
      <c r="AK319" s="80">
        <v>713</v>
      </c>
      <c r="AL319" s="80">
        <v>424</v>
      </c>
      <c r="AM319" s="80">
        <v>424</v>
      </c>
      <c r="AN319" s="80">
        <v>0</v>
      </c>
      <c r="AO319" s="80">
        <v>0</v>
      </c>
      <c r="AP319" s="80">
        <v>0</v>
      </c>
      <c r="AQ319" s="80">
        <v>0</v>
      </c>
      <c r="AR319" s="80">
        <v>289</v>
      </c>
      <c r="AS319" s="80">
        <v>0</v>
      </c>
      <c r="AT319" s="80">
        <v>0</v>
      </c>
      <c r="AU319" s="80">
        <v>0</v>
      </c>
      <c r="AV319" s="80">
        <v>289</v>
      </c>
      <c r="AW319" s="81"/>
      <c r="AX319" s="80">
        <v>688</v>
      </c>
      <c r="AY319" s="80">
        <v>713</v>
      </c>
      <c r="AZ319" s="80">
        <v>0</v>
      </c>
      <c r="BA319" s="80">
        <v>-25</v>
      </c>
      <c r="BB319" s="80">
        <v>-411</v>
      </c>
      <c r="BC319" s="80">
        <v>466</v>
      </c>
      <c r="BD319" s="80">
        <v>28</v>
      </c>
      <c r="BE319" s="80">
        <v>27</v>
      </c>
      <c r="BF319" s="80">
        <v>277</v>
      </c>
      <c r="BG319" s="80">
        <v>-50</v>
      </c>
      <c r="BH319" s="80">
        <v>0</v>
      </c>
      <c r="BI319" s="80">
        <v>0</v>
      </c>
      <c r="BJ319" s="80">
        <v>0</v>
      </c>
      <c r="BK319" s="80">
        <v>-32</v>
      </c>
      <c r="BL319" s="80">
        <v>0</v>
      </c>
      <c r="BM319" s="80">
        <v>34</v>
      </c>
      <c r="BN319" s="80">
        <v>2</v>
      </c>
      <c r="BO319" s="80">
        <v>0</v>
      </c>
      <c r="BP319" s="80">
        <v>-18</v>
      </c>
      <c r="BQ319" s="80">
        <v>1</v>
      </c>
      <c r="BR319" s="80">
        <v>0</v>
      </c>
      <c r="BS319" s="80">
        <v>-10</v>
      </c>
      <c r="BT319" s="80">
        <v>-9</v>
      </c>
      <c r="BU319" s="80">
        <v>227</v>
      </c>
      <c r="BV319" s="80">
        <v>2893</v>
      </c>
      <c r="BW319" s="80">
        <v>2666</v>
      </c>
      <c r="BX319" s="81"/>
      <c r="BY319" s="80">
        <v>8264</v>
      </c>
      <c r="BZ319" s="80">
        <v>143</v>
      </c>
      <c r="CA319" s="80">
        <v>6</v>
      </c>
      <c r="CB319" s="80">
        <v>137</v>
      </c>
      <c r="CC319" s="80">
        <v>0</v>
      </c>
      <c r="CD319" s="80">
        <v>7681</v>
      </c>
      <c r="CE319" s="80">
        <v>632</v>
      </c>
      <c r="CF319" s="80">
        <v>3965</v>
      </c>
      <c r="CG319" s="80">
        <v>3012</v>
      </c>
      <c r="CH319" s="80">
        <v>38</v>
      </c>
      <c r="CI319" s="80">
        <v>0</v>
      </c>
      <c r="CJ319" s="80">
        <v>0</v>
      </c>
      <c r="CK319" s="80">
        <v>34</v>
      </c>
      <c r="CL319" s="80">
        <v>440</v>
      </c>
      <c r="CM319" s="80">
        <v>440</v>
      </c>
      <c r="CN319" s="80">
        <v>330</v>
      </c>
      <c r="CO319" s="80">
        <v>110</v>
      </c>
      <c r="CP319" s="80">
        <v>0</v>
      </c>
      <c r="CQ319" s="80">
        <v>0</v>
      </c>
      <c r="CR319" s="80">
        <v>0</v>
      </c>
      <c r="CS319" s="80">
        <v>0</v>
      </c>
      <c r="CT319" s="80">
        <v>0</v>
      </c>
      <c r="CU319" s="80">
        <v>0</v>
      </c>
      <c r="CV319" s="80">
        <v>5</v>
      </c>
      <c r="CW319" s="80">
        <v>1</v>
      </c>
      <c r="CX319" s="80">
        <v>4</v>
      </c>
      <c r="CY319" s="80">
        <v>0</v>
      </c>
      <c r="CZ319" s="80">
        <v>3192</v>
      </c>
      <c r="DA319" s="80">
        <v>0</v>
      </c>
      <c r="DB319" s="80">
        <v>0</v>
      </c>
      <c r="DC319" s="80">
        <v>0</v>
      </c>
      <c r="DD319" s="80">
        <v>0</v>
      </c>
      <c r="DE319" s="80">
        <v>0</v>
      </c>
      <c r="DF319" s="80">
        <v>0</v>
      </c>
      <c r="DG319" s="80">
        <v>299</v>
      </c>
      <c r="DH319" s="80">
        <v>5</v>
      </c>
      <c r="DI319" s="80">
        <v>0</v>
      </c>
      <c r="DJ319" s="80">
        <v>0</v>
      </c>
      <c r="DK319" s="80">
        <v>5</v>
      </c>
      <c r="DL319" s="80">
        <v>0</v>
      </c>
      <c r="DM319" s="80">
        <v>294</v>
      </c>
      <c r="DN319" s="80">
        <v>81</v>
      </c>
      <c r="DO319" s="80">
        <v>0</v>
      </c>
      <c r="DP319" s="80">
        <v>62</v>
      </c>
      <c r="DQ319" s="80">
        <v>151</v>
      </c>
      <c r="DR319" s="80">
        <v>0</v>
      </c>
      <c r="DS319" s="80">
        <v>0</v>
      </c>
      <c r="DT319" s="80">
        <v>0</v>
      </c>
      <c r="DU319" s="80">
        <v>0</v>
      </c>
      <c r="DV319" s="80">
        <v>0</v>
      </c>
      <c r="DW319" s="80">
        <v>2893</v>
      </c>
      <c r="DX319" s="80">
        <v>11461</v>
      </c>
      <c r="DY319" s="80">
        <v>10529</v>
      </c>
      <c r="DZ319" s="80">
        <v>3024</v>
      </c>
      <c r="EA319" s="80">
        <v>0</v>
      </c>
      <c r="EB319" s="80">
        <v>0</v>
      </c>
      <c r="EC319" s="80">
        <v>7216</v>
      </c>
      <c r="ED319" s="80">
        <v>289</v>
      </c>
      <c r="EE319" s="80">
        <v>0</v>
      </c>
      <c r="EF319" s="80">
        <v>0</v>
      </c>
      <c r="EG319" s="80">
        <v>0</v>
      </c>
      <c r="EH319" s="80">
        <v>0</v>
      </c>
      <c r="EI319" s="80">
        <v>0</v>
      </c>
      <c r="EJ319" s="80">
        <v>0</v>
      </c>
      <c r="EK319" s="80">
        <v>4</v>
      </c>
      <c r="EL319" s="80">
        <v>0</v>
      </c>
      <c r="EM319" s="80">
        <v>4</v>
      </c>
      <c r="EN319" s="80">
        <v>0</v>
      </c>
      <c r="EO319" s="80">
        <v>929</v>
      </c>
      <c r="EP319" s="80">
        <v>7</v>
      </c>
      <c r="EQ319" s="80">
        <v>0</v>
      </c>
      <c r="ER319" s="80">
        <v>0</v>
      </c>
      <c r="ES319" s="80">
        <v>0</v>
      </c>
      <c r="ET319" s="80">
        <v>0</v>
      </c>
      <c r="EU319" s="80">
        <v>0</v>
      </c>
      <c r="EV319" s="80">
        <v>0</v>
      </c>
      <c r="EW319" s="80">
        <v>7</v>
      </c>
      <c r="EX319" s="80">
        <v>0</v>
      </c>
      <c r="EY319" s="80">
        <v>0</v>
      </c>
      <c r="EZ319" s="80">
        <v>0</v>
      </c>
      <c r="FA319" s="80">
        <v>0</v>
      </c>
      <c r="FB319" s="80">
        <v>0</v>
      </c>
      <c r="FC319" s="80">
        <v>0</v>
      </c>
      <c r="FD319" s="80">
        <v>922</v>
      </c>
      <c r="FE319" s="80">
        <v>0</v>
      </c>
      <c r="FF319" s="80">
        <v>0</v>
      </c>
      <c r="FG319" s="80">
        <v>0</v>
      </c>
      <c r="FH319" s="80">
        <v>0</v>
      </c>
      <c r="FI319" s="80">
        <v>0</v>
      </c>
      <c r="FJ319" s="80">
        <v>0</v>
      </c>
      <c r="FK319" s="80">
        <v>34</v>
      </c>
      <c r="FL319" s="80">
        <v>0</v>
      </c>
      <c r="FM319" s="80">
        <v>0</v>
      </c>
      <c r="FN319" s="80">
        <v>392</v>
      </c>
      <c r="FO319" s="80">
        <v>103</v>
      </c>
      <c r="FP319" s="80">
        <v>393</v>
      </c>
      <c r="FQ319" s="80">
        <v>11462</v>
      </c>
      <c r="FR319" s="80">
        <v>0</v>
      </c>
      <c r="FS319" s="80">
        <v>0</v>
      </c>
      <c r="FT319" s="67"/>
      <c r="FU319" s="67"/>
      <c r="FV319" s="67"/>
      <c r="FW319" s="67"/>
      <c r="FX319" s="67"/>
      <c r="FY319" s="67"/>
      <c r="FZ319" s="67"/>
      <c r="GA319" s="67"/>
      <c r="GB319" s="67"/>
      <c r="GC319" s="67"/>
      <c r="GD319" s="67"/>
      <c r="GE319" s="67"/>
      <c r="GF319" s="67"/>
      <c r="GG319" s="67"/>
      <c r="GH319" s="67"/>
      <c r="GI319" s="67"/>
      <c r="GJ319" s="67"/>
    </row>
    <row r="320" spans="1:195" ht="13.5" customHeight="1" x14ac:dyDescent="0.2">
      <c r="A320" s="74">
        <v>736</v>
      </c>
      <c r="B320" s="75" t="s">
        <v>346</v>
      </c>
      <c r="C320" s="75" t="s">
        <v>347</v>
      </c>
      <c r="D320" s="84"/>
      <c r="E320" s="77" t="s">
        <v>325</v>
      </c>
      <c r="F320" s="78">
        <v>1</v>
      </c>
      <c r="G320" s="79">
        <v>1829</v>
      </c>
      <c r="H320" s="80">
        <v>1258</v>
      </c>
      <c r="I320" s="80">
        <v>285</v>
      </c>
      <c r="J320" s="80">
        <v>593</v>
      </c>
      <c r="K320" s="80">
        <v>29</v>
      </c>
      <c r="L320" s="80">
        <v>351</v>
      </c>
      <c r="M320" s="80">
        <v>0</v>
      </c>
      <c r="N320" s="80">
        <v>0</v>
      </c>
      <c r="O320" s="80">
        <v>8963</v>
      </c>
      <c r="P320" s="80">
        <v>4757</v>
      </c>
      <c r="Q320" s="80">
        <v>3794</v>
      </c>
      <c r="R320" s="80">
        <v>963</v>
      </c>
      <c r="S320" s="80">
        <v>793</v>
      </c>
      <c r="T320" s="80">
        <v>170</v>
      </c>
      <c r="U320" s="80">
        <v>2757</v>
      </c>
      <c r="V320" s="80">
        <v>876</v>
      </c>
      <c r="W320" s="80">
        <v>525</v>
      </c>
      <c r="X320" s="80">
        <v>48</v>
      </c>
      <c r="Y320" s="80">
        <v>-7705</v>
      </c>
      <c r="Z320" s="80">
        <v>5780</v>
      </c>
      <c r="AA320" s="80">
        <v>4968</v>
      </c>
      <c r="AB320" s="80">
        <v>673</v>
      </c>
      <c r="AC320" s="80">
        <v>139</v>
      </c>
      <c r="AD320" s="80">
        <v>3080</v>
      </c>
      <c r="AE320" s="80">
        <v>-23</v>
      </c>
      <c r="AF320" s="80">
        <v>5</v>
      </c>
      <c r="AG320" s="80">
        <v>2</v>
      </c>
      <c r="AH320" s="80">
        <v>0</v>
      </c>
      <c r="AI320" s="80">
        <v>30</v>
      </c>
      <c r="AJ320" s="80">
        <v>0</v>
      </c>
      <c r="AK320" s="80">
        <v>1132</v>
      </c>
      <c r="AL320" s="80">
        <v>592</v>
      </c>
      <c r="AM320" s="80">
        <v>592</v>
      </c>
      <c r="AN320" s="80">
        <v>0</v>
      </c>
      <c r="AO320" s="80">
        <v>0</v>
      </c>
      <c r="AP320" s="80">
        <v>0</v>
      </c>
      <c r="AQ320" s="80">
        <v>0</v>
      </c>
      <c r="AR320" s="80">
        <v>540</v>
      </c>
      <c r="AS320" s="80">
        <v>96</v>
      </c>
      <c r="AT320" s="80">
        <v>-350</v>
      </c>
      <c r="AU320" s="80">
        <v>0</v>
      </c>
      <c r="AV320" s="80">
        <v>286</v>
      </c>
      <c r="AW320" s="81"/>
      <c r="AX320" s="80">
        <v>731</v>
      </c>
      <c r="AY320" s="80">
        <v>1132</v>
      </c>
      <c r="AZ320" s="80">
        <v>0</v>
      </c>
      <c r="BA320" s="80">
        <v>-401</v>
      </c>
      <c r="BB320" s="80">
        <v>-1221</v>
      </c>
      <c r="BC320" s="80">
        <v>1248</v>
      </c>
      <c r="BD320" s="80">
        <v>27</v>
      </c>
      <c r="BE320" s="80">
        <v>0</v>
      </c>
      <c r="BF320" s="80">
        <v>-490</v>
      </c>
      <c r="BG320" s="80">
        <v>640</v>
      </c>
      <c r="BH320" s="80">
        <v>-182</v>
      </c>
      <c r="BI320" s="80">
        <v>182</v>
      </c>
      <c r="BJ320" s="80">
        <v>0</v>
      </c>
      <c r="BK320" s="80">
        <v>5</v>
      </c>
      <c r="BL320" s="80">
        <v>0</v>
      </c>
      <c r="BM320" s="80">
        <v>0</v>
      </c>
      <c r="BN320" s="80">
        <v>5</v>
      </c>
      <c r="BO320" s="80">
        <v>152</v>
      </c>
      <c r="BP320" s="80">
        <v>665</v>
      </c>
      <c r="BQ320" s="80">
        <v>1</v>
      </c>
      <c r="BR320" s="80">
        <v>0</v>
      </c>
      <c r="BS320" s="80">
        <v>353</v>
      </c>
      <c r="BT320" s="80">
        <v>311</v>
      </c>
      <c r="BU320" s="80">
        <v>150</v>
      </c>
      <c r="BV320" s="80">
        <v>1701</v>
      </c>
      <c r="BW320" s="80">
        <v>1551</v>
      </c>
      <c r="BX320" s="81"/>
      <c r="BY320" s="80">
        <v>10677</v>
      </c>
      <c r="BZ320" s="80">
        <v>27</v>
      </c>
      <c r="CA320" s="80">
        <v>27</v>
      </c>
      <c r="CB320" s="80">
        <v>0</v>
      </c>
      <c r="CC320" s="80">
        <v>0</v>
      </c>
      <c r="CD320" s="80">
        <v>10066</v>
      </c>
      <c r="CE320" s="80">
        <v>644</v>
      </c>
      <c r="CF320" s="80">
        <v>6112</v>
      </c>
      <c r="CG320" s="80">
        <v>2734</v>
      </c>
      <c r="CH320" s="80">
        <v>86</v>
      </c>
      <c r="CI320" s="80">
        <v>0</v>
      </c>
      <c r="CJ320" s="80">
        <v>0</v>
      </c>
      <c r="CK320" s="80">
        <v>490</v>
      </c>
      <c r="CL320" s="80">
        <v>584</v>
      </c>
      <c r="CM320" s="80">
        <v>558</v>
      </c>
      <c r="CN320" s="80">
        <v>364</v>
      </c>
      <c r="CO320" s="80">
        <v>194</v>
      </c>
      <c r="CP320" s="80">
        <v>0</v>
      </c>
      <c r="CQ320" s="80">
        <v>0</v>
      </c>
      <c r="CR320" s="80">
        <v>0</v>
      </c>
      <c r="CS320" s="80">
        <v>0</v>
      </c>
      <c r="CT320" s="80">
        <v>0</v>
      </c>
      <c r="CU320" s="80">
        <v>26</v>
      </c>
      <c r="CV320" s="80">
        <v>436</v>
      </c>
      <c r="CW320" s="80">
        <v>182</v>
      </c>
      <c r="CX320" s="80">
        <v>243</v>
      </c>
      <c r="CY320" s="80">
        <v>11</v>
      </c>
      <c r="CZ320" s="80">
        <v>2196</v>
      </c>
      <c r="DA320" s="80">
        <v>0</v>
      </c>
      <c r="DB320" s="80">
        <v>0</v>
      </c>
      <c r="DC320" s="80">
        <v>0</v>
      </c>
      <c r="DD320" s="80">
        <v>0</v>
      </c>
      <c r="DE320" s="80">
        <v>0</v>
      </c>
      <c r="DF320" s="80">
        <v>0</v>
      </c>
      <c r="DG320" s="80">
        <v>495</v>
      </c>
      <c r="DH320" s="80">
        <v>0</v>
      </c>
      <c r="DI320" s="80">
        <v>0</v>
      </c>
      <c r="DJ320" s="80">
        <v>0</v>
      </c>
      <c r="DK320" s="80">
        <v>0</v>
      </c>
      <c r="DL320" s="80">
        <v>0</v>
      </c>
      <c r="DM320" s="80">
        <v>495</v>
      </c>
      <c r="DN320" s="80">
        <v>260</v>
      </c>
      <c r="DO320" s="80">
        <v>0</v>
      </c>
      <c r="DP320" s="80">
        <v>136</v>
      </c>
      <c r="DQ320" s="80">
        <v>99</v>
      </c>
      <c r="DR320" s="80">
        <v>0</v>
      </c>
      <c r="DS320" s="80">
        <v>0</v>
      </c>
      <c r="DT320" s="80">
        <v>0</v>
      </c>
      <c r="DU320" s="80">
        <v>0</v>
      </c>
      <c r="DV320" s="80">
        <v>0</v>
      </c>
      <c r="DW320" s="80">
        <v>1701</v>
      </c>
      <c r="DX320" s="80">
        <v>13309</v>
      </c>
      <c r="DY320" s="80">
        <v>5651</v>
      </c>
      <c r="DZ320" s="80">
        <v>3345</v>
      </c>
      <c r="EA320" s="80">
        <v>0</v>
      </c>
      <c r="EB320" s="80">
        <v>0</v>
      </c>
      <c r="EC320" s="80">
        <v>2021</v>
      </c>
      <c r="ED320" s="80">
        <v>285</v>
      </c>
      <c r="EE320" s="80">
        <v>2730</v>
      </c>
      <c r="EF320" s="80">
        <v>1678</v>
      </c>
      <c r="EG320" s="80">
        <v>1052</v>
      </c>
      <c r="EH320" s="80">
        <v>19</v>
      </c>
      <c r="EI320" s="80">
        <v>0</v>
      </c>
      <c r="EJ320" s="80">
        <v>19</v>
      </c>
      <c r="EK320" s="80">
        <v>434</v>
      </c>
      <c r="EL320" s="80">
        <v>180</v>
      </c>
      <c r="EM320" s="80">
        <v>243</v>
      </c>
      <c r="EN320" s="80">
        <v>11</v>
      </c>
      <c r="EO320" s="80">
        <v>4476</v>
      </c>
      <c r="EP320" s="80">
        <v>2874</v>
      </c>
      <c r="EQ320" s="80">
        <v>0</v>
      </c>
      <c r="ER320" s="80">
        <v>297</v>
      </c>
      <c r="ES320" s="80">
        <v>297</v>
      </c>
      <c r="ET320" s="80">
        <v>0</v>
      </c>
      <c r="EU320" s="80">
        <v>0</v>
      </c>
      <c r="EV320" s="80">
        <v>0</v>
      </c>
      <c r="EW320" s="80">
        <v>2284</v>
      </c>
      <c r="EX320" s="80">
        <v>0</v>
      </c>
      <c r="EY320" s="80">
        <v>0</v>
      </c>
      <c r="EZ320" s="80">
        <v>0</v>
      </c>
      <c r="FA320" s="80">
        <v>293</v>
      </c>
      <c r="FB320" s="80">
        <v>0</v>
      </c>
      <c r="FC320" s="80">
        <v>0</v>
      </c>
      <c r="FD320" s="80">
        <v>1602</v>
      </c>
      <c r="FE320" s="80">
        <v>0</v>
      </c>
      <c r="FF320" s="80">
        <v>98</v>
      </c>
      <c r="FG320" s="80">
        <v>98</v>
      </c>
      <c r="FH320" s="80">
        <v>0</v>
      </c>
      <c r="FI320" s="80">
        <v>0</v>
      </c>
      <c r="FJ320" s="80">
        <v>0</v>
      </c>
      <c r="FK320" s="80">
        <v>78</v>
      </c>
      <c r="FL320" s="80">
        <v>0</v>
      </c>
      <c r="FM320" s="80">
        <v>17</v>
      </c>
      <c r="FN320" s="80">
        <v>592</v>
      </c>
      <c r="FO320" s="80">
        <v>85</v>
      </c>
      <c r="FP320" s="80">
        <v>732</v>
      </c>
      <c r="FQ320" s="80">
        <v>13310</v>
      </c>
      <c r="FR320" s="80">
        <v>738</v>
      </c>
      <c r="FS320" s="80">
        <v>400</v>
      </c>
      <c r="FT320" s="67"/>
      <c r="FU320" s="67"/>
      <c r="FV320" s="67"/>
      <c r="FW320" s="67"/>
      <c r="FX320" s="67"/>
      <c r="FY320" s="67"/>
      <c r="FZ320" s="67"/>
      <c r="GA320" s="67"/>
      <c r="GB320" s="67"/>
      <c r="GC320" s="67"/>
      <c r="GD320" s="67"/>
      <c r="GE320" s="67"/>
      <c r="GF320" s="67"/>
      <c r="GG320" s="67"/>
      <c r="GH320" s="67"/>
      <c r="GI320" s="67"/>
      <c r="GJ320" s="67"/>
    </row>
    <row r="321" spans="1:192" s="83" customFormat="1" ht="13.5" customHeight="1" x14ac:dyDescent="0.2">
      <c r="A321" s="74">
        <v>417</v>
      </c>
      <c r="B321" s="75" t="s">
        <v>348</v>
      </c>
      <c r="C321" s="75" t="s">
        <v>349</v>
      </c>
      <c r="D321" s="84"/>
      <c r="E321" s="77" t="s">
        <v>325</v>
      </c>
      <c r="F321" s="78">
        <v>1</v>
      </c>
      <c r="G321" s="79">
        <v>1991</v>
      </c>
      <c r="H321" s="80">
        <v>1500</v>
      </c>
      <c r="I321" s="80">
        <v>874</v>
      </c>
      <c r="J321" s="80">
        <v>334</v>
      </c>
      <c r="K321" s="80">
        <v>28</v>
      </c>
      <c r="L321" s="80">
        <v>264</v>
      </c>
      <c r="M321" s="80">
        <v>0</v>
      </c>
      <c r="N321" s="80">
        <v>0</v>
      </c>
      <c r="O321" s="80">
        <v>10125</v>
      </c>
      <c r="P321" s="80">
        <v>4622</v>
      </c>
      <c r="Q321" s="80">
        <v>3703</v>
      </c>
      <c r="R321" s="80">
        <v>919</v>
      </c>
      <c r="S321" s="80">
        <v>753</v>
      </c>
      <c r="T321" s="80">
        <v>166</v>
      </c>
      <c r="U321" s="80">
        <v>3887</v>
      </c>
      <c r="V321" s="80">
        <v>1003</v>
      </c>
      <c r="W321" s="80">
        <v>544</v>
      </c>
      <c r="X321" s="80">
        <v>69</v>
      </c>
      <c r="Y321" s="80">
        <v>-8625</v>
      </c>
      <c r="Z321" s="80">
        <v>6107</v>
      </c>
      <c r="AA321" s="80">
        <v>5739</v>
      </c>
      <c r="AB321" s="80">
        <v>91</v>
      </c>
      <c r="AC321" s="80">
        <v>277</v>
      </c>
      <c r="AD321" s="80">
        <v>2908</v>
      </c>
      <c r="AE321" s="80">
        <v>-17</v>
      </c>
      <c r="AF321" s="80">
        <v>7</v>
      </c>
      <c r="AG321" s="80">
        <v>0</v>
      </c>
      <c r="AH321" s="80">
        <v>0</v>
      </c>
      <c r="AI321" s="80">
        <v>21</v>
      </c>
      <c r="AJ321" s="80">
        <v>3</v>
      </c>
      <c r="AK321" s="80">
        <v>373</v>
      </c>
      <c r="AL321" s="80">
        <v>663</v>
      </c>
      <c r="AM321" s="80">
        <v>663</v>
      </c>
      <c r="AN321" s="80">
        <v>0</v>
      </c>
      <c r="AO321" s="80">
        <v>0</v>
      </c>
      <c r="AP321" s="80">
        <v>0</v>
      </c>
      <c r="AQ321" s="80">
        <v>0</v>
      </c>
      <c r="AR321" s="80">
        <v>-290</v>
      </c>
      <c r="AS321" s="80">
        <v>0</v>
      </c>
      <c r="AT321" s="80">
        <v>0</v>
      </c>
      <c r="AU321" s="80">
        <v>0</v>
      </c>
      <c r="AV321" s="80">
        <v>-290</v>
      </c>
      <c r="AW321" s="81"/>
      <c r="AX321" s="80">
        <v>296</v>
      </c>
      <c r="AY321" s="80">
        <v>373</v>
      </c>
      <c r="AZ321" s="80">
        <v>0</v>
      </c>
      <c r="BA321" s="80">
        <v>-77</v>
      </c>
      <c r="BB321" s="80">
        <v>-661</v>
      </c>
      <c r="BC321" s="80">
        <v>752</v>
      </c>
      <c r="BD321" s="80">
        <v>4</v>
      </c>
      <c r="BE321" s="80">
        <v>87</v>
      </c>
      <c r="BF321" s="80">
        <v>-365</v>
      </c>
      <c r="BG321" s="80">
        <v>-43</v>
      </c>
      <c r="BH321" s="80">
        <v>0</v>
      </c>
      <c r="BI321" s="80">
        <v>0</v>
      </c>
      <c r="BJ321" s="80">
        <v>0</v>
      </c>
      <c r="BK321" s="80">
        <v>-233</v>
      </c>
      <c r="BL321" s="80">
        <v>0</v>
      </c>
      <c r="BM321" s="80">
        <v>199</v>
      </c>
      <c r="BN321" s="80">
        <v>-34</v>
      </c>
      <c r="BO321" s="80">
        <v>0</v>
      </c>
      <c r="BP321" s="80">
        <v>190</v>
      </c>
      <c r="BQ321" s="80">
        <v>1</v>
      </c>
      <c r="BR321" s="80">
        <v>0</v>
      </c>
      <c r="BS321" s="80">
        <v>-27</v>
      </c>
      <c r="BT321" s="80">
        <v>216</v>
      </c>
      <c r="BU321" s="80">
        <v>-407</v>
      </c>
      <c r="BV321" s="80">
        <v>625</v>
      </c>
      <c r="BW321" s="80">
        <v>1032</v>
      </c>
      <c r="BX321" s="81"/>
      <c r="BY321" s="80">
        <v>12145</v>
      </c>
      <c r="BZ321" s="80">
        <v>452</v>
      </c>
      <c r="CA321" s="80">
        <v>84</v>
      </c>
      <c r="CB321" s="80">
        <v>368</v>
      </c>
      <c r="CC321" s="80">
        <v>0</v>
      </c>
      <c r="CD321" s="80">
        <v>11275</v>
      </c>
      <c r="CE321" s="80">
        <v>1050</v>
      </c>
      <c r="CF321" s="80">
        <v>5467</v>
      </c>
      <c r="CG321" s="80">
        <v>3237</v>
      </c>
      <c r="CH321" s="80">
        <v>117</v>
      </c>
      <c r="CI321" s="80">
        <v>1328</v>
      </c>
      <c r="CJ321" s="80">
        <v>0</v>
      </c>
      <c r="CK321" s="80">
        <v>76</v>
      </c>
      <c r="CL321" s="80">
        <v>418</v>
      </c>
      <c r="CM321" s="80">
        <v>375</v>
      </c>
      <c r="CN321" s="80">
        <v>261</v>
      </c>
      <c r="CO321" s="80">
        <v>114</v>
      </c>
      <c r="CP321" s="80">
        <v>0</v>
      </c>
      <c r="CQ321" s="80">
        <v>0</v>
      </c>
      <c r="CR321" s="80">
        <v>0</v>
      </c>
      <c r="CS321" s="80">
        <v>0</v>
      </c>
      <c r="CT321" s="80">
        <v>0</v>
      </c>
      <c r="CU321" s="80">
        <v>43</v>
      </c>
      <c r="CV321" s="80">
        <v>597</v>
      </c>
      <c r="CW321" s="80">
        <v>52</v>
      </c>
      <c r="CX321" s="80">
        <v>1</v>
      </c>
      <c r="CY321" s="80">
        <v>544</v>
      </c>
      <c r="CZ321" s="80">
        <v>1031</v>
      </c>
      <c r="DA321" s="80">
        <v>0</v>
      </c>
      <c r="DB321" s="80">
        <v>0</v>
      </c>
      <c r="DC321" s="80">
        <v>0</v>
      </c>
      <c r="DD321" s="80">
        <v>0</v>
      </c>
      <c r="DE321" s="80">
        <v>0</v>
      </c>
      <c r="DF321" s="80">
        <v>0</v>
      </c>
      <c r="DG321" s="80">
        <v>406</v>
      </c>
      <c r="DH321" s="80">
        <v>0</v>
      </c>
      <c r="DI321" s="80">
        <v>0</v>
      </c>
      <c r="DJ321" s="80">
        <v>0</v>
      </c>
      <c r="DK321" s="80">
        <v>0</v>
      </c>
      <c r="DL321" s="80">
        <v>0</v>
      </c>
      <c r="DM321" s="80">
        <v>406</v>
      </c>
      <c r="DN321" s="80">
        <v>131</v>
      </c>
      <c r="DO321" s="80">
        <v>0</v>
      </c>
      <c r="DP321" s="80">
        <v>227</v>
      </c>
      <c r="DQ321" s="80">
        <v>48</v>
      </c>
      <c r="DR321" s="80">
        <v>0</v>
      </c>
      <c r="DS321" s="80">
        <v>0</v>
      </c>
      <c r="DT321" s="80">
        <v>0</v>
      </c>
      <c r="DU321" s="80">
        <v>0</v>
      </c>
      <c r="DV321" s="80">
        <v>0</v>
      </c>
      <c r="DW321" s="80">
        <v>625</v>
      </c>
      <c r="DX321" s="80">
        <v>13773</v>
      </c>
      <c r="DY321" s="80">
        <v>8852</v>
      </c>
      <c r="DZ321" s="80">
        <v>3694</v>
      </c>
      <c r="EA321" s="80">
        <v>7</v>
      </c>
      <c r="EB321" s="80">
        <v>0</v>
      </c>
      <c r="EC321" s="80">
        <v>5440</v>
      </c>
      <c r="ED321" s="80">
        <v>-289</v>
      </c>
      <c r="EE321" s="80">
        <v>0</v>
      </c>
      <c r="EF321" s="80">
        <v>0</v>
      </c>
      <c r="EG321" s="80">
        <v>0</v>
      </c>
      <c r="EH321" s="80">
        <v>0</v>
      </c>
      <c r="EI321" s="80">
        <v>0</v>
      </c>
      <c r="EJ321" s="80">
        <v>0</v>
      </c>
      <c r="EK321" s="80">
        <v>594</v>
      </c>
      <c r="EL321" s="80">
        <v>49</v>
      </c>
      <c r="EM321" s="80">
        <v>1</v>
      </c>
      <c r="EN321" s="80">
        <v>544</v>
      </c>
      <c r="EO321" s="80">
        <v>4327</v>
      </c>
      <c r="EP321" s="80">
        <v>2339</v>
      </c>
      <c r="EQ321" s="80">
        <v>0</v>
      </c>
      <c r="ER321" s="80">
        <v>228</v>
      </c>
      <c r="ES321" s="80">
        <v>228</v>
      </c>
      <c r="ET321" s="80">
        <v>0</v>
      </c>
      <c r="EU321" s="80">
        <v>0</v>
      </c>
      <c r="EV321" s="80">
        <v>0</v>
      </c>
      <c r="EW321" s="80">
        <v>1224</v>
      </c>
      <c r="EX321" s="80">
        <v>0</v>
      </c>
      <c r="EY321" s="80">
        <v>0</v>
      </c>
      <c r="EZ321" s="80">
        <v>0</v>
      </c>
      <c r="FA321" s="80">
        <v>887</v>
      </c>
      <c r="FB321" s="80">
        <v>0</v>
      </c>
      <c r="FC321" s="80">
        <v>0</v>
      </c>
      <c r="FD321" s="80">
        <v>1988</v>
      </c>
      <c r="FE321" s="80">
        <v>0</v>
      </c>
      <c r="FF321" s="80">
        <v>12</v>
      </c>
      <c r="FG321" s="80">
        <v>12</v>
      </c>
      <c r="FH321" s="80">
        <v>0</v>
      </c>
      <c r="FI321" s="80">
        <v>0</v>
      </c>
      <c r="FJ321" s="80">
        <v>0</v>
      </c>
      <c r="FK321" s="80">
        <v>186</v>
      </c>
      <c r="FL321" s="80">
        <v>470</v>
      </c>
      <c r="FM321" s="80">
        <v>0</v>
      </c>
      <c r="FN321" s="80">
        <v>553</v>
      </c>
      <c r="FO321" s="80">
        <v>159</v>
      </c>
      <c r="FP321" s="80">
        <v>608</v>
      </c>
      <c r="FQ321" s="80">
        <v>13773</v>
      </c>
      <c r="FR321" s="80">
        <v>0</v>
      </c>
      <c r="FS321" s="80">
        <v>0</v>
      </c>
      <c r="FT321" s="67"/>
      <c r="FU321" s="67"/>
      <c r="FV321" s="67"/>
      <c r="FW321" s="67"/>
      <c r="FX321" s="67"/>
      <c r="FY321" s="67"/>
      <c r="FZ321" s="67"/>
      <c r="GA321" s="67"/>
      <c r="GB321" s="67"/>
      <c r="GC321" s="67"/>
      <c r="GD321" s="67"/>
      <c r="GE321" s="67"/>
      <c r="GF321" s="67"/>
      <c r="GG321" s="67"/>
      <c r="GH321" s="67"/>
      <c r="GI321" s="67"/>
      <c r="GJ321" s="67"/>
    </row>
    <row r="322" spans="1:192" ht="13.5" customHeight="1" x14ac:dyDescent="0.2">
      <c r="A322" s="74">
        <v>60</v>
      </c>
      <c r="B322" s="75" t="s">
        <v>350</v>
      </c>
      <c r="C322" s="75" t="s">
        <v>351</v>
      </c>
      <c r="D322" s="84"/>
      <c r="E322" s="77" t="s">
        <v>325</v>
      </c>
      <c r="F322" s="78">
        <v>2</v>
      </c>
      <c r="G322" s="79">
        <v>2522</v>
      </c>
      <c r="H322" s="80">
        <v>1731</v>
      </c>
      <c r="I322" s="80">
        <v>378</v>
      </c>
      <c r="J322" s="80">
        <v>413</v>
      </c>
      <c r="K322" s="80">
        <v>2</v>
      </c>
      <c r="L322" s="80">
        <v>938</v>
      </c>
      <c r="M322" s="80">
        <v>0</v>
      </c>
      <c r="N322" s="80">
        <v>0</v>
      </c>
      <c r="O322" s="80">
        <v>11847</v>
      </c>
      <c r="P322" s="80">
        <v>5347</v>
      </c>
      <c r="Q322" s="80">
        <v>4236</v>
      </c>
      <c r="R322" s="80">
        <v>1111</v>
      </c>
      <c r="S322" s="80">
        <v>897</v>
      </c>
      <c r="T322" s="80">
        <v>214</v>
      </c>
      <c r="U322" s="80">
        <v>4537</v>
      </c>
      <c r="V322" s="80">
        <v>795</v>
      </c>
      <c r="W322" s="80">
        <v>1061</v>
      </c>
      <c r="X322" s="80">
        <v>107</v>
      </c>
      <c r="Y322" s="80">
        <v>-10116</v>
      </c>
      <c r="Z322" s="80">
        <v>8647</v>
      </c>
      <c r="AA322" s="80">
        <v>8158</v>
      </c>
      <c r="AB322" s="80">
        <v>200</v>
      </c>
      <c r="AC322" s="80">
        <v>289</v>
      </c>
      <c r="AD322" s="80">
        <v>3583</v>
      </c>
      <c r="AE322" s="80">
        <v>-51</v>
      </c>
      <c r="AF322" s="80">
        <v>9</v>
      </c>
      <c r="AG322" s="80">
        <v>3</v>
      </c>
      <c r="AH322" s="80">
        <v>0</v>
      </c>
      <c r="AI322" s="80">
        <v>62</v>
      </c>
      <c r="AJ322" s="80">
        <v>1</v>
      </c>
      <c r="AK322" s="80">
        <v>2063</v>
      </c>
      <c r="AL322" s="80">
        <v>794</v>
      </c>
      <c r="AM322" s="80">
        <v>794</v>
      </c>
      <c r="AN322" s="80">
        <v>0</v>
      </c>
      <c r="AO322" s="80">
        <v>0</v>
      </c>
      <c r="AP322" s="80">
        <v>0</v>
      </c>
      <c r="AQ322" s="80">
        <v>0</v>
      </c>
      <c r="AR322" s="80">
        <v>1269</v>
      </c>
      <c r="AS322" s="80">
        <v>0</v>
      </c>
      <c r="AT322" s="80">
        <v>0</v>
      </c>
      <c r="AU322" s="80">
        <v>0</v>
      </c>
      <c r="AV322" s="80">
        <v>1269</v>
      </c>
      <c r="AW322" s="81"/>
      <c r="AX322" s="80">
        <v>2128</v>
      </c>
      <c r="AY322" s="80">
        <v>2063</v>
      </c>
      <c r="AZ322" s="80">
        <v>0</v>
      </c>
      <c r="BA322" s="80">
        <v>65</v>
      </c>
      <c r="BB322" s="80">
        <v>-228</v>
      </c>
      <c r="BC322" s="80">
        <v>650</v>
      </c>
      <c r="BD322" s="80">
        <v>87</v>
      </c>
      <c r="BE322" s="80">
        <v>335</v>
      </c>
      <c r="BF322" s="80">
        <v>1900</v>
      </c>
      <c r="BG322" s="80">
        <v>-482</v>
      </c>
      <c r="BH322" s="80">
        <v>0</v>
      </c>
      <c r="BI322" s="80">
        <v>0</v>
      </c>
      <c r="BJ322" s="80">
        <v>0</v>
      </c>
      <c r="BK322" s="80">
        <v>-486</v>
      </c>
      <c r="BL322" s="80">
        <v>0</v>
      </c>
      <c r="BM322" s="80">
        <v>486</v>
      </c>
      <c r="BN322" s="80">
        <v>0</v>
      </c>
      <c r="BO322" s="80">
        <v>-671</v>
      </c>
      <c r="BP322" s="80">
        <v>675</v>
      </c>
      <c r="BQ322" s="80">
        <v>2</v>
      </c>
      <c r="BR322" s="80">
        <v>0</v>
      </c>
      <c r="BS322" s="80">
        <v>237</v>
      </c>
      <c r="BT322" s="80">
        <v>436</v>
      </c>
      <c r="BU322" s="80">
        <v>1421</v>
      </c>
      <c r="BV322" s="80">
        <v>3017</v>
      </c>
      <c r="BW322" s="80">
        <v>1596</v>
      </c>
      <c r="BX322" s="81"/>
      <c r="BY322" s="80">
        <v>15102</v>
      </c>
      <c r="BZ322" s="80">
        <v>19</v>
      </c>
      <c r="CA322" s="80">
        <v>19</v>
      </c>
      <c r="CB322" s="80">
        <v>0</v>
      </c>
      <c r="CC322" s="80">
        <v>0</v>
      </c>
      <c r="CD322" s="80">
        <v>13736</v>
      </c>
      <c r="CE322" s="80">
        <v>1145</v>
      </c>
      <c r="CF322" s="80">
        <v>10616</v>
      </c>
      <c r="CG322" s="80">
        <v>1509</v>
      </c>
      <c r="CH322" s="80">
        <v>134</v>
      </c>
      <c r="CI322" s="80">
        <v>0</v>
      </c>
      <c r="CJ322" s="80">
        <v>0</v>
      </c>
      <c r="CK322" s="80">
        <v>332</v>
      </c>
      <c r="CL322" s="80">
        <v>1347</v>
      </c>
      <c r="CM322" s="80">
        <v>1347</v>
      </c>
      <c r="CN322" s="80">
        <v>862</v>
      </c>
      <c r="CO322" s="80">
        <v>485</v>
      </c>
      <c r="CP322" s="80">
        <v>0</v>
      </c>
      <c r="CQ322" s="80">
        <v>0</v>
      </c>
      <c r="CR322" s="80">
        <v>0</v>
      </c>
      <c r="CS322" s="80">
        <v>0</v>
      </c>
      <c r="CT322" s="80">
        <v>0</v>
      </c>
      <c r="CU322" s="80">
        <v>0</v>
      </c>
      <c r="CV322" s="80">
        <v>22</v>
      </c>
      <c r="CW322" s="80">
        <v>20</v>
      </c>
      <c r="CX322" s="80">
        <v>0</v>
      </c>
      <c r="CY322" s="80">
        <v>2</v>
      </c>
      <c r="CZ322" s="80">
        <v>4035</v>
      </c>
      <c r="DA322" s="80">
        <v>0</v>
      </c>
      <c r="DB322" s="80">
        <v>0</v>
      </c>
      <c r="DC322" s="80">
        <v>0</v>
      </c>
      <c r="DD322" s="80">
        <v>0</v>
      </c>
      <c r="DE322" s="80">
        <v>0</v>
      </c>
      <c r="DF322" s="80">
        <v>0</v>
      </c>
      <c r="DG322" s="80">
        <v>1018</v>
      </c>
      <c r="DH322" s="80">
        <v>525</v>
      </c>
      <c r="DI322" s="80">
        <v>0</v>
      </c>
      <c r="DJ322" s="80">
        <v>525</v>
      </c>
      <c r="DK322" s="80">
        <v>0</v>
      </c>
      <c r="DL322" s="80">
        <v>0</v>
      </c>
      <c r="DM322" s="80">
        <v>493</v>
      </c>
      <c r="DN322" s="80">
        <v>282</v>
      </c>
      <c r="DO322" s="80">
        <v>0</v>
      </c>
      <c r="DP322" s="80">
        <v>211</v>
      </c>
      <c r="DQ322" s="80">
        <v>0</v>
      </c>
      <c r="DR322" s="80">
        <v>0</v>
      </c>
      <c r="DS322" s="80">
        <v>0</v>
      </c>
      <c r="DT322" s="80">
        <v>0</v>
      </c>
      <c r="DU322" s="80">
        <v>0</v>
      </c>
      <c r="DV322" s="80">
        <v>0</v>
      </c>
      <c r="DW322" s="80">
        <v>3017</v>
      </c>
      <c r="DX322" s="80">
        <v>19159</v>
      </c>
      <c r="DY322" s="80">
        <v>9439</v>
      </c>
      <c r="DZ322" s="80">
        <v>3870</v>
      </c>
      <c r="EA322" s="80">
        <v>0</v>
      </c>
      <c r="EB322" s="80">
        <v>0</v>
      </c>
      <c r="EC322" s="80">
        <v>4298</v>
      </c>
      <c r="ED322" s="80">
        <v>1271</v>
      </c>
      <c r="EE322" s="80">
        <v>0</v>
      </c>
      <c r="EF322" s="80">
        <v>0</v>
      </c>
      <c r="EG322" s="80">
        <v>0</v>
      </c>
      <c r="EH322" s="80">
        <v>0</v>
      </c>
      <c r="EI322" s="80">
        <v>0</v>
      </c>
      <c r="EJ322" s="80">
        <v>0</v>
      </c>
      <c r="EK322" s="80">
        <v>15</v>
      </c>
      <c r="EL322" s="80">
        <v>9</v>
      </c>
      <c r="EM322" s="80">
        <v>0</v>
      </c>
      <c r="EN322" s="80">
        <v>6</v>
      </c>
      <c r="EO322" s="80">
        <v>9705</v>
      </c>
      <c r="EP322" s="80">
        <v>7603</v>
      </c>
      <c r="EQ322" s="80">
        <v>0</v>
      </c>
      <c r="ER322" s="80">
        <v>4424</v>
      </c>
      <c r="ES322" s="80">
        <v>4424</v>
      </c>
      <c r="ET322" s="80">
        <v>0</v>
      </c>
      <c r="EU322" s="80">
        <v>0</v>
      </c>
      <c r="EV322" s="80">
        <v>0</v>
      </c>
      <c r="EW322" s="80">
        <v>3146</v>
      </c>
      <c r="EX322" s="80">
        <v>0</v>
      </c>
      <c r="EY322" s="80">
        <v>0</v>
      </c>
      <c r="EZ322" s="80">
        <v>0</v>
      </c>
      <c r="FA322" s="80">
        <v>33</v>
      </c>
      <c r="FB322" s="80">
        <v>0</v>
      </c>
      <c r="FC322" s="80">
        <v>0</v>
      </c>
      <c r="FD322" s="80">
        <v>2102</v>
      </c>
      <c r="FE322" s="80">
        <v>0</v>
      </c>
      <c r="FF322" s="80">
        <v>374</v>
      </c>
      <c r="FG322" s="80">
        <v>351</v>
      </c>
      <c r="FH322" s="80">
        <v>23</v>
      </c>
      <c r="FI322" s="80">
        <v>0</v>
      </c>
      <c r="FJ322" s="80">
        <v>0</v>
      </c>
      <c r="FK322" s="80">
        <v>159</v>
      </c>
      <c r="FL322" s="80">
        <v>0</v>
      </c>
      <c r="FM322" s="80">
        <v>0</v>
      </c>
      <c r="FN322" s="80">
        <v>381</v>
      </c>
      <c r="FO322" s="80">
        <v>284</v>
      </c>
      <c r="FP322" s="80">
        <v>904</v>
      </c>
      <c r="FQ322" s="80">
        <v>19159</v>
      </c>
      <c r="FR322" s="80">
        <v>1224</v>
      </c>
      <c r="FS322" s="80">
        <v>25</v>
      </c>
      <c r="FT322" s="67"/>
      <c r="FU322" s="67"/>
      <c r="FV322" s="67"/>
      <c r="FW322" s="67"/>
      <c r="FX322" s="67"/>
      <c r="FY322" s="67"/>
      <c r="FZ322" s="67"/>
      <c r="GA322" s="67"/>
      <c r="GB322" s="67"/>
      <c r="GC322" s="67"/>
      <c r="GD322" s="67"/>
      <c r="GE322" s="67"/>
      <c r="GF322" s="67"/>
      <c r="GG322" s="67"/>
      <c r="GH322" s="67"/>
      <c r="GI322" s="67"/>
      <c r="GJ322" s="67"/>
    </row>
    <row r="323" spans="1:192" ht="13.5" customHeight="1" x14ac:dyDescent="0.2">
      <c r="A323" s="74">
        <v>170</v>
      </c>
      <c r="B323" s="75" t="s">
        <v>352</v>
      </c>
      <c r="C323" s="75" t="s">
        <v>353</v>
      </c>
      <c r="D323" s="84"/>
      <c r="E323" s="77" t="s">
        <v>325</v>
      </c>
      <c r="F323" s="78">
        <v>2</v>
      </c>
      <c r="G323" s="79">
        <v>4648</v>
      </c>
      <c r="H323" s="80">
        <v>3068</v>
      </c>
      <c r="I323" s="80">
        <v>1830</v>
      </c>
      <c r="J323" s="80">
        <v>887</v>
      </c>
      <c r="K323" s="80">
        <v>34</v>
      </c>
      <c r="L323" s="80">
        <v>317</v>
      </c>
      <c r="M323" s="80">
        <v>0</v>
      </c>
      <c r="N323" s="80">
        <v>0</v>
      </c>
      <c r="O323" s="80">
        <v>21515</v>
      </c>
      <c r="P323" s="80">
        <v>8911</v>
      </c>
      <c r="Q323" s="80">
        <v>7050</v>
      </c>
      <c r="R323" s="80">
        <v>1861</v>
      </c>
      <c r="S323" s="80">
        <v>1479</v>
      </c>
      <c r="T323" s="80">
        <v>382</v>
      </c>
      <c r="U323" s="80">
        <v>9456</v>
      </c>
      <c r="V323" s="80">
        <v>1829</v>
      </c>
      <c r="W323" s="80">
        <v>1192</v>
      </c>
      <c r="X323" s="80">
        <v>127</v>
      </c>
      <c r="Y323" s="80">
        <v>-18447</v>
      </c>
      <c r="Z323" s="80">
        <v>16782</v>
      </c>
      <c r="AA323" s="80">
        <v>15015</v>
      </c>
      <c r="AB323" s="80">
        <v>1227</v>
      </c>
      <c r="AC323" s="80">
        <v>540</v>
      </c>
      <c r="AD323" s="80">
        <v>4280</v>
      </c>
      <c r="AE323" s="80">
        <v>34</v>
      </c>
      <c r="AF323" s="80">
        <v>30</v>
      </c>
      <c r="AG323" s="80">
        <v>5</v>
      </c>
      <c r="AH323" s="80">
        <v>0</v>
      </c>
      <c r="AI323" s="80">
        <v>0</v>
      </c>
      <c r="AJ323" s="80">
        <v>1</v>
      </c>
      <c r="AK323" s="80">
        <v>2649</v>
      </c>
      <c r="AL323" s="80">
        <v>914</v>
      </c>
      <c r="AM323" s="80">
        <v>914</v>
      </c>
      <c r="AN323" s="80">
        <v>0</v>
      </c>
      <c r="AO323" s="80">
        <v>0</v>
      </c>
      <c r="AP323" s="80">
        <v>0</v>
      </c>
      <c r="AQ323" s="80">
        <v>0</v>
      </c>
      <c r="AR323" s="80">
        <v>1735</v>
      </c>
      <c r="AS323" s="80">
        <v>-1500</v>
      </c>
      <c r="AT323" s="80">
        <v>0</v>
      </c>
      <c r="AU323" s="80">
        <v>0</v>
      </c>
      <c r="AV323" s="80">
        <v>235</v>
      </c>
      <c r="AW323" s="81"/>
      <c r="AX323" s="80">
        <v>2619</v>
      </c>
      <c r="AY323" s="80">
        <v>2649</v>
      </c>
      <c r="AZ323" s="80">
        <v>0</v>
      </c>
      <c r="BA323" s="80">
        <v>-30</v>
      </c>
      <c r="BB323" s="80">
        <v>-888</v>
      </c>
      <c r="BC323" s="80">
        <v>918</v>
      </c>
      <c r="BD323" s="80">
        <v>0</v>
      </c>
      <c r="BE323" s="80">
        <v>30</v>
      </c>
      <c r="BF323" s="80">
        <v>1731</v>
      </c>
      <c r="BG323" s="80">
        <v>431</v>
      </c>
      <c r="BH323" s="80">
        <v>0</v>
      </c>
      <c r="BI323" s="80">
        <v>0</v>
      </c>
      <c r="BJ323" s="80">
        <v>0</v>
      </c>
      <c r="BK323" s="80">
        <v>0</v>
      </c>
      <c r="BL323" s="80">
        <v>0</v>
      </c>
      <c r="BM323" s="80">
        <v>0</v>
      </c>
      <c r="BN323" s="80">
        <v>0</v>
      </c>
      <c r="BO323" s="80">
        <v>0</v>
      </c>
      <c r="BP323" s="80">
        <v>431</v>
      </c>
      <c r="BQ323" s="80">
        <v>0</v>
      </c>
      <c r="BR323" s="80">
        <v>0</v>
      </c>
      <c r="BS323" s="80">
        <v>320</v>
      </c>
      <c r="BT323" s="80">
        <v>111</v>
      </c>
      <c r="BU323" s="80">
        <v>2164</v>
      </c>
      <c r="BV323" s="80">
        <v>9114</v>
      </c>
      <c r="BW323" s="80">
        <v>6950</v>
      </c>
      <c r="BX323" s="81"/>
      <c r="BY323" s="80">
        <v>17500</v>
      </c>
      <c r="BZ323" s="80">
        <v>1079</v>
      </c>
      <c r="CA323" s="80">
        <v>0</v>
      </c>
      <c r="CB323" s="80">
        <v>1079</v>
      </c>
      <c r="CC323" s="80">
        <v>0</v>
      </c>
      <c r="CD323" s="80">
        <v>15026</v>
      </c>
      <c r="CE323" s="80">
        <v>1843</v>
      </c>
      <c r="CF323" s="80">
        <v>8397</v>
      </c>
      <c r="CG323" s="80">
        <v>4225</v>
      </c>
      <c r="CH323" s="80">
        <v>308</v>
      </c>
      <c r="CI323" s="80">
        <v>0</v>
      </c>
      <c r="CJ323" s="80">
        <v>0</v>
      </c>
      <c r="CK323" s="80">
        <v>253</v>
      </c>
      <c r="CL323" s="80">
        <v>1395</v>
      </c>
      <c r="CM323" s="80">
        <v>1395</v>
      </c>
      <c r="CN323" s="80">
        <v>922</v>
      </c>
      <c r="CO323" s="80">
        <v>473</v>
      </c>
      <c r="CP323" s="80">
        <v>0</v>
      </c>
      <c r="CQ323" s="80">
        <v>0</v>
      </c>
      <c r="CR323" s="80">
        <v>0</v>
      </c>
      <c r="CS323" s="80">
        <v>0</v>
      </c>
      <c r="CT323" s="80">
        <v>0</v>
      </c>
      <c r="CU323" s="80">
        <v>0</v>
      </c>
      <c r="CV323" s="80">
        <v>1422</v>
      </c>
      <c r="CW323" s="80">
        <v>61</v>
      </c>
      <c r="CX323" s="80">
        <v>1361</v>
      </c>
      <c r="CY323" s="80">
        <v>0</v>
      </c>
      <c r="CZ323" s="80">
        <v>10280</v>
      </c>
      <c r="DA323" s="80">
        <v>0</v>
      </c>
      <c r="DB323" s="80">
        <v>0</v>
      </c>
      <c r="DC323" s="80">
        <v>0</v>
      </c>
      <c r="DD323" s="80">
        <v>0</v>
      </c>
      <c r="DE323" s="80">
        <v>0</v>
      </c>
      <c r="DF323" s="80">
        <v>0</v>
      </c>
      <c r="DG323" s="80">
        <v>1161</v>
      </c>
      <c r="DH323" s="80">
        <v>23</v>
      </c>
      <c r="DI323" s="80">
        <v>0</v>
      </c>
      <c r="DJ323" s="80">
        <v>23</v>
      </c>
      <c r="DK323" s="80">
        <v>0</v>
      </c>
      <c r="DL323" s="80">
        <v>0</v>
      </c>
      <c r="DM323" s="80">
        <v>1138</v>
      </c>
      <c r="DN323" s="80">
        <v>498</v>
      </c>
      <c r="DO323" s="80">
        <v>0</v>
      </c>
      <c r="DP323" s="80">
        <v>424</v>
      </c>
      <c r="DQ323" s="80">
        <v>216</v>
      </c>
      <c r="DR323" s="80">
        <v>5</v>
      </c>
      <c r="DS323" s="80">
        <v>0</v>
      </c>
      <c r="DT323" s="80">
        <v>5</v>
      </c>
      <c r="DU323" s="80">
        <v>0</v>
      </c>
      <c r="DV323" s="80">
        <v>0</v>
      </c>
      <c r="DW323" s="80">
        <v>9114</v>
      </c>
      <c r="DX323" s="80">
        <v>29202</v>
      </c>
      <c r="DY323" s="80">
        <v>21824</v>
      </c>
      <c r="DZ323" s="80">
        <v>5529</v>
      </c>
      <c r="EA323" s="80">
        <v>0</v>
      </c>
      <c r="EB323" s="80">
        <v>5</v>
      </c>
      <c r="EC323" s="80">
        <v>16054</v>
      </c>
      <c r="ED323" s="80">
        <v>236</v>
      </c>
      <c r="EE323" s="80">
        <v>1500</v>
      </c>
      <c r="EF323" s="80">
        <v>0</v>
      </c>
      <c r="EG323" s="80">
        <v>1500</v>
      </c>
      <c r="EH323" s="80">
        <v>0</v>
      </c>
      <c r="EI323" s="80">
        <v>0</v>
      </c>
      <c r="EJ323" s="80">
        <v>0</v>
      </c>
      <c r="EK323" s="80">
        <v>1422</v>
      </c>
      <c r="EL323" s="80">
        <v>61</v>
      </c>
      <c r="EM323" s="80">
        <v>1361</v>
      </c>
      <c r="EN323" s="80">
        <v>0</v>
      </c>
      <c r="EO323" s="80">
        <v>4456</v>
      </c>
      <c r="EP323" s="80">
        <v>1985</v>
      </c>
      <c r="EQ323" s="80">
        <v>0</v>
      </c>
      <c r="ER323" s="80">
        <v>0</v>
      </c>
      <c r="ES323" s="80">
        <v>0</v>
      </c>
      <c r="ET323" s="80">
        <v>0</v>
      </c>
      <c r="EU323" s="80">
        <v>0</v>
      </c>
      <c r="EV323" s="80">
        <v>0</v>
      </c>
      <c r="EW323" s="80">
        <v>0</v>
      </c>
      <c r="EX323" s="80">
        <v>0</v>
      </c>
      <c r="EY323" s="80">
        <v>0</v>
      </c>
      <c r="EZ323" s="80">
        <v>0</v>
      </c>
      <c r="FA323" s="80">
        <v>1985</v>
      </c>
      <c r="FB323" s="80">
        <v>0</v>
      </c>
      <c r="FC323" s="80">
        <v>0</v>
      </c>
      <c r="FD323" s="80">
        <v>2471</v>
      </c>
      <c r="FE323" s="80">
        <v>0</v>
      </c>
      <c r="FF323" s="80">
        <v>0</v>
      </c>
      <c r="FG323" s="80">
        <v>0</v>
      </c>
      <c r="FH323" s="80">
        <v>0</v>
      </c>
      <c r="FI323" s="80">
        <v>0</v>
      </c>
      <c r="FJ323" s="80">
        <v>0</v>
      </c>
      <c r="FK323" s="80">
        <v>0</v>
      </c>
      <c r="FL323" s="80">
        <v>0</v>
      </c>
      <c r="FM323" s="80">
        <v>2</v>
      </c>
      <c r="FN323" s="80">
        <v>642</v>
      </c>
      <c r="FO323" s="80">
        <v>684</v>
      </c>
      <c r="FP323" s="80">
        <v>1143</v>
      </c>
      <c r="FQ323" s="80">
        <v>29202</v>
      </c>
      <c r="FR323" s="80">
        <v>1290</v>
      </c>
      <c r="FS323" s="80">
        <v>0</v>
      </c>
      <c r="FT323" s="67"/>
      <c r="FU323" s="67"/>
      <c r="FV323" s="67"/>
      <c r="FW323" s="67"/>
      <c r="FX323" s="67"/>
      <c r="FY323" s="67"/>
      <c r="FZ323" s="67"/>
      <c r="GA323" s="67"/>
      <c r="GB323" s="67"/>
      <c r="GC323" s="67"/>
      <c r="GD323" s="67"/>
      <c r="GE323" s="67"/>
      <c r="GF323" s="67"/>
      <c r="GG323" s="67"/>
      <c r="GH323" s="67"/>
      <c r="GI323" s="67"/>
      <c r="GJ323" s="67"/>
    </row>
    <row r="324" spans="1:192" ht="13.5" customHeight="1" x14ac:dyDescent="0.2">
      <c r="A324" s="74">
        <v>478</v>
      </c>
      <c r="B324" s="75" t="s">
        <v>354</v>
      </c>
      <c r="C324" s="82" t="s">
        <v>355</v>
      </c>
      <c r="D324" s="84"/>
      <c r="E324" s="77" t="s">
        <v>325</v>
      </c>
      <c r="F324" s="78">
        <v>4</v>
      </c>
      <c r="G324" s="79">
        <v>11461</v>
      </c>
      <c r="H324" s="80">
        <v>18011</v>
      </c>
      <c r="I324" s="80">
        <v>9369</v>
      </c>
      <c r="J324" s="80">
        <v>3782</v>
      </c>
      <c r="K324" s="80">
        <v>488</v>
      </c>
      <c r="L324" s="80">
        <v>4372</v>
      </c>
      <c r="M324" s="80">
        <v>0</v>
      </c>
      <c r="N324" s="80">
        <v>303</v>
      </c>
      <c r="O324" s="80">
        <v>65538</v>
      </c>
      <c r="P324" s="80">
        <v>40459</v>
      </c>
      <c r="Q324" s="80">
        <v>32276</v>
      </c>
      <c r="R324" s="80">
        <v>8183</v>
      </c>
      <c r="S324" s="80">
        <v>7003</v>
      </c>
      <c r="T324" s="80">
        <v>1180</v>
      </c>
      <c r="U324" s="80">
        <v>12973</v>
      </c>
      <c r="V324" s="80">
        <v>7197</v>
      </c>
      <c r="W324" s="80">
        <v>3665</v>
      </c>
      <c r="X324" s="80">
        <v>1244</v>
      </c>
      <c r="Y324" s="80">
        <v>-47224</v>
      </c>
      <c r="Z324" s="80">
        <v>48020</v>
      </c>
      <c r="AA324" s="80">
        <v>41159</v>
      </c>
      <c r="AB324" s="80">
        <v>5306</v>
      </c>
      <c r="AC324" s="80">
        <v>1555</v>
      </c>
      <c r="AD324" s="80">
        <v>6622</v>
      </c>
      <c r="AE324" s="80">
        <v>771</v>
      </c>
      <c r="AF324" s="80">
        <v>1026</v>
      </c>
      <c r="AG324" s="80">
        <v>184</v>
      </c>
      <c r="AH324" s="80">
        <v>144</v>
      </c>
      <c r="AI324" s="80">
        <v>388</v>
      </c>
      <c r="AJ324" s="80">
        <v>51</v>
      </c>
      <c r="AK324" s="80">
        <v>8189</v>
      </c>
      <c r="AL324" s="80">
        <v>4596</v>
      </c>
      <c r="AM324" s="80">
        <v>4592</v>
      </c>
      <c r="AN324" s="80">
        <v>4</v>
      </c>
      <c r="AO324" s="80">
        <v>0</v>
      </c>
      <c r="AP324" s="80">
        <v>0</v>
      </c>
      <c r="AQ324" s="80">
        <v>0</v>
      </c>
      <c r="AR324" s="80">
        <v>3593</v>
      </c>
      <c r="AS324" s="80">
        <v>0</v>
      </c>
      <c r="AT324" s="80">
        <v>0</v>
      </c>
      <c r="AU324" s="80">
        <v>-1</v>
      </c>
      <c r="AV324" s="80">
        <v>3592</v>
      </c>
      <c r="AW324" s="81"/>
      <c r="AX324" s="80">
        <v>7513</v>
      </c>
      <c r="AY324" s="80">
        <v>8189</v>
      </c>
      <c r="AZ324" s="80">
        <v>0</v>
      </c>
      <c r="BA324" s="80">
        <v>-676</v>
      </c>
      <c r="BB324" s="80">
        <v>-4308</v>
      </c>
      <c r="BC324" s="80">
        <v>6785</v>
      </c>
      <c r="BD324" s="80">
        <v>733</v>
      </c>
      <c r="BE324" s="80">
        <v>1744</v>
      </c>
      <c r="BF324" s="80">
        <v>3205</v>
      </c>
      <c r="BG324" s="80">
        <v>-4752</v>
      </c>
      <c r="BH324" s="80">
        <v>11</v>
      </c>
      <c r="BI324" s="80">
        <v>0</v>
      </c>
      <c r="BJ324" s="80">
        <v>11</v>
      </c>
      <c r="BK324" s="80">
        <v>-7335</v>
      </c>
      <c r="BL324" s="80">
        <v>0</v>
      </c>
      <c r="BM324" s="80">
        <v>7335</v>
      </c>
      <c r="BN324" s="80">
        <v>0</v>
      </c>
      <c r="BO324" s="80">
        <v>-42</v>
      </c>
      <c r="BP324" s="80">
        <v>2614</v>
      </c>
      <c r="BQ324" s="80">
        <v>-18</v>
      </c>
      <c r="BR324" s="80">
        <v>0</v>
      </c>
      <c r="BS324" s="80">
        <v>3799</v>
      </c>
      <c r="BT324" s="80">
        <v>-1167</v>
      </c>
      <c r="BU324" s="80">
        <v>-1546</v>
      </c>
      <c r="BV324" s="80">
        <v>5297</v>
      </c>
      <c r="BW324" s="80">
        <v>6843</v>
      </c>
      <c r="BX324" s="81"/>
      <c r="BY324" s="80">
        <v>129001</v>
      </c>
      <c r="BZ324" s="80">
        <v>157</v>
      </c>
      <c r="CA324" s="80">
        <v>144</v>
      </c>
      <c r="CB324" s="80">
        <v>13</v>
      </c>
      <c r="CC324" s="80">
        <v>0</v>
      </c>
      <c r="CD324" s="80">
        <v>96072</v>
      </c>
      <c r="CE324" s="80">
        <v>10902</v>
      </c>
      <c r="CF324" s="80">
        <v>56870</v>
      </c>
      <c r="CG324" s="80">
        <v>21938</v>
      </c>
      <c r="CH324" s="80">
        <v>2003</v>
      </c>
      <c r="CI324" s="80">
        <v>26</v>
      </c>
      <c r="CJ324" s="80">
        <v>26</v>
      </c>
      <c r="CK324" s="80">
        <v>4333</v>
      </c>
      <c r="CL324" s="80">
        <v>32772</v>
      </c>
      <c r="CM324" s="80">
        <v>32188</v>
      </c>
      <c r="CN324" s="80">
        <v>400</v>
      </c>
      <c r="CO324" s="80">
        <v>31788</v>
      </c>
      <c r="CP324" s="80">
        <v>0</v>
      </c>
      <c r="CQ324" s="80">
        <v>0</v>
      </c>
      <c r="CR324" s="80">
        <v>0</v>
      </c>
      <c r="CS324" s="80">
        <v>0</v>
      </c>
      <c r="CT324" s="80">
        <v>0</v>
      </c>
      <c r="CU324" s="80">
        <v>584</v>
      </c>
      <c r="CV324" s="80">
        <v>231</v>
      </c>
      <c r="CW324" s="80">
        <v>188</v>
      </c>
      <c r="CX324" s="80">
        <v>43</v>
      </c>
      <c r="CY324" s="80">
        <v>0</v>
      </c>
      <c r="CZ324" s="80">
        <v>31854</v>
      </c>
      <c r="DA324" s="80">
        <v>289</v>
      </c>
      <c r="DB324" s="80">
        <v>0</v>
      </c>
      <c r="DC324" s="80">
        <v>0</v>
      </c>
      <c r="DD324" s="80">
        <v>0</v>
      </c>
      <c r="DE324" s="80">
        <v>289</v>
      </c>
      <c r="DF324" s="80">
        <v>0</v>
      </c>
      <c r="DG324" s="80">
        <v>26268</v>
      </c>
      <c r="DH324" s="80">
        <v>21197</v>
      </c>
      <c r="DI324" s="80">
        <v>0</v>
      </c>
      <c r="DJ324" s="80">
        <v>21194</v>
      </c>
      <c r="DK324" s="80">
        <v>3</v>
      </c>
      <c r="DL324" s="80">
        <v>0</v>
      </c>
      <c r="DM324" s="80">
        <v>5071</v>
      </c>
      <c r="DN324" s="80">
        <v>2945</v>
      </c>
      <c r="DO324" s="80">
        <v>921</v>
      </c>
      <c r="DP324" s="80">
        <v>988</v>
      </c>
      <c r="DQ324" s="80">
        <v>217</v>
      </c>
      <c r="DR324" s="80">
        <v>0</v>
      </c>
      <c r="DS324" s="80">
        <v>0</v>
      </c>
      <c r="DT324" s="80">
        <v>0</v>
      </c>
      <c r="DU324" s="80">
        <v>0</v>
      </c>
      <c r="DV324" s="80">
        <v>0</v>
      </c>
      <c r="DW324" s="80">
        <v>5297</v>
      </c>
      <c r="DX324" s="80">
        <v>161086</v>
      </c>
      <c r="DY324" s="80">
        <v>121482</v>
      </c>
      <c r="DZ324" s="80">
        <v>78167</v>
      </c>
      <c r="EA324" s="80">
        <v>0</v>
      </c>
      <c r="EB324" s="80">
        <v>0</v>
      </c>
      <c r="EC324" s="80">
        <v>39723</v>
      </c>
      <c r="ED324" s="80">
        <v>3592</v>
      </c>
      <c r="EE324" s="80">
        <v>0</v>
      </c>
      <c r="EF324" s="80">
        <v>0</v>
      </c>
      <c r="EG324" s="80">
        <v>0</v>
      </c>
      <c r="EH324" s="80">
        <v>0</v>
      </c>
      <c r="EI324" s="80">
        <v>0</v>
      </c>
      <c r="EJ324" s="80">
        <v>0</v>
      </c>
      <c r="EK324" s="80">
        <v>546</v>
      </c>
      <c r="EL324" s="80">
        <v>175</v>
      </c>
      <c r="EM324" s="80">
        <v>362</v>
      </c>
      <c r="EN324" s="80">
        <v>9</v>
      </c>
      <c r="EO324" s="80">
        <v>39060</v>
      </c>
      <c r="EP324" s="80">
        <v>27802</v>
      </c>
      <c r="EQ324" s="80">
        <v>0</v>
      </c>
      <c r="ER324" s="80">
        <v>16217</v>
      </c>
      <c r="ES324" s="80">
        <v>0</v>
      </c>
      <c r="ET324" s="80">
        <v>0</v>
      </c>
      <c r="EU324" s="80">
        <v>16217</v>
      </c>
      <c r="EV324" s="80">
        <v>0</v>
      </c>
      <c r="EW324" s="80">
        <v>11585</v>
      </c>
      <c r="EX324" s="80">
        <v>0</v>
      </c>
      <c r="EY324" s="80">
        <v>0</v>
      </c>
      <c r="EZ324" s="80">
        <v>0</v>
      </c>
      <c r="FA324" s="80">
        <v>0</v>
      </c>
      <c r="FB324" s="80">
        <v>0</v>
      </c>
      <c r="FC324" s="80">
        <v>0</v>
      </c>
      <c r="FD324" s="80">
        <v>11258</v>
      </c>
      <c r="FE324" s="80">
        <v>0</v>
      </c>
      <c r="FF324" s="80">
        <v>1858</v>
      </c>
      <c r="FG324" s="80">
        <v>1858</v>
      </c>
      <c r="FH324" s="80">
        <v>0</v>
      </c>
      <c r="FI324" s="80">
        <v>0</v>
      </c>
      <c r="FJ324" s="80">
        <v>0</v>
      </c>
      <c r="FK324" s="80">
        <v>1244</v>
      </c>
      <c r="FL324" s="80">
        <v>0</v>
      </c>
      <c r="FM324" s="80">
        <v>160</v>
      </c>
      <c r="FN324" s="80">
        <v>2243</v>
      </c>
      <c r="FO324" s="80">
        <v>1473</v>
      </c>
      <c r="FP324" s="80">
        <v>4280</v>
      </c>
      <c r="FQ324" s="80">
        <v>161088</v>
      </c>
      <c r="FR324" s="80">
        <v>18163</v>
      </c>
      <c r="FS324" s="80">
        <v>115</v>
      </c>
      <c r="FT324" s="67"/>
      <c r="FU324" s="67"/>
      <c r="FV324" s="67"/>
      <c r="FW324" s="67"/>
      <c r="FX324" s="67"/>
      <c r="FY324" s="67"/>
      <c r="FZ324" s="67"/>
      <c r="GA324" s="67"/>
      <c r="GB324" s="67"/>
      <c r="GC324" s="67"/>
      <c r="GD324" s="67"/>
      <c r="GE324" s="67"/>
      <c r="GF324" s="67"/>
      <c r="GG324" s="67"/>
      <c r="GH324" s="67"/>
      <c r="GI324" s="67"/>
      <c r="GJ324" s="67"/>
    </row>
    <row r="325" spans="1:192" ht="13.5" customHeight="1" x14ac:dyDescent="0.2">
      <c r="A325" s="85"/>
      <c r="B325" s="86"/>
      <c r="C325" s="87"/>
      <c r="D325" s="44"/>
      <c r="E325" s="88"/>
      <c r="F325" s="89"/>
      <c r="G325" s="79"/>
    </row>
    <row r="326" spans="1:192" ht="13.5" customHeight="1" x14ac:dyDescent="0.2">
      <c r="A326" s="63"/>
      <c r="B326" s="43"/>
      <c r="C326" s="90"/>
      <c r="D326" s="91"/>
      <c r="E326" s="92"/>
      <c r="F326" s="93"/>
      <c r="G326" s="79"/>
    </row>
    <row r="327" spans="1:192" x14ac:dyDescent="0.2">
      <c r="B327" s="40" t="s">
        <v>356</v>
      </c>
    </row>
    <row r="328" spans="1:192" ht="13.5" customHeight="1" x14ac:dyDescent="0.2">
      <c r="A328" s="63">
        <v>1</v>
      </c>
      <c r="B328" s="43" t="s">
        <v>357</v>
      </c>
      <c r="C328" s="1" t="s">
        <v>358</v>
      </c>
      <c r="D328" s="43"/>
      <c r="E328" s="94">
        <f>SUMIF($E$11:$E$324,$A328,E$11:E$324)</f>
        <v>0</v>
      </c>
      <c r="F328" s="94"/>
      <c r="G328" s="54">
        <v>1620261</v>
      </c>
      <c r="H328" s="54">
        <v>2191643</v>
      </c>
      <c r="I328" s="54">
        <v>656106</v>
      </c>
      <c r="J328" s="54">
        <v>591970</v>
      </c>
      <c r="K328" s="54">
        <v>259991</v>
      </c>
      <c r="L328" s="54">
        <v>683576</v>
      </c>
      <c r="M328" s="54">
        <v>0</v>
      </c>
      <c r="N328" s="54">
        <v>341488</v>
      </c>
      <c r="O328" s="54">
        <v>10483769</v>
      </c>
      <c r="P328" s="54">
        <v>4248122</v>
      </c>
      <c r="Q328" s="54">
        <v>3225576</v>
      </c>
      <c r="R328" s="54">
        <v>1022546</v>
      </c>
      <c r="S328" s="54">
        <v>836936</v>
      </c>
      <c r="T328" s="54">
        <v>185610</v>
      </c>
      <c r="U328" s="54">
        <v>4481128</v>
      </c>
      <c r="V328" s="54">
        <v>470961</v>
      </c>
      <c r="W328" s="54">
        <v>902118</v>
      </c>
      <c r="X328" s="54">
        <v>381440</v>
      </c>
      <c r="Y328" s="54">
        <v>-7950638</v>
      </c>
      <c r="Z328" s="54">
        <v>7567087</v>
      </c>
      <c r="AA328" s="54">
        <v>6343375</v>
      </c>
      <c r="AB328" s="54">
        <v>694051</v>
      </c>
      <c r="AC328" s="54">
        <v>529661</v>
      </c>
      <c r="AD328" s="54">
        <v>924492</v>
      </c>
      <c r="AE328" s="54">
        <v>151022</v>
      </c>
      <c r="AF328" s="54">
        <v>123054</v>
      </c>
      <c r="AG328" s="54">
        <v>102907</v>
      </c>
      <c r="AH328" s="54">
        <v>43365</v>
      </c>
      <c r="AI328" s="54">
        <v>47517</v>
      </c>
      <c r="AJ328" s="54">
        <v>27422</v>
      </c>
      <c r="AK328" s="54">
        <v>691963</v>
      </c>
      <c r="AL328" s="54">
        <v>787656</v>
      </c>
      <c r="AM328" s="54">
        <v>726486</v>
      </c>
      <c r="AN328" s="54">
        <v>61170</v>
      </c>
      <c r="AO328" s="54">
        <v>148589</v>
      </c>
      <c r="AP328" s="54">
        <v>149377</v>
      </c>
      <c r="AQ328" s="54">
        <v>788</v>
      </c>
      <c r="AR328" s="54">
        <v>52896</v>
      </c>
      <c r="AS328" s="54">
        <v>-28122</v>
      </c>
      <c r="AT328" s="54">
        <v>-7631</v>
      </c>
      <c r="AU328" s="54">
        <v>50408</v>
      </c>
      <c r="AV328" s="54">
        <v>67551</v>
      </c>
      <c r="AW328" s="54"/>
      <c r="AX328" s="54">
        <v>555094</v>
      </c>
      <c r="AY328" s="54">
        <v>691963</v>
      </c>
      <c r="AZ328" s="54">
        <v>148588</v>
      </c>
      <c r="BA328" s="54">
        <v>-285457</v>
      </c>
      <c r="BB328" s="54">
        <v>-969716</v>
      </c>
      <c r="BC328" s="54">
        <v>1353170</v>
      </c>
      <c r="BD328" s="54">
        <v>66187</v>
      </c>
      <c r="BE328" s="54">
        <v>317267</v>
      </c>
      <c r="BF328" s="54">
        <v>-414622</v>
      </c>
      <c r="BG328" s="54">
        <v>357513</v>
      </c>
      <c r="BH328" s="54">
        <v>-3574</v>
      </c>
      <c r="BI328" s="54">
        <v>111270</v>
      </c>
      <c r="BJ328" s="54">
        <v>107696</v>
      </c>
      <c r="BK328" s="54">
        <v>331332</v>
      </c>
      <c r="BL328" s="54">
        <v>695122</v>
      </c>
      <c r="BM328" s="54">
        <v>424677</v>
      </c>
      <c r="BN328" s="54">
        <v>60887</v>
      </c>
      <c r="BO328" s="54">
        <v>10535</v>
      </c>
      <c r="BP328" s="54">
        <v>19220</v>
      </c>
      <c r="BQ328" s="54">
        <v>-14701</v>
      </c>
      <c r="BR328" s="54">
        <v>-11804</v>
      </c>
      <c r="BS328" s="54">
        <v>-18994</v>
      </c>
      <c r="BT328" s="54">
        <v>64719</v>
      </c>
      <c r="BU328" s="54">
        <v>-57110</v>
      </c>
      <c r="BV328" s="54">
        <v>1967874</v>
      </c>
      <c r="BW328" s="54">
        <v>2024984</v>
      </c>
      <c r="BX328" s="54"/>
      <c r="BY328" s="54">
        <v>19676897</v>
      </c>
      <c r="BZ328" s="54">
        <v>307422</v>
      </c>
      <c r="CA328" s="54">
        <v>41894</v>
      </c>
      <c r="CB328" s="54">
        <v>264464</v>
      </c>
      <c r="CC328" s="54">
        <v>1064</v>
      </c>
      <c r="CD328" s="54">
        <v>12111324</v>
      </c>
      <c r="CE328" s="54">
        <v>4193346</v>
      </c>
      <c r="CF328" s="54">
        <v>4031532</v>
      </c>
      <c r="CG328" s="54">
        <v>3122439</v>
      </c>
      <c r="CH328" s="54">
        <v>244023</v>
      </c>
      <c r="CI328" s="54">
        <v>14958</v>
      </c>
      <c r="CJ328" s="54">
        <v>14513</v>
      </c>
      <c r="CK328" s="54">
        <v>505026</v>
      </c>
      <c r="CL328" s="54">
        <v>7258151</v>
      </c>
      <c r="CM328" s="54">
        <v>4472412</v>
      </c>
      <c r="CN328" s="54">
        <v>1032751</v>
      </c>
      <c r="CO328" s="54">
        <v>3439661</v>
      </c>
      <c r="CP328" s="54">
        <v>0</v>
      </c>
      <c r="CQ328" s="54">
        <v>2777142</v>
      </c>
      <c r="CR328" s="54">
        <v>0</v>
      </c>
      <c r="CS328" s="54">
        <v>1188540</v>
      </c>
      <c r="CT328" s="54">
        <v>1588602</v>
      </c>
      <c r="CU328" s="54">
        <v>8597</v>
      </c>
      <c r="CV328" s="54">
        <v>622363</v>
      </c>
      <c r="CW328" s="54">
        <v>154650</v>
      </c>
      <c r="CX328" s="54">
        <v>25139</v>
      </c>
      <c r="CY328" s="54">
        <v>442574</v>
      </c>
      <c r="CZ328" s="54">
        <v>2652399</v>
      </c>
      <c r="DA328" s="54">
        <v>59162</v>
      </c>
      <c r="DB328" s="54">
        <v>14168</v>
      </c>
      <c r="DC328" s="54">
        <v>5675</v>
      </c>
      <c r="DD328" s="54">
        <v>872</v>
      </c>
      <c r="DE328" s="54">
        <v>38428</v>
      </c>
      <c r="DF328" s="54">
        <v>19</v>
      </c>
      <c r="DG328" s="54">
        <v>625183</v>
      </c>
      <c r="DH328" s="54">
        <v>112577</v>
      </c>
      <c r="DI328" s="54">
        <v>482</v>
      </c>
      <c r="DJ328" s="54">
        <v>36606</v>
      </c>
      <c r="DK328" s="54">
        <v>32974</v>
      </c>
      <c r="DL328" s="54">
        <v>42515</v>
      </c>
      <c r="DM328" s="54">
        <v>512606</v>
      </c>
      <c r="DN328" s="54">
        <v>176541</v>
      </c>
      <c r="DO328" s="54">
        <v>22079</v>
      </c>
      <c r="DP328" s="54">
        <v>121574</v>
      </c>
      <c r="DQ328" s="54">
        <v>192412</v>
      </c>
      <c r="DR328" s="54">
        <v>1037326</v>
      </c>
      <c r="DS328" s="54">
        <v>4129</v>
      </c>
      <c r="DT328" s="54">
        <v>475189</v>
      </c>
      <c r="DU328" s="54">
        <v>46412</v>
      </c>
      <c r="DV328" s="54">
        <v>511596</v>
      </c>
      <c r="DW328" s="54">
        <v>930728</v>
      </c>
      <c r="DX328" s="54">
        <v>22951659</v>
      </c>
      <c r="DY328" s="54">
        <v>15530444</v>
      </c>
      <c r="DZ328" s="54">
        <v>6052465</v>
      </c>
      <c r="EA328" s="54">
        <v>1811911</v>
      </c>
      <c r="EB328" s="54">
        <v>1911977</v>
      </c>
      <c r="EC328" s="54">
        <v>5686543</v>
      </c>
      <c r="ED328" s="54">
        <v>67548</v>
      </c>
      <c r="EE328" s="54">
        <v>348774</v>
      </c>
      <c r="EF328" s="54">
        <v>293548</v>
      </c>
      <c r="EG328" s="54">
        <v>55226</v>
      </c>
      <c r="EH328" s="54">
        <v>160200</v>
      </c>
      <c r="EI328" s="54">
        <v>139173</v>
      </c>
      <c r="EJ328" s="54">
        <v>21027</v>
      </c>
      <c r="EK328" s="54">
        <v>609538</v>
      </c>
      <c r="EL328" s="54">
        <v>155817</v>
      </c>
      <c r="EM328" s="54">
        <v>32285</v>
      </c>
      <c r="EN328" s="54">
        <v>421436</v>
      </c>
      <c r="EO328" s="54">
        <v>6302708</v>
      </c>
      <c r="EP328" s="54">
        <v>3588677</v>
      </c>
      <c r="EQ328" s="54">
        <v>241567</v>
      </c>
      <c r="ER328" s="54">
        <v>3186510</v>
      </c>
      <c r="ES328" s="54">
        <v>235669</v>
      </c>
      <c r="ET328" s="54">
        <v>1649061</v>
      </c>
      <c r="EU328" s="54">
        <v>6501</v>
      </c>
      <c r="EV328" s="54">
        <v>1295279</v>
      </c>
      <c r="EW328" s="54">
        <v>22639</v>
      </c>
      <c r="EX328" s="54">
        <v>7438</v>
      </c>
      <c r="EY328" s="54">
        <v>27019</v>
      </c>
      <c r="EZ328" s="54">
        <v>1162</v>
      </c>
      <c r="FA328" s="54">
        <v>88995</v>
      </c>
      <c r="FB328" s="54">
        <v>6</v>
      </c>
      <c r="FC328" s="54">
        <v>13347</v>
      </c>
      <c r="FD328" s="54">
        <v>2714031</v>
      </c>
      <c r="FE328" s="54">
        <v>90733</v>
      </c>
      <c r="FF328" s="54">
        <v>835239</v>
      </c>
      <c r="FG328" s="54">
        <v>233621</v>
      </c>
      <c r="FH328" s="54">
        <v>500264</v>
      </c>
      <c r="FI328" s="54">
        <v>5673</v>
      </c>
      <c r="FJ328" s="54">
        <v>95681</v>
      </c>
      <c r="FK328" s="54">
        <v>7318</v>
      </c>
      <c r="FL328" s="54">
        <v>184591</v>
      </c>
      <c r="FM328" s="54">
        <v>148654</v>
      </c>
      <c r="FN328" s="54">
        <v>407298</v>
      </c>
      <c r="FO328" s="54">
        <v>236010</v>
      </c>
      <c r="FP328" s="54">
        <v>804188</v>
      </c>
      <c r="FQ328" s="54">
        <v>22951664</v>
      </c>
      <c r="FR328" s="54">
        <v>2392064</v>
      </c>
      <c r="FS328" s="54">
        <v>437340</v>
      </c>
      <c r="FT328" s="54"/>
    </row>
    <row r="329" spans="1:192" ht="13.5" customHeight="1" x14ac:dyDescent="0.2">
      <c r="A329" s="63">
        <v>2</v>
      </c>
      <c r="B329" s="43" t="s">
        <v>359</v>
      </c>
      <c r="C329" s="1" t="s">
        <v>360</v>
      </c>
      <c r="D329" s="43"/>
      <c r="E329" s="94">
        <f t="shared" ref="E329:E346" si="28">SUMIF($E$11:$E$324,$A329,E$11:E$324)</f>
        <v>0</v>
      </c>
      <c r="F329" s="94"/>
      <c r="G329" s="54">
        <v>474323</v>
      </c>
      <c r="H329" s="54">
        <v>648599</v>
      </c>
      <c r="I329" s="54">
        <v>292895</v>
      </c>
      <c r="J329" s="54">
        <v>155482</v>
      </c>
      <c r="K329" s="54">
        <v>68939</v>
      </c>
      <c r="L329" s="54">
        <v>131283</v>
      </c>
      <c r="M329" s="54">
        <v>0</v>
      </c>
      <c r="N329" s="54">
        <v>4936</v>
      </c>
      <c r="O329" s="54">
        <v>3078842</v>
      </c>
      <c r="P329" s="54">
        <v>1295656</v>
      </c>
      <c r="Q329" s="54">
        <v>989433</v>
      </c>
      <c r="R329" s="54">
        <v>306223</v>
      </c>
      <c r="S329" s="54">
        <v>249405</v>
      </c>
      <c r="T329" s="54">
        <v>56818</v>
      </c>
      <c r="U329" s="54">
        <v>1338628</v>
      </c>
      <c r="V329" s="54">
        <v>173796</v>
      </c>
      <c r="W329" s="54">
        <v>196689</v>
      </c>
      <c r="X329" s="54">
        <v>74073</v>
      </c>
      <c r="Y329" s="54">
        <v>-2425307</v>
      </c>
      <c r="Z329" s="54">
        <v>1805813</v>
      </c>
      <c r="AA329" s="54">
        <v>1538003</v>
      </c>
      <c r="AB329" s="54">
        <v>141101</v>
      </c>
      <c r="AC329" s="54">
        <v>126709</v>
      </c>
      <c r="AD329" s="54">
        <v>740175</v>
      </c>
      <c r="AE329" s="54">
        <v>26006</v>
      </c>
      <c r="AF329" s="54">
        <v>18261</v>
      </c>
      <c r="AG329" s="54">
        <v>28771</v>
      </c>
      <c r="AH329" s="54">
        <v>20536</v>
      </c>
      <c r="AI329" s="54">
        <v>16057</v>
      </c>
      <c r="AJ329" s="54">
        <v>4969</v>
      </c>
      <c r="AK329" s="54">
        <v>146687</v>
      </c>
      <c r="AL329" s="54">
        <v>145288</v>
      </c>
      <c r="AM329" s="54">
        <v>144551</v>
      </c>
      <c r="AN329" s="54">
        <v>737</v>
      </c>
      <c r="AO329" s="54">
        <v>102390</v>
      </c>
      <c r="AP329" s="54">
        <v>103074</v>
      </c>
      <c r="AQ329" s="54">
        <v>684</v>
      </c>
      <c r="AR329" s="54">
        <v>103789</v>
      </c>
      <c r="AS329" s="54">
        <v>2989</v>
      </c>
      <c r="AT329" s="54">
        <v>964</v>
      </c>
      <c r="AU329" s="54">
        <v>25</v>
      </c>
      <c r="AV329" s="54">
        <v>107767</v>
      </c>
      <c r="AW329" s="54"/>
      <c r="AX329" s="54">
        <v>118913</v>
      </c>
      <c r="AY329" s="54">
        <v>146687</v>
      </c>
      <c r="AZ329" s="54">
        <v>102390</v>
      </c>
      <c r="BA329" s="54">
        <v>-130164</v>
      </c>
      <c r="BB329" s="54">
        <v>14694</v>
      </c>
      <c r="BC329" s="54">
        <v>193680</v>
      </c>
      <c r="BD329" s="54">
        <v>9260</v>
      </c>
      <c r="BE329" s="54">
        <v>199114</v>
      </c>
      <c r="BF329" s="54">
        <v>133607</v>
      </c>
      <c r="BG329" s="54">
        <v>-101235</v>
      </c>
      <c r="BH329" s="54">
        <v>-160952</v>
      </c>
      <c r="BI329" s="54">
        <v>165218</v>
      </c>
      <c r="BJ329" s="54">
        <v>4266</v>
      </c>
      <c r="BK329" s="54">
        <v>69609</v>
      </c>
      <c r="BL329" s="54">
        <v>135604</v>
      </c>
      <c r="BM329" s="54">
        <v>117516</v>
      </c>
      <c r="BN329" s="54">
        <v>51521</v>
      </c>
      <c r="BO329" s="54">
        <v>-8</v>
      </c>
      <c r="BP329" s="54">
        <v>-9884</v>
      </c>
      <c r="BQ329" s="54">
        <v>-1978</v>
      </c>
      <c r="BR329" s="54">
        <v>-78</v>
      </c>
      <c r="BS329" s="54">
        <v>771</v>
      </c>
      <c r="BT329" s="54">
        <v>-8599</v>
      </c>
      <c r="BU329" s="54">
        <v>32369</v>
      </c>
      <c r="BV329" s="54">
        <v>263036</v>
      </c>
      <c r="BW329" s="54">
        <v>230667</v>
      </c>
      <c r="BX329" s="54"/>
      <c r="BY329" s="54">
        <v>3256754</v>
      </c>
      <c r="BZ329" s="54">
        <v>24308</v>
      </c>
      <c r="CA329" s="54">
        <v>5967</v>
      </c>
      <c r="CB329" s="54">
        <v>11859</v>
      </c>
      <c r="CC329" s="54">
        <v>6482</v>
      </c>
      <c r="CD329" s="54">
        <v>2236670</v>
      </c>
      <c r="CE329" s="54">
        <v>411890</v>
      </c>
      <c r="CF329" s="54">
        <v>973611</v>
      </c>
      <c r="CG329" s="54">
        <v>771598</v>
      </c>
      <c r="CH329" s="54">
        <v>26503</v>
      </c>
      <c r="CI329" s="54">
        <v>4338</v>
      </c>
      <c r="CJ329" s="54">
        <v>4196</v>
      </c>
      <c r="CK329" s="54">
        <v>48730</v>
      </c>
      <c r="CL329" s="54">
        <v>995776</v>
      </c>
      <c r="CM329" s="54">
        <v>470838</v>
      </c>
      <c r="CN329" s="54">
        <v>199866</v>
      </c>
      <c r="CO329" s="54">
        <v>270972</v>
      </c>
      <c r="CP329" s="54">
        <v>0</v>
      </c>
      <c r="CQ329" s="54">
        <v>522763</v>
      </c>
      <c r="CR329" s="54">
        <v>0</v>
      </c>
      <c r="CS329" s="54">
        <v>0</v>
      </c>
      <c r="CT329" s="54">
        <v>522763</v>
      </c>
      <c r="CU329" s="54">
        <v>2175</v>
      </c>
      <c r="CV329" s="54">
        <v>59696</v>
      </c>
      <c r="CW329" s="54">
        <v>34669</v>
      </c>
      <c r="CX329" s="54">
        <v>23870</v>
      </c>
      <c r="CY329" s="54">
        <v>1157</v>
      </c>
      <c r="CZ329" s="54">
        <v>438456</v>
      </c>
      <c r="DA329" s="54">
        <v>4969</v>
      </c>
      <c r="DB329" s="54">
        <v>2665</v>
      </c>
      <c r="DC329" s="54">
        <v>1810</v>
      </c>
      <c r="DD329" s="54">
        <v>292</v>
      </c>
      <c r="DE329" s="54">
        <v>198</v>
      </c>
      <c r="DF329" s="54">
        <v>4</v>
      </c>
      <c r="DG329" s="54">
        <v>170450</v>
      </c>
      <c r="DH329" s="54">
        <v>22067</v>
      </c>
      <c r="DI329" s="54">
        <v>1056</v>
      </c>
      <c r="DJ329" s="54">
        <v>13569</v>
      </c>
      <c r="DK329" s="54">
        <v>7210</v>
      </c>
      <c r="DL329" s="54">
        <v>232</v>
      </c>
      <c r="DM329" s="54">
        <v>148383</v>
      </c>
      <c r="DN329" s="54">
        <v>63605</v>
      </c>
      <c r="DO329" s="54">
        <v>26792</v>
      </c>
      <c r="DP329" s="54">
        <v>21699</v>
      </c>
      <c r="DQ329" s="54">
        <v>36287</v>
      </c>
      <c r="DR329" s="54">
        <v>119575</v>
      </c>
      <c r="DS329" s="54">
        <v>28522</v>
      </c>
      <c r="DT329" s="54">
        <v>6213</v>
      </c>
      <c r="DU329" s="54">
        <v>81391</v>
      </c>
      <c r="DV329" s="54">
        <v>3449</v>
      </c>
      <c r="DW329" s="54">
        <v>143462</v>
      </c>
      <c r="DX329" s="54">
        <v>3754906</v>
      </c>
      <c r="DY329" s="54">
        <v>1915195</v>
      </c>
      <c r="DZ329" s="54">
        <v>1495914</v>
      </c>
      <c r="EA329" s="54">
        <v>1538</v>
      </c>
      <c r="EB329" s="54">
        <v>25855</v>
      </c>
      <c r="EC329" s="54">
        <v>284123</v>
      </c>
      <c r="ED329" s="54">
        <v>107765</v>
      </c>
      <c r="EE329" s="54">
        <v>87125</v>
      </c>
      <c r="EF329" s="54">
        <v>71767</v>
      </c>
      <c r="EG329" s="54">
        <v>15358</v>
      </c>
      <c r="EH329" s="54">
        <v>13450</v>
      </c>
      <c r="EI329" s="54">
        <v>7051</v>
      </c>
      <c r="EJ329" s="54">
        <v>6399</v>
      </c>
      <c r="EK329" s="54">
        <v>65602</v>
      </c>
      <c r="EL329" s="54">
        <v>35208</v>
      </c>
      <c r="EM329" s="54">
        <v>27660</v>
      </c>
      <c r="EN329" s="54">
        <v>2734</v>
      </c>
      <c r="EO329" s="54">
        <v>1673537</v>
      </c>
      <c r="EP329" s="54">
        <v>819394</v>
      </c>
      <c r="EQ329" s="54">
        <v>170000</v>
      </c>
      <c r="ER329" s="54">
        <v>560739</v>
      </c>
      <c r="ES329" s="54">
        <v>52079</v>
      </c>
      <c r="ET329" s="54">
        <v>376947</v>
      </c>
      <c r="EU329" s="54">
        <v>11713</v>
      </c>
      <c r="EV329" s="54">
        <v>120000</v>
      </c>
      <c r="EW329" s="54">
        <v>12010</v>
      </c>
      <c r="EX329" s="54">
        <v>93</v>
      </c>
      <c r="EY329" s="54">
        <v>805</v>
      </c>
      <c r="EZ329" s="54">
        <v>94</v>
      </c>
      <c r="FA329" s="54">
        <v>74771</v>
      </c>
      <c r="FB329" s="54">
        <v>0</v>
      </c>
      <c r="FC329" s="54">
        <v>882</v>
      </c>
      <c r="FD329" s="54">
        <v>854143</v>
      </c>
      <c r="FE329" s="54">
        <v>0</v>
      </c>
      <c r="FF329" s="54">
        <v>359931</v>
      </c>
      <c r="FG329" s="54">
        <v>115454</v>
      </c>
      <c r="FH329" s="54">
        <v>226073</v>
      </c>
      <c r="FI329" s="54">
        <v>18404</v>
      </c>
      <c r="FJ329" s="54">
        <v>0</v>
      </c>
      <c r="FK329" s="54">
        <v>2929</v>
      </c>
      <c r="FL329" s="54">
        <v>127321</v>
      </c>
      <c r="FM329" s="54">
        <v>6597</v>
      </c>
      <c r="FN329" s="54">
        <v>108227</v>
      </c>
      <c r="FO329" s="54">
        <v>41506</v>
      </c>
      <c r="FP329" s="54">
        <v>207632</v>
      </c>
      <c r="FQ329" s="54">
        <v>3754909</v>
      </c>
      <c r="FR329" s="54">
        <v>327909</v>
      </c>
      <c r="FS329" s="54">
        <v>110132</v>
      </c>
      <c r="FT329" s="54"/>
    </row>
    <row r="330" spans="1:192" ht="13.5" customHeight="1" x14ac:dyDescent="0.2">
      <c r="A330" s="63">
        <v>4</v>
      </c>
      <c r="B330" s="43" t="s">
        <v>361</v>
      </c>
      <c r="C330" s="1" t="s">
        <v>362</v>
      </c>
      <c r="D330" s="43"/>
      <c r="E330" s="94">
        <f t="shared" si="28"/>
        <v>0</v>
      </c>
      <c r="F330" s="94"/>
      <c r="G330" s="54">
        <v>222957</v>
      </c>
      <c r="H330" s="54">
        <v>331428</v>
      </c>
      <c r="I330" s="54">
        <v>174185</v>
      </c>
      <c r="J330" s="54">
        <v>71508</v>
      </c>
      <c r="K330" s="54">
        <v>30677</v>
      </c>
      <c r="L330" s="54">
        <v>55058</v>
      </c>
      <c r="M330" s="54">
        <v>0</v>
      </c>
      <c r="N330" s="54">
        <v>40367</v>
      </c>
      <c r="O330" s="54">
        <v>1549607</v>
      </c>
      <c r="P330" s="54">
        <v>639601</v>
      </c>
      <c r="Q330" s="54">
        <v>484432</v>
      </c>
      <c r="R330" s="54">
        <v>155169</v>
      </c>
      <c r="S330" s="54">
        <v>127236</v>
      </c>
      <c r="T330" s="54">
        <v>27933</v>
      </c>
      <c r="U330" s="54">
        <v>684482</v>
      </c>
      <c r="V330" s="54">
        <v>106510</v>
      </c>
      <c r="W330" s="54">
        <v>72112</v>
      </c>
      <c r="X330" s="54">
        <v>46902</v>
      </c>
      <c r="Y330" s="54">
        <v>-1177812</v>
      </c>
      <c r="Z330" s="54">
        <v>828455</v>
      </c>
      <c r="AA330" s="54">
        <v>698683</v>
      </c>
      <c r="AB330" s="54">
        <v>63516</v>
      </c>
      <c r="AC330" s="54">
        <v>66256</v>
      </c>
      <c r="AD330" s="54">
        <v>391274</v>
      </c>
      <c r="AE330" s="54">
        <v>14579</v>
      </c>
      <c r="AF330" s="54">
        <v>10164</v>
      </c>
      <c r="AG330" s="54">
        <v>10907</v>
      </c>
      <c r="AH330" s="54">
        <v>1989</v>
      </c>
      <c r="AI330" s="54">
        <v>4516</v>
      </c>
      <c r="AJ330" s="54">
        <v>1976</v>
      </c>
      <c r="AK330" s="54">
        <v>56496</v>
      </c>
      <c r="AL330" s="54">
        <v>75561</v>
      </c>
      <c r="AM330" s="54">
        <v>75480</v>
      </c>
      <c r="AN330" s="54">
        <v>81</v>
      </c>
      <c r="AO330" s="54">
        <v>-4367</v>
      </c>
      <c r="AP330" s="54">
        <v>0</v>
      </c>
      <c r="AQ330" s="54">
        <v>4367</v>
      </c>
      <c r="AR330" s="54">
        <v>-23432</v>
      </c>
      <c r="AS330" s="54">
        <v>198</v>
      </c>
      <c r="AT330" s="54">
        <v>4</v>
      </c>
      <c r="AU330" s="54">
        <v>588</v>
      </c>
      <c r="AV330" s="54">
        <v>-22642</v>
      </c>
      <c r="AW330" s="54"/>
      <c r="AX330" s="54">
        <v>49541</v>
      </c>
      <c r="AY330" s="54">
        <v>56496</v>
      </c>
      <c r="AZ330" s="54">
        <v>-4368</v>
      </c>
      <c r="BA330" s="54">
        <v>-2587</v>
      </c>
      <c r="BB330" s="54">
        <v>-104541</v>
      </c>
      <c r="BC330" s="54">
        <v>123071</v>
      </c>
      <c r="BD330" s="54">
        <v>5531</v>
      </c>
      <c r="BE330" s="54">
        <v>12999</v>
      </c>
      <c r="BF330" s="54">
        <v>-55000</v>
      </c>
      <c r="BG330" s="54">
        <v>7263</v>
      </c>
      <c r="BH330" s="54">
        <v>-11091</v>
      </c>
      <c r="BI330" s="54">
        <v>13314</v>
      </c>
      <c r="BJ330" s="54">
        <v>2223</v>
      </c>
      <c r="BK330" s="54">
        <v>18368</v>
      </c>
      <c r="BL330" s="54">
        <v>79489</v>
      </c>
      <c r="BM330" s="54">
        <v>61065</v>
      </c>
      <c r="BN330" s="54">
        <v>-56</v>
      </c>
      <c r="BO330" s="54">
        <v>-1</v>
      </c>
      <c r="BP330" s="54">
        <v>-13</v>
      </c>
      <c r="BQ330" s="54">
        <v>9069</v>
      </c>
      <c r="BR330" s="54">
        <v>238</v>
      </c>
      <c r="BS330" s="54">
        <v>5981</v>
      </c>
      <c r="BT330" s="54">
        <v>-15301</v>
      </c>
      <c r="BU330" s="54">
        <v>-47728</v>
      </c>
      <c r="BV330" s="54">
        <v>87098</v>
      </c>
      <c r="BW330" s="54">
        <v>134826</v>
      </c>
      <c r="BX330" s="54"/>
      <c r="BY330" s="54">
        <v>1681712</v>
      </c>
      <c r="BZ330" s="54">
        <v>17456</v>
      </c>
      <c r="CA330" s="54">
        <v>1896</v>
      </c>
      <c r="CB330" s="54">
        <v>15110</v>
      </c>
      <c r="CC330" s="54">
        <v>450</v>
      </c>
      <c r="CD330" s="54">
        <v>1001756</v>
      </c>
      <c r="CE330" s="54">
        <v>180037</v>
      </c>
      <c r="CF330" s="54">
        <v>466351</v>
      </c>
      <c r="CG330" s="54">
        <v>288712</v>
      </c>
      <c r="CH330" s="54">
        <v>18950</v>
      </c>
      <c r="CI330" s="54">
        <v>627</v>
      </c>
      <c r="CJ330" s="54">
        <v>93</v>
      </c>
      <c r="CK330" s="54">
        <v>47079</v>
      </c>
      <c r="CL330" s="54">
        <v>662500</v>
      </c>
      <c r="CM330" s="54">
        <v>472145</v>
      </c>
      <c r="CN330" s="54">
        <v>112538</v>
      </c>
      <c r="CO330" s="54">
        <v>359607</v>
      </c>
      <c r="CP330" s="54">
        <v>0</v>
      </c>
      <c r="CQ330" s="54">
        <v>188255</v>
      </c>
      <c r="CR330" s="54">
        <v>6</v>
      </c>
      <c r="CS330" s="54">
        <v>1183</v>
      </c>
      <c r="CT330" s="54">
        <v>187066</v>
      </c>
      <c r="CU330" s="54">
        <v>2100</v>
      </c>
      <c r="CV330" s="54">
        <v>9070</v>
      </c>
      <c r="CW330" s="54">
        <v>4405</v>
      </c>
      <c r="CX330" s="54">
        <v>4476</v>
      </c>
      <c r="CY330" s="54">
        <v>189</v>
      </c>
      <c r="CZ330" s="54">
        <v>164373</v>
      </c>
      <c r="DA330" s="54">
        <v>2374</v>
      </c>
      <c r="DB330" s="54">
        <v>1982</v>
      </c>
      <c r="DC330" s="54">
        <v>0</v>
      </c>
      <c r="DD330" s="54">
        <v>345</v>
      </c>
      <c r="DE330" s="54">
        <v>47</v>
      </c>
      <c r="DF330" s="54">
        <v>0</v>
      </c>
      <c r="DG330" s="54">
        <v>74902</v>
      </c>
      <c r="DH330" s="54">
        <v>5717</v>
      </c>
      <c r="DI330" s="54">
        <v>0</v>
      </c>
      <c r="DJ330" s="54">
        <v>3049</v>
      </c>
      <c r="DK330" s="54">
        <v>2515</v>
      </c>
      <c r="DL330" s="54">
        <v>153</v>
      </c>
      <c r="DM330" s="54">
        <v>69185</v>
      </c>
      <c r="DN330" s="54">
        <v>30496</v>
      </c>
      <c r="DO330" s="54">
        <v>1961</v>
      </c>
      <c r="DP330" s="54">
        <v>7856</v>
      </c>
      <c r="DQ330" s="54">
        <v>28872</v>
      </c>
      <c r="DR330" s="54">
        <v>24396</v>
      </c>
      <c r="DS330" s="54">
        <v>896</v>
      </c>
      <c r="DT330" s="54">
        <v>12143</v>
      </c>
      <c r="DU330" s="54">
        <v>10407</v>
      </c>
      <c r="DV330" s="54">
        <v>950</v>
      </c>
      <c r="DW330" s="54">
        <v>62701</v>
      </c>
      <c r="DX330" s="54">
        <v>1855155</v>
      </c>
      <c r="DY330" s="54">
        <v>1156925</v>
      </c>
      <c r="DZ330" s="54">
        <v>832704</v>
      </c>
      <c r="EA330" s="54">
        <v>16572</v>
      </c>
      <c r="EB330" s="54">
        <v>25037</v>
      </c>
      <c r="EC330" s="54">
        <v>305253</v>
      </c>
      <c r="ED330" s="54">
        <v>-22641</v>
      </c>
      <c r="EE330" s="54">
        <v>4059</v>
      </c>
      <c r="EF330" s="54">
        <v>3237</v>
      </c>
      <c r="EG330" s="54">
        <v>822</v>
      </c>
      <c r="EH330" s="54">
        <v>7154</v>
      </c>
      <c r="EI330" s="54">
        <v>530</v>
      </c>
      <c r="EJ330" s="54">
        <v>6624</v>
      </c>
      <c r="EK330" s="54">
        <v>52404</v>
      </c>
      <c r="EL330" s="54">
        <v>4223</v>
      </c>
      <c r="EM330" s="54">
        <v>8498</v>
      </c>
      <c r="EN330" s="54">
        <v>39683</v>
      </c>
      <c r="EO330" s="54">
        <v>634614</v>
      </c>
      <c r="EP330" s="54">
        <v>351242</v>
      </c>
      <c r="EQ330" s="54">
        <v>3120</v>
      </c>
      <c r="ER330" s="54">
        <v>292361</v>
      </c>
      <c r="ES330" s="54">
        <v>78815</v>
      </c>
      <c r="ET330" s="54">
        <v>212676</v>
      </c>
      <c r="EU330" s="54">
        <v>870</v>
      </c>
      <c r="EV330" s="54">
        <v>0</v>
      </c>
      <c r="EW330" s="54">
        <v>30772</v>
      </c>
      <c r="EX330" s="54">
        <v>2777</v>
      </c>
      <c r="EY330" s="54">
        <v>2622</v>
      </c>
      <c r="EZ330" s="54">
        <v>0</v>
      </c>
      <c r="FA330" s="54">
        <v>19590</v>
      </c>
      <c r="FB330" s="54">
        <v>44</v>
      </c>
      <c r="FC330" s="54">
        <v>0</v>
      </c>
      <c r="FD330" s="54">
        <v>283372</v>
      </c>
      <c r="FE330" s="54">
        <v>0</v>
      </c>
      <c r="FF330" s="54">
        <v>80238</v>
      </c>
      <c r="FG330" s="54">
        <v>28293</v>
      </c>
      <c r="FH330" s="54">
        <v>51788</v>
      </c>
      <c r="FI330" s="54">
        <v>157</v>
      </c>
      <c r="FJ330" s="54">
        <v>0</v>
      </c>
      <c r="FK330" s="54">
        <v>8245</v>
      </c>
      <c r="FL330" s="54">
        <v>585</v>
      </c>
      <c r="FM330" s="54">
        <v>1102</v>
      </c>
      <c r="FN330" s="54">
        <v>84260</v>
      </c>
      <c r="FO330" s="54">
        <v>12288</v>
      </c>
      <c r="FP330" s="54">
        <v>96654</v>
      </c>
      <c r="FQ330" s="54">
        <v>1855156</v>
      </c>
      <c r="FR330" s="54">
        <v>216386</v>
      </c>
      <c r="FS330" s="54">
        <v>35027</v>
      </c>
      <c r="FT330" s="54"/>
    </row>
    <row r="331" spans="1:192" ht="13.5" customHeight="1" x14ac:dyDescent="0.2">
      <c r="A331" s="63">
        <v>5</v>
      </c>
      <c r="B331" s="43" t="s">
        <v>363</v>
      </c>
      <c r="C331" s="1" t="s">
        <v>364</v>
      </c>
      <c r="D331" s="43"/>
      <c r="E331" s="94">
        <f t="shared" si="28"/>
        <v>0</v>
      </c>
      <c r="F331" s="95"/>
      <c r="G331" s="54">
        <v>174710</v>
      </c>
      <c r="H331" s="54">
        <v>191626</v>
      </c>
      <c r="I331" s="54">
        <v>72529</v>
      </c>
      <c r="J331" s="54">
        <v>47416</v>
      </c>
      <c r="K331" s="54">
        <v>24262</v>
      </c>
      <c r="L331" s="54">
        <v>47419</v>
      </c>
      <c r="M331" s="54">
        <v>0</v>
      </c>
      <c r="N331" s="54">
        <v>5647</v>
      </c>
      <c r="O331" s="54">
        <v>1075700</v>
      </c>
      <c r="P331" s="54">
        <v>384228</v>
      </c>
      <c r="Q331" s="54">
        <v>291161</v>
      </c>
      <c r="R331" s="54">
        <v>93067</v>
      </c>
      <c r="S331" s="54">
        <v>76345</v>
      </c>
      <c r="T331" s="54">
        <v>16722</v>
      </c>
      <c r="U331" s="54">
        <v>544475</v>
      </c>
      <c r="V331" s="54">
        <v>47006</v>
      </c>
      <c r="W331" s="54">
        <v>70977</v>
      </c>
      <c r="X331" s="54">
        <v>29014</v>
      </c>
      <c r="Y331" s="54">
        <v>-878427</v>
      </c>
      <c r="Z331" s="54">
        <v>674906</v>
      </c>
      <c r="AA331" s="54">
        <v>589406</v>
      </c>
      <c r="AB331" s="54">
        <v>37544</v>
      </c>
      <c r="AC331" s="54">
        <v>47956</v>
      </c>
      <c r="AD331" s="54">
        <v>257034</v>
      </c>
      <c r="AE331" s="54">
        <v>2680</v>
      </c>
      <c r="AF331" s="54">
        <v>2759</v>
      </c>
      <c r="AG331" s="54">
        <v>9111</v>
      </c>
      <c r="AH331" s="54">
        <v>1638</v>
      </c>
      <c r="AI331" s="54">
        <v>7542</v>
      </c>
      <c r="AJ331" s="54">
        <v>1648</v>
      </c>
      <c r="AK331" s="54">
        <v>56193</v>
      </c>
      <c r="AL331" s="54">
        <v>47240</v>
      </c>
      <c r="AM331" s="54">
        <v>46840</v>
      </c>
      <c r="AN331" s="54">
        <v>400</v>
      </c>
      <c r="AO331" s="54">
        <v>2000</v>
      </c>
      <c r="AP331" s="54">
        <v>2000</v>
      </c>
      <c r="AQ331" s="54">
        <v>0</v>
      </c>
      <c r="AR331" s="54">
        <v>10953</v>
      </c>
      <c r="AS331" s="54">
        <v>658</v>
      </c>
      <c r="AT331" s="54">
        <v>-231</v>
      </c>
      <c r="AU331" s="54">
        <v>-426</v>
      </c>
      <c r="AV331" s="54">
        <v>10954</v>
      </c>
      <c r="AW331" s="54"/>
      <c r="AX331" s="54">
        <v>64272</v>
      </c>
      <c r="AY331" s="54">
        <v>56193</v>
      </c>
      <c r="AZ331" s="54">
        <v>2000</v>
      </c>
      <c r="BA331" s="54">
        <v>6079</v>
      </c>
      <c r="BB331" s="54">
        <v>-54101</v>
      </c>
      <c r="BC331" s="54">
        <v>77933</v>
      </c>
      <c r="BD331" s="54">
        <v>4657</v>
      </c>
      <c r="BE331" s="54">
        <v>19175</v>
      </c>
      <c r="BF331" s="54">
        <v>10171</v>
      </c>
      <c r="BG331" s="54">
        <v>1387</v>
      </c>
      <c r="BH331" s="54">
        <v>452</v>
      </c>
      <c r="BI331" s="54">
        <v>100</v>
      </c>
      <c r="BJ331" s="54">
        <v>552</v>
      </c>
      <c r="BK331" s="54">
        <v>19648</v>
      </c>
      <c r="BL331" s="54">
        <v>108800</v>
      </c>
      <c r="BM331" s="54">
        <v>89037</v>
      </c>
      <c r="BN331" s="54">
        <v>-115</v>
      </c>
      <c r="BO331" s="54">
        <v>-18973</v>
      </c>
      <c r="BP331" s="54">
        <v>260</v>
      </c>
      <c r="BQ331" s="54">
        <v>755</v>
      </c>
      <c r="BR331" s="54">
        <v>22027</v>
      </c>
      <c r="BS331" s="54">
        <v>-3065</v>
      </c>
      <c r="BT331" s="54">
        <v>-19457</v>
      </c>
      <c r="BU331" s="54">
        <v>11561</v>
      </c>
      <c r="BV331" s="54">
        <v>133544</v>
      </c>
      <c r="BW331" s="54">
        <v>121983</v>
      </c>
      <c r="BX331" s="54"/>
      <c r="BY331" s="54">
        <v>1191188</v>
      </c>
      <c r="BZ331" s="54">
        <v>8321</v>
      </c>
      <c r="CA331" s="54">
        <v>761</v>
      </c>
      <c r="CB331" s="54">
        <v>7560</v>
      </c>
      <c r="CC331" s="54">
        <v>0</v>
      </c>
      <c r="CD331" s="54">
        <v>761186</v>
      </c>
      <c r="CE331" s="54">
        <v>136083</v>
      </c>
      <c r="CF331" s="54">
        <v>411812</v>
      </c>
      <c r="CG331" s="54">
        <v>165028</v>
      </c>
      <c r="CH331" s="54">
        <v>13276</v>
      </c>
      <c r="CI331" s="54">
        <v>1128</v>
      </c>
      <c r="CJ331" s="54">
        <v>1128</v>
      </c>
      <c r="CK331" s="54">
        <v>33859</v>
      </c>
      <c r="CL331" s="54">
        <v>421681</v>
      </c>
      <c r="CM331" s="54">
        <v>368389</v>
      </c>
      <c r="CN331" s="54">
        <v>131612</v>
      </c>
      <c r="CO331" s="54">
        <v>236777</v>
      </c>
      <c r="CP331" s="54">
        <v>0</v>
      </c>
      <c r="CQ331" s="54">
        <v>52265</v>
      </c>
      <c r="CR331" s="54">
        <v>0</v>
      </c>
      <c r="CS331" s="54">
        <v>735</v>
      </c>
      <c r="CT331" s="54">
        <v>51530</v>
      </c>
      <c r="CU331" s="54">
        <v>1027</v>
      </c>
      <c r="CV331" s="54">
        <v>699</v>
      </c>
      <c r="CW331" s="54">
        <v>32</v>
      </c>
      <c r="CX331" s="54">
        <v>664</v>
      </c>
      <c r="CY331" s="54">
        <v>3</v>
      </c>
      <c r="CZ331" s="54">
        <v>189968</v>
      </c>
      <c r="DA331" s="54">
        <v>1718</v>
      </c>
      <c r="DB331" s="54">
        <v>1623</v>
      </c>
      <c r="DC331" s="54">
        <v>40</v>
      </c>
      <c r="DD331" s="54">
        <v>55</v>
      </c>
      <c r="DE331" s="54">
        <v>0</v>
      </c>
      <c r="DF331" s="54">
        <v>0</v>
      </c>
      <c r="DG331" s="54">
        <v>54707</v>
      </c>
      <c r="DH331" s="54">
        <v>13627</v>
      </c>
      <c r="DI331" s="54">
        <v>2180</v>
      </c>
      <c r="DJ331" s="54">
        <v>1873</v>
      </c>
      <c r="DK331" s="54">
        <v>3961</v>
      </c>
      <c r="DL331" s="54">
        <v>5613</v>
      </c>
      <c r="DM331" s="54">
        <v>41080</v>
      </c>
      <c r="DN331" s="54">
        <v>16632</v>
      </c>
      <c r="DO331" s="54">
        <v>1799</v>
      </c>
      <c r="DP331" s="54">
        <v>10552</v>
      </c>
      <c r="DQ331" s="54">
        <v>12097</v>
      </c>
      <c r="DR331" s="54">
        <v>89341</v>
      </c>
      <c r="DS331" s="54">
        <v>467</v>
      </c>
      <c r="DT331" s="54">
        <v>168</v>
      </c>
      <c r="DU331" s="54">
        <v>2257</v>
      </c>
      <c r="DV331" s="54">
        <v>86449</v>
      </c>
      <c r="DW331" s="54">
        <v>44202</v>
      </c>
      <c r="DX331" s="54">
        <v>1381855</v>
      </c>
      <c r="DY331" s="54">
        <v>683020</v>
      </c>
      <c r="DZ331" s="54">
        <v>544692</v>
      </c>
      <c r="EA331" s="54">
        <v>63</v>
      </c>
      <c r="EB331" s="54">
        <v>78298</v>
      </c>
      <c r="EC331" s="54">
        <v>49010</v>
      </c>
      <c r="ED331" s="54">
        <v>10957</v>
      </c>
      <c r="EE331" s="54">
        <v>22345</v>
      </c>
      <c r="EF331" s="54">
        <v>17629</v>
      </c>
      <c r="EG331" s="54">
        <v>4716</v>
      </c>
      <c r="EH331" s="54">
        <v>37775</v>
      </c>
      <c r="EI331" s="54">
        <v>834</v>
      </c>
      <c r="EJ331" s="54">
        <v>36941</v>
      </c>
      <c r="EK331" s="54">
        <v>3268</v>
      </c>
      <c r="EL331" s="54">
        <v>32</v>
      </c>
      <c r="EM331" s="54">
        <v>1629</v>
      </c>
      <c r="EN331" s="54">
        <v>1607</v>
      </c>
      <c r="EO331" s="54">
        <v>635446</v>
      </c>
      <c r="EP331" s="54">
        <v>380143</v>
      </c>
      <c r="EQ331" s="54">
        <v>0</v>
      </c>
      <c r="ER331" s="54">
        <v>357597</v>
      </c>
      <c r="ES331" s="54">
        <v>136032</v>
      </c>
      <c r="ET331" s="54">
        <v>218365</v>
      </c>
      <c r="EU331" s="54">
        <v>3200</v>
      </c>
      <c r="EV331" s="54">
        <v>0</v>
      </c>
      <c r="EW331" s="54">
        <v>4960</v>
      </c>
      <c r="EX331" s="54">
        <v>135</v>
      </c>
      <c r="EY331" s="54">
        <v>79</v>
      </c>
      <c r="EZ331" s="54">
        <v>488</v>
      </c>
      <c r="FA331" s="54">
        <v>8036</v>
      </c>
      <c r="FB331" s="54">
        <v>0</v>
      </c>
      <c r="FC331" s="54">
        <v>8848</v>
      </c>
      <c r="FD331" s="54">
        <v>255303</v>
      </c>
      <c r="FE331" s="54">
        <v>5000</v>
      </c>
      <c r="FF331" s="54">
        <v>103520</v>
      </c>
      <c r="FG331" s="54">
        <v>32574</v>
      </c>
      <c r="FH331" s="54">
        <v>70946</v>
      </c>
      <c r="FI331" s="54">
        <v>0</v>
      </c>
      <c r="FJ331" s="54">
        <v>0</v>
      </c>
      <c r="FK331" s="54">
        <v>15619</v>
      </c>
      <c r="FL331" s="54">
        <v>28995</v>
      </c>
      <c r="FM331" s="54">
        <v>2341</v>
      </c>
      <c r="FN331" s="54">
        <v>34011</v>
      </c>
      <c r="FO331" s="54">
        <v>6966</v>
      </c>
      <c r="FP331" s="54">
        <v>58851</v>
      </c>
      <c r="FQ331" s="54">
        <v>1381854</v>
      </c>
      <c r="FR331" s="54">
        <v>272910</v>
      </c>
      <c r="FS331" s="54">
        <v>39385</v>
      </c>
      <c r="FT331" s="54"/>
    </row>
    <row r="332" spans="1:192" ht="13.5" customHeight="1" x14ac:dyDescent="0.2">
      <c r="A332" s="63">
        <v>6</v>
      </c>
      <c r="B332" s="43" t="s">
        <v>365</v>
      </c>
      <c r="C332" s="1" t="s">
        <v>366</v>
      </c>
      <c r="D332" s="43"/>
      <c r="E332" s="94">
        <f t="shared" si="28"/>
        <v>0</v>
      </c>
      <c r="F332" s="95"/>
      <c r="G332" s="54">
        <v>506114</v>
      </c>
      <c r="H332" s="54">
        <v>781121</v>
      </c>
      <c r="I332" s="54">
        <v>393295</v>
      </c>
      <c r="J332" s="54">
        <v>181452</v>
      </c>
      <c r="K332" s="54">
        <v>80037</v>
      </c>
      <c r="L332" s="54">
        <v>126337</v>
      </c>
      <c r="M332" s="54">
        <v>86</v>
      </c>
      <c r="N332" s="54">
        <v>29979</v>
      </c>
      <c r="O332" s="54">
        <v>3344360</v>
      </c>
      <c r="P332" s="54">
        <v>1437403</v>
      </c>
      <c r="Q332" s="54">
        <v>1098481</v>
      </c>
      <c r="R332" s="54">
        <v>338922</v>
      </c>
      <c r="S332" s="54">
        <v>276050</v>
      </c>
      <c r="T332" s="54">
        <v>62872</v>
      </c>
      <c r="U332" s="54">
        <v>1376762</v>
      </c>
      <c r="V332" s="54">
        <v>192120</v>
      </c>
      <c r="W332" s="54">
        <v>247068</v>
      </c>
      <c r="X332" s="54">
        <v>91007</v>
      </c>
      <c r="Y332" s="54">
        <v>-2533174</v>
      </c>
      <c r="Z332" s="54">
        <v>1918132</v>
      </c>
      <c r="AA332" s="54">
        <v>1683884</v>
      </c>
      <c r="AB332" s="54">
        <v>111006</v>
      </c>
      <c r="AC332" s="54">
        <v>123242</v>
      </c>
      <c r="AD332" s="54">
        <v>777011</v>
      </c>
      <c r="AE332" s="54">
        <v>2720</v>
      </c>
      <c r="AF332" s="54">
        <v>8012</v>
      </c>
      <c r="AG332" s="54">
        <v>25154</v>
      </c>
      <c r="AH332" s="54">
        <v>7098</v>
      </c>
      <c r="AI332" s="54">
        <v>16376</v>
      </c>
      <c r="AJ332" s="54">
        <v>14070</v>
      </c>
      <c r="AK332" s="54">
        <v>164689</v>
      </c>
      <c r="AL332" s="54">
        <v>201687</v>
      </c>
      <c r="AM332" s="54">
        <v>197099</v>
      </c>
      <c r="AN332" s="54">
        <v>4588</v>
      </c>
      <c r="AO332" s="54">
        <v>-4167</v>
      </c>
      <c r="AP332" s="54">
        <v>1404</v>
      </c>
      <c r="AQ332" s="54">
        <v>5571</v>
      </c>
      <c r="AR332" s="54">
        <v>-41165</v>
      </c>
      <c r="AS332" s="54">
        <v>3024</v>
      </c>
      <c r="AT332" s="54">
        <v>-3165</v>
      </c>
      <c r="AU332" s="54">
        <v>271</v>
      </c>
      <c r="AV332" s="54">
        <v>-41035</v>
      </c>
      <c r="AW332" s="54"/>
      <c r="AX332" s="54">
        <v>126537</v>
      </c>
      <c r="AY332" s="54">
        <v>164689</v>
      </c>
      <c r="AZ332" s="54">
        <v>-4167</v>
      </c>
      <c r="BA332" s="54">
        <v>-33985</v>
      </c>
      <c r="BB332" s="54">
        <v>-312974</v>
      </c>
      <c r="BC332" s="54">
        <v>378150</v>
      </c>
      <c r="BD332" s="54">
        <v>16001</v>
      </c>
      <c r="BE332" s="54">
        <v>49175</v>
      </c>
      <c r="BF332" s="54">
        <v>-186437</v>
      </c>
      <c r="BG332" s="54">
        <v>54850</v>
      </c>
      <c r="BH332" s="54">
        <v>-513</v>
      </c>
      <c r="BI332" s="54">
        <v>2463</v>
      </c>
      <c r="BJ332" s="54">
        <v>1950</v>
      </c>
      <c r="BK332" s="54">
        <v>87986</v>
      </c>
      <c r="BL332" s="54">
        <v>155517</v>
      </c>
      <c r="BM332" s="54">
        <v>105867</v>
      </c>
      <c r="BN332" s="54">
        <v>38336</v>
      </c>
      <c r="BO332" s="54">
        <v>-182</v>
      </c>
      <c r="BP332" s="54">
        <v>-32441</v>
      </c>
      <c r="BQ332" s="54">
        <v>430</v>
      </c>
      <c r="BR332" s="54">
        <v>-171</v>
      </c>
      <c r="BS332" s="54">
        <v>-44630</v>
      </c>
      <c r="BT332" s="54">
        <v>11930</v>
      </c>
      <c r="BU332" s="54">
        <v>-131584</v>
      </c>
      <c r="BV332" s="54">
        <v>252817</v>
      </c>
      <c r="BW332" s="54">
        <v>384401</v>
      </c>
      <c r="BX332" s="54"/>
      <c r="BY332" s="54">
        <v>3362622</v>
      </c>
      <c r="BZ332" s="54">
        <v>108245</v>
      </c>
      <c r="CA332" s="54">
        <v>4789</v>
      </c>
      <c r="CB332" s="54">
        <v>103275</v>
      </c>
      <c r="CC332" s="54">
        <v>181</v>
      </c>
      <c r="CD332" s="54">
        <v>2509872</v>
      </c>
      <c r="CE332" s="54">
        <v>394113</v>
      </c>
      <c r="CF332" s="54">
        <v>1145434</v>
      </c>
      <c r="CG332" s="54">
        <v>719637</v>
      </c>
      <c r="CH332" s="54">
        <v>56548</v>
      </c>
      <c r="CI332" s="54">
        <v>5606</v>
      </c>
      <c r="CJ332" s="54">
        <v>5043</v>
      </c>
      <c r="CK332" s="54">
        <v>188534</v>
      </c>
      <c r="CL332" s="54">
        <v>744505</v>
      </c>
      <c r="CM332" s="54">
        <v>588496</v>
      </c>
      <c r="CN332" s="54">
        <v>182414</v>
      </c>
      <c r="CO332" s="54">
        <v>406082</v>
      </c>
      <c r="CP332" s="54">
        <v>0</v>
      </c>
      <c r="CQ332" s="54">
        <v>151742</v>
      </c>
      <c r="CR332" s="54">
        <v>0</v>
      </c>
      <c r="CS332" s="54">
        <v>45</v>
      </c>
      <c r="CT332" s="54">
        <v>151697</v>
      </c>
      <c r="CU332" s="54">
        <v>4267</v>
      </c>
      <c r="CV332" s="54">
        <v>10982</v>
      </c>
      <c r="CW332" s="54">
        <v>843</v>
      </c>
      <c r="CX332" s="54">
        <v>9142</v>
      </c>
      <c r="CY332" s="54">
        <v>997</v>
      </c>
      <c r="CZ332" s="54">
        <v>516053</v>
      </c>
      <c r="DA332" s="54">
        <v>5164</v>
      </c>
      <c r="DB332" s="54">
        <v>4938</v>
      </c>
      <c r="DC332" s="54">
        <v>91</v>
      </c>
      <c r="DD332" s="54">
        <v>95</v>
      </c>
      <c r="DE332" s="54">
        <v>40</v>
      </c>
      <c r="DF332" s="54">
        <v>0</v>
      </c>
      <c r="DG332" s="54">
        <v>258069</v>
      </c>
      <c r="DH332" s="54">
        <v>41604</v>
      </c>
      <c r="DI332" s="54">
        <v>8612</v>
      </c>
      <c r="DJ332" s="54">
        <v>5464</v>
      </c>
      <c r="DK332" s="54">
        <v>21527</v>
      </c>
      <c r="DL332" s="54">
        <v>6001</v>
      </c>
      <c r="DM332" s="54">
        <v>216465</v>
      </c>
      <c r="DN332" s="54">
        <v>70160</v>
      </c>
      <c r="DO332" s="54">
        <v>40711</v>
      </c>
      <c r="DP332" s="54">
        <v>56429</v>
      </c>
      <c r="DQ332" s="54">
        <v>49165</v>
      </c>
      <c r="DR332" s="54">
        <v>82031</v>
      </c>
      <c r="DS332" s="54">
        <v>28424</v>
      </c>
      <c r="DT332" s="54">
        <v>14964</v>
      </c>
      <c r="DU332" s="54">
        <v>13807</v>
      </c>
      <c r="DV332" s="54">
        <v>24836</v>
      </c>
      <c r="DW332" s="54">
        <v>170789</v>
      </c>
      <c r="DX332" s="54">
        <v>3889657</v>
      </c>
      <c r="DY332" s="54">
        <v>2144398</v>
      </c>
      <c r="DZ332" s="54">
        <v>1349240</v>
      </c>
      <c r="EA332" s="54">
        <v>3485</v>
      </c>
      <c r="EB332" s="54">
        <v>35763</v>
      </c>
      <c r="EC332" s="54">
        <v>796942</v>
      </c>
      <c r="ED332" s="54">
        <v>-41032</v>
      </c>
      <c r="EE332" s="54">
        <v>68997</v>
      </c>
      <c r="EF332" s="54">
        <v>35790</v>
      </c>
      <c r="EG332" s="54">
        <v>33207</v>
      </c>
      <c r="EH332" s="54">
        <v>17789</v>
      </c>
      <c r="EI332" s="54">
        <v>4285</v>
      </c>
      <c r="EJ332" s="54">
        <v>13504</v>
      </c>
      <c r="EK332" s="54">
        <v>26993</v>
      </c>
      <c r="EL332" s="54">
        <v>1002</v>
      </c>
      <c r="EM332" s="54">
        <v>21868</v>
      </c>
      <c r="EN332" s="54">
        <v>4123</v>
      </c>
      <c r="EO332" s="54">
        <v>1631480</v>
      </c>
      <c r="EP332" s="54">
        <v>808080</v>
      </c>
      <c r="EQ332" s="54">
        <v>0</v>
      </c>
      <c r="ER332" s="54">
        <v>721198</v>
      </c>
      <c r="ES332" s="54">
        <v>78532</v>
      </c>
      <c r="ET332" s="54">
        <v>569096</v>
      </c>
      <c r="EU332" s="54">
        <v>32070</v>
      </c>
      <c r="EV332" s="54">
        <v>41500</v>
      </c>
      <c r="EW332" s="54">
        <v>7156</v>
      </c>
      <c r="EX332" s="54">
        <v>0</v>
      </c>
      <c r="EY332" s="54">
        <v>10832</v>
      </c>
      <c r="EZ332" s="54">
        <v>6</v>
      </c>
      <c r="FA332" s="54">
        <v>48983</v>
      </c>
      <c r="FB332" s="54">
        <v>11</v>
      </c>
      <c r="FC332" s="54">
        <v>19905</v>
      </c>
      <c r="FD332" s="54">
        <v>823400</v>
      </c>
      <c r="FE332" s="54">
        <v>0</v>
      </c>
      <c r="FF332" s="54">
        <v>192564</v>
      </c>
      <c r="FG332" s="54">
        <v>13093</v>
      </c>
      <c r="FH332" s="54">
        <v>152097</v>
      </c>
      <c r="FI332" s="54">
        <v>20620</v>
      </c>
      <c r="FJ332" s="54">
        <v>6754</v>
      </c>
      <c r="FK332" s="54">
        <v>3690</v>
      </c>
      <c r="FL332" s="54">
        <v>189386</v>
      </c>
      <c r="FM332" s="54">
        <v>1817</v>
      </c>
      <c r="FN332" s="54">
        <v>137362</v>
      </c>
      <c r="FO332" s="54">
        <v>51863</v>
      </c>
      <c r="FP332" s="54">
        <v>246718</v>
      </c>
      <c r="FQ332" s="54">
        <v>3889657</v>
      </c>
      <c r="FR332" s="54">
        <v>544035</v>
      </c>
      <c r="FS332" s="54">
        <v>106532</v>
      </c>
      <c r="FT332" s="54"/>
    </row>
    <row r="333" spans="1:192" ht="13.5" customHeight="1" x14ac:dyDescent="0.2">
      <c r="A333" s="63">
        <v>7</v>
      </c>
      <c r="B333" s="43" t="s">
        <v>367</v>
      </c>
      <c r="C333" s="1" t="s">
        <v>368</v>
      </c>
      <c r="D333" s="43"/>
      <c r="E333" s="94">
        <f t="shared" si="28"/>
        <v>0</v>
      </c>
      <c r="F333" s="95"/>
      <c r="G333" s="54">
        <v>201615</v>
      </c>
      <c r="H333" s="54">
        <v>286974</v>
      </c>
      <c r="I333" s="54">
        <v>139265</v>
      </c>
      <c r="J333" s="54">
        <v>63682</v>
      </c>
      <c r="K333" s="54">
        <v>27850</v>
      </c>
      <c r="L333" s="54">
        <v>56177</v>
      </c>
      <c r="M333" s="54">
        <v>0</v>
      </c>
      <c r="N333" s="54">
        <v>1184</v>
      </c>
      <c r="O333" s="54">
        <v>1318978</v>
      </c>
      <c r="P333" s="54">
        <v>489884</v>
      </c>
      <c r="Q333" s="54">
        <v>368078</v>
      </c>
      <c r="R333" s="54">
        <v>121806</v>
      </c>
      <c r="S333" s="54">
        <v>100147</v>
      </c>
      <c r="T333" s="54">
        <v>21659</v>
      </c>
      <c r="U333" s="54">
        <v>648260</v>
      </c>
      <c r="V333" s="54">
        <v>52298</v>
      </c>
      <c r="W333" s="54">
        <v>85230</v>
      </c>
      <c r="X333" s="54">
        <v>43306</v>
      </c>
      <c r="Y333" s="54">
        <v>-1030820</v>
      </c>
      <c r="Z333" s="54">
        <v>741642</v>
      </c>
      <c r="AA333" s="54">
        <v>639900</v>
      </c>
      <c r="AB333" s="54">
        <v>41370</v>
      </c>
      <c r="AC333" s="54">
        <v>60372</v>
      </c>
      <c r="AD333" s="54">
        <v>335741</v>
      </c>
      <c r="AE333" s="54">
        <v>11168</v>
      </c>
      <c r="AF333" s="54">
        <v>9928</v>
      </c>
      <c r="AG333" s="54">
        <v>21726</v>
      </c>
      <c r="AH333" s="54">
        <v>15873</v>
      </c>
      <c r="AI333" s="54">
        <v>16879</v>
      </c>
      <c r="AJ333" s="54">
        <v>3607</v>
      </c>
      <c r="AK333" s="54">
        <v>57731</v>
      </c>
      <c r="AL333" s="54">
        <v>69339</v>
      </c>
      <c r="AM333" s="54">
        <v>69022</v>
      </c>
      <c r="AN333" s="54">
        <v>317</v>
      </c>
      <c r="AO333" s="54">
        <v>10301</v>
      </c>
      <c r="AP333" s="54">
        <v>10301</v>
      </c>
      <c r="AQ333" s="54">
        <v>0</v>
      </c>
      <c r="AR333" s="54">
        <v>-1307</v>
      </c>
      <c r="AS333" s="54">
        <v>-1017</v>
      </c>
      <c r="AT333" s="54">
        <v>-521</v>
      </c>
      <c r="AU333" s="54">
        <v>1806</v>
      </c>
      <c r="AV333" s="54">
        <v>-1039</v>
      </c>
      <c r="AW333" s="54"/>
      <c r="AX333" s="54">
        <v>65613</v>
      </c>
      <c r="AY333" s="54">
        <v>57731</v>
      </c>
      <c r="AZ333" s="54">
        <v>10301</v>
      </c>
      <c r="BA333" s="54">
        <v>-2419</v>
      </c>
      <c r="BB333" s="54">
        <v>-119063</v>
      </c>
      <c r="BC333" s="54">
        <v>139421</v>
      </c>
      <c r="BD333" s="54">
        <v>8056</v>
      </c>
      <c r="BE333" s="54">
        <v>12302</v>
      </c>
      <c r="BF333" s="54">
        <v>-53450</v>
      </c>
      <c r="BG333" s="54">
        <v>68175</v>
      </c>
      <c r="BH333" s="54">
        <v>-31339</v>
      </c>
      <c r="BI333" s="54">
        <v>76521</v>
      </c>
      <c r="BJ333" s="54">
        <v>45182</v>
      </c>
      <c r="BK333" s="54">
        <v>84077</v>
      </c>
      <c r="BL333" s="54">
        <v>178235</v>
      </c>
      <c r="BM333" s="54">
        <v>87404</v>
      </c>
      <c r="BN333" s="54">
        <v>-6754</v>
      </c>
      <c r="BO333" s="54">
        <v>0</v>
      </c>
      <c r="BP333" s="54">
        <v>15437</v>
      </c>
      <c r="BQ333" s="54">
        <v>1791</v>
      </c>
      <c r="BR333" s="54">
        <v>174</v>
      </c>
      <c r="BS333" s="54">
        <v>7549</v>
      </c>
      <c r="BT333" s="54">
        <v>5923</v>
      </c>
      <c r="BU333" s="54">
        <v>14726</v>
      </c>
      <c r="BV333" s="54">
        <v>212946</v>
      </c>
      <c r="BW333" s="54">
        <v>198220</v>
      </c>
      <c r="BX333" s="54"/>
      <c r="BY333" s="54">
        <v>1707136</v>
      </c>
      <c r="BZ333" s="54">
        <v>9615</v>
      </c>
      <c r="CA333" s="54">
        <v>1353</v>
      </c>
      <c r="CB333" s="54">
        <v>8150</v>
      </c>
      <c r="CC333" s="54">
        <v>112</v>
      </c>
      <c r="CD333" s="54">
        <v>975467</v>
      </c>
      <c r="CE333" s="54">
        <v>197753</v>
      </c>
      <c r="CF333" s="54">
        <v>466429</v>
      </c>
      <c r="CG333" s="54">
        <v>268091</v>
      </c>
      <c r="CH333" s="54">
        <v>15057</v>
      </c>
      <c r="CI333" s="54">
        <v>567</v>
      </c>
      <c r="CJ333" s="54">
        <v>483</v>
      </c>
      <c r="CK333" s="54">
        <v>27570</v>
      </c>
      <c r="CL333" s="54">
        <v>722054</v>
      </c>
      <c r="CM333" s="54">
        <v>288386</v>
      </c>
      <c r="CN333" s="54">
        <v>110206</v>
      </c>
      <c r="CO333" s="54">
        <v>178180</v>
      </c>
      <c r="CP333" s="54">
        <v>0</v>
      </c>
      <c r="CQ333" s="54">
        <v>432720</v>
      </c>
      <c r="CR333" s="54">
        <v>0</v>
      </c>
      <c r="CS333" s="54">
        <v>129</v>
      </c>
      <c r="CT333" s="54">
        <v>432591</v>
      </c>
      <c r="CU333" s="54">
        <v>948</v>
      </c>
      <c r="CV333" s="54">
        <v>2646</v>
      </c>
      <c r="CW333" s="54">
        <v>733</v>
      </c>
      <c r="CX333" s="54">
        <v>1877</v>
      </c>
      <c r="CY333" s="54">
        <v>36</v>
      </c>
      <c r="CZ333" s="54">
        <v>364993</v>
      </c>
      <c r="DA333" s="54">
        <v>731</v>
      </c>
      <c r="DB333" s="54">
        <v>309</v>
      </c>
      <c r="DC333" s="54">
        <v>0</v>
      </c>
      <c r="DD333" s="54">
        <v>422</v>
      </c>
      <c r="DE333" s="54">
        <v>0</v>
      </c>
      <c r="DF333" s="54">
        <v>0</v>
      </c>
      <c r="DG333" s="54">
        <v>151313</v>
      </c>
      <c r="DH333" s="54">
        <v>34609</v>
      </c>
      <c r="DI333" s="54">
        <v>389</v>
      </c>
      <c r="DJ333" s="54">
        <v>29739</v>
      </c>
      <c r="DK333" s="54">
        <v>4444</v>
      </c>
      <c r="DL333" s="54">
        <v>37</v>
      </c>
      <c r="DM333" s="54">
        <v>116704</v>
      </c>
      <c r="DN333" s="54">
        <v>23461</v>
      </c>
      <c r="DO333" s="54">
        <v>63561</v>
      </c>
      <c r="DP333" s="54">
        <v>12276</v>
      </c>
      <c r="DQ333" s="54">
        <v>17406</v>
      </c>
      <c r="DR333" s="54">
        <v>90787</v>
      </c>
      <c r="DS333" s="54">
        <v>81171</v>
      </c>
      <c r="DT333" s="54">
        <v>3916</v>
      </c>
      <c r="DU333" s="54">
        <v>0</v>
      </c>
      <c r="DV333" s="54">
        <v>5700</v>
      </c>
      <c r="DW333" s="54">
        <v>122162</v>
      </c>
      <c r="DX333" s="54">
        <v>2074775</v>
      </c>
      <c r="DY333" s="54">
        <v>927703</v>
      </c>
      <c r="DZ333" s="54">
        <v>697394</v>
      </c>
      <c r="EA333" s="54">
        <v>86</v>
      </c>
      <c r="EB333" s="54">
        <v>50548</v>
      </c>
      <c r="EC333" s="54">
        <v>180713</v>
      </c>
      <c r="ED333" s="54">
        <v>-1038</v>
      </c>
      <c r="EE333" s="54">
        <v>11689</v>
      </c>
      <c r="EF333" s="54">
        <v>8568</v>
      </c>
      <c r="EG333" s="54">
        <v>3121</v>
      </c>
      <c r="EH333" s="54">
        <v>14429</v>
      </c>
      <c r="EI333" s="54">
        <v>8152</v>
      </c>
      <c r="EJ333" s="54">
        <v>6277</v>
      </c>
      <c r="EK333" s="54">
        <v>8723</v>
      </c>
      <c r="EL333" s="54">
        <v>800</v>
      </c>
      <c r="EM333" s="54">
        <v>5013</v>
      </c>
      <c r="EN333" s="54">
        <v>2910</v>
      </c>
      <c r="EO333" s="54">
        <v>1112229</v>
      </c>
      <c r="EP333" s="54">
        <v>810744</v>
      </c>
      <c r="EQ333" s="54">
        <v>40000</v>
      </c>
      <c r="ER333" s="54">
        <v>744927</v>
      </c>
      <c r="ES333" s="54">
        <v>170827</v>
      </c>
      <c r="ET333" s="54">
        <v>293550</v>
      </c>
      <c r="EU333" s="54">
        <v>0</v>
      </c>
      <c r="EV333" s="54">
        <v>280550</v>
      </c>
      <c r="EW333" s="54">
        <v>3975</v>
      </c>
      <c r="EX333" s="54">
        <v>54</v>
      </c>
      <c r="EY333" s="54">
        <v>6</v>
      </c>
      <c r="EZ333" s="54">
        <v>0</v>
      </c>
      <c r="FA333" s="54">
        <v>15021</v>
      </c>
      <c r="FB333" s="54">
        <v>0</v>
      </c>
      <c r="FC333" s="54">
        <v>6761</v>
      </c>
      <c r="FD333" s="54">
        <v>301485</v>
      </c>
      <c r="FE333" s="54">
        <v>0</v>
      </c>
      <c r="FF333" s="54">
        <v>119354</v>
      </c>
      <c r="FG333" s="54">
        <v>51116</v>
      </c>
      <c r="FH333" s="54">
        <v>68238</v>
      </c>
      <c r="FI333" s="54">
        <v>0</v>
      </c>
      <c r="FJ333" s="54">
        <v>0</v>
      </c>
      <c r="FK333" s="54">
        <v>1308</v>
      </c>
      <c r="FL333" s="54">
        <v>28231</v>
      </c>
      <c r="FM333" s="54">
        <v>1020</v>
      </c>
      <c r="FN333" s="54">
        <v>57651</v>
      </c>
      <c r="FO333" s="54">
        <v>9695</v>
      </c>
      <c r="FP333" s="54">
        <v>84226</v>
      </c>
      <c r="FQ333" s="54">
        <v>2074773</v>
      </c>
      <c r="FR333" s="54">
        <v>195149</v>
      </c>
      <c r="FS333" s="54">
        <v>5589</v>
      </c>
      <c r="FT333" s="54"/>
    </row>
    <row r="334" spans="1:192" ht="13.5" customHeight="1" x14ac:dyDescent="0.2">
      <c r="A334" s="63">
        <v>8</v>
      </c>
      <c r="B334" s="43" t="s">
        <v>369</v>
      </c>
      <c r="C334" s="1" t="s">
        <v>370</v>
      </c>
      <c r="D334" s="43"/>
      <c r="E334" s="94">
        <f t="shared" si="28"/>
        <v>0</v>
      </c>
      <c r="F334" s="95"/>
      <c r="G334" s="54">
        <v>178688</v>
      </c>
      <c r="H334" s="54">
        <v>220944</v>
      </c>
      <c r="I334" s="54">
        <v>80114</v>
      </c>
      <c r="J334" s="54">
        <v>52826</v>
      </c>
      <c r="K334" s="54">
        <v>27570</v>
      </c>
      <c r="L334" s="54">
        <v>60434</v>
      </c>
      <c r="M334" s="54">
        <v>61</v>
      </c>
      <c r="N334" s="54">
        <v>4549</v>
      </c>
      <c r="O334" s="54">
        <v>1222226</v>
      </c>
      <c r="P334" s="54">
        <v>519516</v>
      </c>
      <c r="Q334" s="54">
        <v>393617</v>
      </c>
      <c r="R334" s="54">
        <v>125899</v>
      </c>
      <c r="S334" s="54">
        <v>104614</v>
      </c>
      <c r="T334" s="54">
        <v>21285</v>
      </c>
      <c r="U334" s="54">
        <v>503574</v>
      </c>
      <c r="V334" s="54">
        <v>67770</v>
      </c>
      <c r="W334" s="54">
        <v>99067</v>
      </c>
      <c r="X334" s="54">
        <v>32299</v>
      </c>
      <c r="Y334" s="54">
        <v>-996672</v>
      </c>
      <c r="Z334" s="54">
        <v>687519</v>
      </c>
      <c r="AA334" s="54">
        <v>597066</v>
      </c>
      <c r="AB334" s="54">
        <v>38515</v>
      </c>
      <c r="AC334" s="54">
        <v>51938</v>
      </c>
      <c r="AD334" s="54">
        <v>337423</v>
      </c>
      <c r="AE334" s="54">
        <v>12309</v>
      </c>
      <c r="AF334" s="54">
        <v>3648</v>
      </c>
      <c r="AG334" s="54">
        <v>19453</v>
      </c>
      <c r="AH334" s="54">
        <v>15795</v>
      </c>
      <c r="AI334" s="54">
        <v>7762</v>
      </c>
      <c r="AJ334" s="54">
        <v>3030</v>
      </c>
      <c r="AK334" s="54">
        <v>40579</v>
      </c>
      <c r="AL334" s="54">
        <v>54020</v>
      </c>
      <c r="AM334" s="54">
        <v>53476</v>
      </c>
      <c r="AN334" s="54">
        <v>544</v>
      </c>
      <c r="AO334" s="54">
        <v>1983</v>
      </c>
      <c r="AP334" s="54">
        <v>2555</v>
      </c>
      <c r="AQ334" s="54">
        <v>572</v>
      </c>
      <c r="AR334" s="54">
        <v>-11458</v>
      </c>
      <c r="AS334" s="54">
        <v>443</v>
      </c>
      <c r="AT334" s="54">
        <v>0</v>
      </c>
      <c r="AU334" s="54">
        <v>3</v>
      </c>
      <c r="AV334" s="54">
        <v>-11012</v>
      </c>
      <c r="AW334" s="54"/>
      <c r="AX334" s="54">
        <v>38039</v>
      </c>
      <c r="AY334" s="54">
        <v>40579</v>
      </c>
      <c r="AZ334" s="54">
        <v>1983</v>
      </c>
      <c r="BA334" s="54">
        <v>-4523</v>
      </c>
      <c r="BB334" s="54">
        <v>-62763</v>
      </c>
      <c r="BC334" s="54">
        <v>75646</v>
      </c>
      <c r="BD334" s="54">
        <v>3475</v>
      </c>
      <c r="BE334" s="54">
        <v>9408</v>
      </c>
      <c r="BF334" s="54">
        <v>-24724</v>
      </c>
      <c r="BG334" s="54">
        <v>37094</v>
      </c>
      <c r="BH334" s="54">
        <v>-5659</v>
      </c>
      <c r="BI334" s="54">
        <v>6011</v>
      </c>
      <c r="BJ334" s="54">
        <v>352</v>
      </c>
      <c r="BK334" s="54">
        <v>46752</v>
      </c>
      <c r="BL334" s="54">
        <v>96149</v>
      </c>
      <c r="BM334" s="54">
        <v>72087</v>
      </c>
      <c r="BN334" s="54">
        <v>22690</v>
      </c>
      <c r="BO334" s="54">
        <v>0</v>
      </c>
      <c r="BP334" s="54">
        <v>-3999</v>
      </c>
      <c r="BQ334" s="54">
        <v>-105</v>
      </c>
      <c r="BR334" s="54">
        <v>281</v>
      </c>
      <c r="BS334" s="54">
        <v>4280</v>
      </c>
      <c r="BT334" s="54">
        <v>-8455</v>
      </c>
      <c r="BU334" s="54">
        <v>12371</v>
      </c>
      <c r="BV334" s="54">
        <v>58109</v>
      </c>
      <c r="BW334" s="54">
        <v>45738</v>
      </c>
      <c r="BX334" s="54"/>
      <c r="BY334" s="54">
        <v>1392128</v>
      </c>
      <c r="BZ334" s="54">
        <v>8053</v>
      </c>
      <c r="CA334" s="54">
        <v>2995</v>
      </c>
      <c r="CB334" s="54">
        <v>4663</v>
      </c>
      <c r="CC334" s="54">
        <v>395</v>
      </c>
      <c r="CD334" s="54">
        <v>860745</v>
      </c>
      <c r="CE334" s="54">
        <v>202162</v>
      </c>
      <c r="CF334" s="54">
        <v>415005</v>
      </c>
      <c r="CG334" s="54">
        <v>211094</v>
      </c>
      <c r="CH334" s="54">
        <v>11123</v>
      </c>
      <c r="CI334" s="54">
        <v>3442</v>
      </c>
      <c r="CJ334" s="54">
        <v>3442</v>
      </c>
      <c r="CK334" s="54">
        <v>17919</v>
      </c>
      <c r="CL334" s="54">
        <v>523330</v>
      </c>
      <c r="CM334" s="54">
        <v>458026</v>
      </c>
      <c r="CN334" s="54">
        <v>99430</v>
      </c>
      <c r="CO334" s="54">
        <v>358596</v>
      </c>
      <c r="CP334" s="54">
        <v>0</v>
      </c>
      <c r="CQ334" s="54">
        <v>63657</v>
      </c>
      <c r="CR334" s="54">
        <v>0</v>
      </c>
      <c r="CS334" s="54">
        <v>0</v>
      </c>
      <c r="CT334" s="54">
        <v>63657</v>
      </c>
      <c r="CU334" s="54">
        <v>1647</v>
      </c>
      <c r="CV334" s="54">
        <v>2282</v>
      </c>
      <c r="CW334" s="54">
        <v>44</v>
      </c>
      <c r="CX334" s="54">
        <v>2223</v>
      </c>
      <c r="CY334" s="54">
        <v>15</v>
      </c>
      <c r="CZ334" s="54">
        <v>149724</v>
      </c>
      <c r="DA334" s="54">
        <v>1430</v>
      </c>
      <c r="DB334" s="54">
        <v>1136</v>
      </c>
      <c r="DC334" s="54">
        <v>294</v>
      </c>
      <c r="DD334" s="54">
        <v>0</v>
      </c>
      <c r="DE334" s="54">
        <v>0</v>
      </c>
      <c r="DF334" s="54">
        <v>0</v>
      </c>
      <c r="DG334" s="54">
        <v>90187</v>
      </c>
      <c r="DH334" s="54">
        <v>32803</v>
      </c>
      <c r="DI334" s="54">
        <v>3776</v>
      </c>
      <c r="DJ334" s="54">
        <v>20160</v>
      </c>
      <c r="DK334" s="54">
        <v>2928</v>
      </c>
      <c r="DL334" s="54">
        <v>5939</v>
      </c>
      <c r="DM334" s="54">
        <v>57384</v>
      </c>
      <c r="DN334" s="54">
        <v>21151</v>
      </c>
      <c r="DO334" s="54">
        <v>3250</v>
      </c>
      <c r="DP334" s="54">
        <v>17356</v>
      </c>
      <c r="DQ334" s="54">
        <v>15627</v>
      </c>
      <c r="DR334" s="54">
        <v>25629</v>
      </c>
      <c r="DS334" s="54">
        <v>145</v>
      </c>
      <c r="DT334" s="54">
        <v>346</v>
      </c>
      <c r="DU334" s="54">
        <v>0</v>
      </c>
      <c r="DV334" s="54">
        <v>25138</v>
      </c>
      <c r="DW334" s="54">
        <v>32478</v>
      </c>
      <c r="DX334" s="54">
        <v>1544134</v>
      </c>
      <c r="DY334" s="54">
        <v>726761</v>
      </c>
      <c r="DZ334" s="54">
        <v>710230</v>
      </c>
      <c r="EA334" s="54">
        <v>5428</v>
      </c>
      <c r="EB334" s="54">
        <v>37171</v>
      </c>
      <c r="EC334" s="54">
        <v>-15058</v>
      </c>
      <c r="ED334" s="54">
        <v>-11010</v>
      </c>
      <c r="EE334" s="54">
        <v>8095</v>
      </c>
      <c r="EF334" s="54">
        <v>8095</v>
      </c>
      <c r="EG334" s="54">
        <v>0</v>
      </c>
      <c r="EH334" s="54">
        <v>14492</v>
      </c>
      <c r="EI334" s="54">
        <v>4868</v>
      </c>
      <c r="EJ334" s="54">
        <v>9624</v>
      </c>
      <c r="EK334" s="54">
        <v>3591</v>
      </c>
      <c r="EL334" s="54">
        <v>91</v>
      </c>
      <c r="EM334" s="54">
        <v>2771</v>
      </c>
      <c r="EN334" s="54">
        <v>729</v>
      </c>
      <c r="EO334" s="54">
        <v>791194</v>
      </c>
      <c r="EP334" s="54">
        <v>466075</v>
      </c>
      <c r="EQ334" s="54">
        <v>30000</v>
      </c>
      <c r="ER334" s="54">
        <v>426584</v>
      </c>
      <c r="ES334" s="54">
        <v>46872</v>
      </c>
      <c r="ET334" s="54">
        <v>370930</v>
      </c>
      <c r="EU334" s="54">
        <v>1782</v>
      </c>
      <c r="EV334" s="54">
        <v>7000</v>
      </c>
      <c r="EW334" s="54">
        <v>2026</v>
      </c>
      <c r="EX334" s="54">
        <v>0</v>
      </c>
      <c r="EY334" s="54">
        <v>693</v>
      </c>
      <c r="EZ334" s="54">
        <v>0</v>
      </c>
      <c r="FA334" s="54">
        <v>6772</v>
      </c>
      <c r="FB334" s="54">
        <v>0</v>
      </c>
      <c r="FC334" s="54">
        <v>0</v>
      </c>
      <c r="FD334" s="54">
        <v>325119</v>
      </c>
      <c r="FE334" s="54">
        <v>15000</v>
      </c>
      <c r="FF334" s="54">
        <v>127924</v>
      </c>
      <c r="FG334" s="54">
        <v>50978</v>
      </c>
      <c r="FH334" s="54">
        <v>74230</v>
      </c>
      <c r="FI334" s="54">
        <v>1783</v>
      </c>
      <c r="FJ334" s="54">
        <v>933</v>
      </c>
      <c r="FK334" s="54">
        <v>721</v>
      </c>
      <c r="FL334" s="54">
        <v>11219</v>
      </c>
      <c r="FM334" s="54">
        <v>4580</v>
      </c>
      <c r="FN334" s="54">
        <v>62206</v>
      </c>
      <c r="FO334" s="54">
        <v>28126</v>
      </c>
      <c r="FP334" s="54">
        <v>75343</v>
      </c>
      <c r="FQ334" s="54">
        <v>1544133</v>
      </c>
      <c r="FR334" s="54">
        <v>486843</v>
      </c>
      <c r="FS334" s="54">
        <v>26479</v>
      </c>
      <c r="FT334" s="54"/>
    </row>
    <row r="335" spans="1:192" ht="13.5" customHeight="1" x14ac:dyDescent="0.2">
      <c r="A335" s="63">
        <v>9</v>
      </c>
      <c r="B335" s="43" t="s">
        <v>371</v>
      </c>
      <c r="C335" s="1" t="s">
        <v>372</v>
      </c>
      <c r="D335" s="43"/>
      <c r="E335" s="94">
        <f t="shared" si="28"/>
        <v>0</v>
      </c>
      <c r="F335" s="95"/>
      <c r="G335" s="54">
        <v>131155</v>
      </c>
      <c r="H335" s="54">
        <v>107004</v>
      </c>
      <c r="I335" s="54">
        <v>42567</v>
      </c>
      <c r="J335" s="54">
        <v>22024</v>
      </c>
      <c r="K335" s="54">
        <v>10382</v>
      </c>
      <c r="L335" s="54">
        <v>32031</v>
      </c>
      <c r="M335" s="54">
        <v>0</v>
      </c>
      <c r="N335" s="54">
        <v>21715</v>
      </c>
      <c r="O335" s="54">
        <v>828687</v>
      </c>
      <c r="P335" s="54">
        <v>231165</v>
      </c>
      <c r="Q335" s="54">
        <v>174344</v>
      </c>
      <c r="R335" s="54">
        <v>56821</v>
      </c>
      <c r="S335" s="54">
        <v>46816</v>
      </c>
      <c r="T335" s="54">
        <v>10005</v>
      </c>
      <c r="U335" s="54">
        <v>527378</v>
      </c>
      <c r="V335" s="54">
        <v>34149</v>
      </c>
      <c r="W335" s="54">
        <v>19472</v>
      </c>
      <c r="X335" s="54">
        <v>16523</v>
      </c>
      <c r="Y335" s="54">
        <v>-699968</v>
      </c>
      <c r="Z335" s="54">
        <v>512371</v>
      </c>
      <c r="AA335" s="54">
        <v>434377</v>
      </c>
      <c r="AB335" s="54">
        <v>35899</v>
      </c>
      <c r="AC335" s="54">
        <v>42095</v>
      </c>
      <c r="AD335" s="54">
        <v>224898</v>
      </c>
      <c r="AE335" s="54">
        <v>11178</v>
      </c>
      <c r="AF335" s="54">
        <v>9516</v>
      </c>
      <c r="AG335" s="54">
        <v>8140</v>
      </c>
      <c r="AH335" s="54">
        <v>6986</v>
      </c>
      <c r="AI335" s="54">
        <v>5192</v>
      </c>
      <c r="AJ335" s="54">
        <v>1286</v>
      </c>
      <c r="AK335" s="54">
        <v>48479</v>
      </c>
      <c r="AL335" s="54">
        <v>41657</v>
      </c>
      <c r="AM335" s="54">
        <v>39306</v>
      </c>
      <c r="AN335" s="54">
        <v>2351</v>
      </c>
      <c r="AO335" s="54">
        <v>0</v>
      </c>
      <c r="AP335" s="54">
        <v>0</v>
      </c>
      <c r="AQ335" s="54">
        <v>0</v>
      </c>
      <c r="AR335" s="54">
        <v>6822</v>
      </c>
      <c r="AS335" s="54">
        <v>-384</v>
      </c>
      <c r="AT335" s="54">
        <v>1117</v>
      </c>
      <c r="AU335" s="54">
        <v>-140</v>
      </c>
      <c r="AV335" s="54">
        <v>7415</v>
      </c>
      <c r="AW335" s="54"/>
      <c r="AX335" s="54">
        <v>45488</v>
      </c>
      <c r="AY335" s="54">
        <v>48479</v>
      </c>
      <c r="AZ335" s="54">
        <v>0</v>
      </c>
      <c r="BA335" s="54">
        <v>-2991</v>
      </c>
      <c r="BB335" s="54">
        <v>-70745</v>
      </c>
      <c r="BC335" s="54">
        <v>83285</v>
      </c>
      <c r="BD335" s="54">
        <v>5248</v>
      </c>
      <c r="BE335" s="54">
        <v>7292</v>
      </c>
      <c r="BF335" s="54">
        <v>-25257</v>
      </c>
      <c r="BG335" s="54">
        <v>26608</v>
      </c>
      <c r="BH335" s="54">
        <v>57</v>
      </c>
      <c r="BI335" s="54">
        <v>227</v>
      </c>
      <c r="BJ335" s="54">
        <v>284</v>
      </c>
      <c r="BK335" s="54">
        <v>11573</v>
      </c>
      <c r="BL335" s="54">
        <v>84219</v>
      </c>
      <c r="BM335" s="54">
        <v>72594</v>
      </c>
      <c r="BN335" s="54">
        <v>-52</v>
      </c>
      <c r="BO335" s="54">
        <v>468</v>
      </c>
      <c r="BP335" s="54">
        <v>14510</v>
      </c>
      <c r="BQ335" s="54">
        <v>14</v>
      </c>
      <c r="BR335" s="54">
        <v>807</v>
      </c>
      <c r="BS335" s="54">
        <v>14721</v>
      </c>
      <c r="BT335" s="54">
        <v>-1032</v>
      </c>
      <c r="BU335" s="54">
        <v>1352</v>
      </c>
      <c r="BV335" s="54">
        <v>74372</v>
      </c>
      <c r="BW335" s="54">
        <v>73020</v>
      </c>
      <c r="BX335" s="54"/>
      <c r="BY335" s="54">
        <v>908280</v>
      </c>
      <c r="BZ335" s="54">
        <v>7256</v>
      </c>
      <c r="CA335" s="54">
        <v>380</v>
      </c>
      <c r="CB335" s="54">
        <v>6876</v>
      </c>
      <c r="CC335" s="54">
        <v>0</v>
      </c>
      <c r="CD335" s="54">
        <v>564544</v>
      </c>
      <c r="CE335" s="54">
        <v>110117</v>
      </c>
      <c r="CF335" s="54">
        <v>273804</v>
      </c>
      <c r="CG335" s="54">
        <v>157413</v>
      </c>
      <c r="CH335" s="54">
        <v>4803</v>
      </c>
      <c r="CI335" s="54">
        <v>847</v>
      </c>
      <c r="CJ335" s="54">
        <v>770</v>
      </c>
      <c r="CK335" s="54">
        <v>17560</v>
      </c>
      <c r="CL335" s="54">
        <v>336480</v>
      </c>
      <c r="CM335" s="54">
        <v>213709</v>
      </c>
      <c r="CN335" s="54">
        <v>31589</v>
      </c>
      <c r="CO335" s="54">
        <v>182120</v>
      </c>
      <c r="CP335" s="54">
        <v>0</v>
      </c>
      <c r="CQ335" s="54">
        <v>122471</v>
      </c>
      <c r="CR335" s="54">
        <v>0</v>
      </c>
      <c r="CS335" s="54">
        <v>124</v>
      </c>
      <c r="CT335" s="54">
        <v>122347</v>
      </c>
      <c r="CU335" s="54">
        <v>300</v>
      </c>
      <c r="CV335" s="54">
        <v>1263</v>
      </c>
      <c r="CW335" s="54">
        <v>183</v>
      </c>
      <c r="CX335" s="54">
        <v>968</v>
      </c>
      <c r="CY335" s="54">
        <v>112</v>
      </c>
      <c r="CZ335" s="54">
        <v>110058</v>
      </c>
      <c r="DA335" s="54">
        <v>985</v>
      </c>
      <c r="DB335" s="54">
        <v>88</v>
      </c>
      <c r="DC335" s="54">
        <v>0</v>
      </c>
      <c r="DD335" s="54">
        <v>0</v>
      </c>
      <c r="DE335" s="54">
        <v>897</v>
      </c>
      <c r="DF335" s="54">
        <v>0</v>
      </c>
      <c r="DG335" s="54">
        <v>34703</v>
      </c>
      <c r="DH335" s="54">
        <v>12912</v>
      </c>
      <c r="DI335" s="54">
        <v>0</v>
      </c>
      <c r="DJ335" s="54">
        <v>12044</v>
      </c>
      <c r="DK335" s="54">
        <v>318</v>
      </c>
      <c r="DL335" s="54">
        <v>550</v>
      </c>
      <c r="DM335" s="54">
        <v>21791</v>
      </c>
      <c r="DN335" s="54">
        <v>10427</v>
      </c>
      <c r="DO335" s="54">
        <v>399</v>
      </c>
      <c r="DP335" s="54">
        <v>7912</v>
      </c>
      <c r="DQ335" s="54">
        <v>3053</v>
      </c>
      <c r="DR335" s="54">
        <v>11116</v>
      </c>
      <c r="DS335" s="54">
        <v>1302</v>
      </c>
      <c r="DT335" s="54">
        <v>9376</v>
      </c>
      <c r="DU335" s="54">
        <v>0</v>
      </c>
      <c r="DV335" s="54">
        <v>438</v>
      </c>
      <c r="DW335" s="54">
        <v>63254</v>
      </c>
      <c r="DX335" s="54">
        <v>1019601</v>
      </c>
      <c r="DY335" s="54">
        <v>542128</v>
      </c>
      <c r="DZ335" s="54">
        <v>376359</v>
      </c>
      <c r="EA335" s="54">
        <v>0</v>
      </c>
      <c r="EB335" s="54">
        <v>3553</v>
      </c>
      <c r="EC335" s="54">
        <v>154802</v>
      </c>
      <c r="ED335" s="54">
        <v>7414</v>
      </c>
      <c r="EE335" s="54">
        <v>19309</v>
      </c>
      <c r="EF335" s="54">
        <v>15686</v>
      </c>
      <c r="EG335" s="54">
        <v>3623</v>
      </c>
      <c r="EH335" s="54">
        <v>1649</v>
      </c>
      <c r="EI335" s="54">
        <v>393</v>
      </c>
      <c r="EJ335" s="54">
        <v>1256</v>
      </c>
      <c r="EK335" s="54">
        <v>3609</v>
      </c>
      <c r="EL335" s="54">
        <v>254</v>
      </c>
      <c r="EM335" s="54">
        <v>2143</v>
      </c>
      <c r="EN335" s="54">
        <v>1212</v>
      </c>
      <c r="EO335" s="54">
        <v>452908</v>
      </c>
      <c r="EP335" s="54">
        <v>298482</v>
      </c>
      <c r="EQ335" s="54">
        <v>45000</v>
      </c>
      <c r="ER335" s="54">
        <v>208847</v>
      </c>
      <c r="ES335" s="54">
        <v>49768</v>
      </c>
      <c r="ET335" s="54">
        <v>159036</v>
      </c>
      <c r="EU335" s="54">
        <v>43</v>
      </c>
      <c r="EV335" s="54">
        <v>0</v>
      </c>
      <c r="EW335" s="54">
        <v>1625</v>
      </c>
      <c r="EX335" s="54">
        <v>0</v>
      </c>
      <c r="EY335" s="54">
        <v>910</v>
      </c>
      <c r="EZ335" s="54">
        <v>0</v>
      </c>
      <c r="FA335" s="54">
        <v>38970</v>
      </c>
      <c r="FB335" s="54">
        <v>0</v>
      </c>
      <c r="FC335" s="54">
        <v>3130</v>
      </c>
      <c r="FD335" s="54">
        <v>154426</v>
      </c>
      <c r="FE335" s="54">
        <v>0</v>
      </c>
      <c r="FF335" s="54">
        <v>52255</v>
      </c>
      <c r="FG335" s="54">
        <v>23682</v>
      </c>
      <c r="FH335" s="54">
        <v>28545</v>
      </c>
      <c r="FI335" s="54">
        <v>28</v>
      </c>
      <c r="FJ335" s="54">
        <v>0</v>
      </c>
      <c r="FK335" s="54">
        <v>257</v>
      </c>
      <c r="FL335" s="54">
        <v>29321</v>
      </c>
      <c r="FM335" s="54">
        <v>399</v>
      </c>
      <c r="FN335" s="54">
        <v>25873</v>
      </c>
      <c r="FO335" s="54">
        <v>7675</v>
      </c>
      <c r="FP335" s="54">
        <v>38646</v>
      </c>
      <c r="FQ335" s="54">
        <v>1019603</v>
      </c>
      <c r="FR335" s="54">
        <v>318329</v>
      </c>
      <c r="FS335" s="54">
        <v>14303</v>
      </c>
      <c r="FT335" s="54"/>
    </row>
    <row r="336" spans="1:192" ht="13.5" customHeight="1" x14ac:dyDescent="0.2">
      <c r="A336" s="63">
        <v>10</v>
      </c>
      <c r="B336" s="43" t="s">
        <v>373</v>
      </c>
      <c r="C336" s="1" t="s">
        <v>374</v>
      </c>
      <c r="D336" s="43"/>
      <c r="E336" s="94">
        <f t="shared" si="28"/>
        <v>0</v>
      </c>
      <c r="F336" s="95"/>
      <c r="G336" s="54">
        <v>150305</v>
      </c>
      <c r="H336" s="54">
        <v>198629</v>
      </c>
      <c r="I336" s="54">
        <v>96409</v>
      </c>
      <c r="J336" s="54">
        <v>44453</v>
      </c>
      <c r="K336" s="54">
        <v>22279</v>
      </c>
      <c r="L336" s="54">
        <v>35488</v>
      </c>
      <c r="M336" s="54">
        <v>0</v>
      </c>
      <c r="N336" s="54">
        <v>966</v>
      </c>
      <c r="O336" s="54">
        <v>1061010</v>
      </c>
      <c r="P336" s="54">
        <v>377232</v>
      </c>
      <c r="Q336" s="54">
        <v>282287</v>
      </c>
      <c r="R336" s="54">
        <v>94945</v>
      </c>
      <c r="S336" s="54">
        <v>79295</v>
      </c>
      <c r="T336" s="54">
        <v>15650</v>
      </c>
      <c r="U336" s="54">
        <v>555671</v>
      </c>
      <c r="V336" s="54">
        <v>48137</v>
      </c>
      <c r="W336" s="54">
        <v>60634</v>
      </c>
      <c r="X336" s="54">
        <v>19336</v>
      </c>
      <c r="Y336" s="54">
        <v>-861415</v>
      </c>
      <c r="Z336" s="54">
        <v>538640</v>
      </c>
      <c r="AA336" s="54">
        <v>447336</v>
      </c>
      <c r="AB336" s="54">
        <v>42932</v>
      </c>
      <c r="AC336" s="54">
        <v>48372</v>
      </c>
      <c r="AD336" s="54">
        <v>358986</v>
      </c>
      <c r="AE336" s="54">
        <v>3593</v>
      </c>
      <c r="AF336" s="54">
        <v>2221</v>
      </c>
      <c r="AG336" s="54">
        <v>8039</v>
      </c>
      <c r="AH336" s="54">
        <v>6611</v>
      </c>
      <c r="AI336" s="54">
        <v>4069</v>
      </c>
      <c r="AJ336" s="54">
        <v>2598</v>
      </c>
      <c r="AK336" s="54">
        <v>39804</v>
      </c>
      <c r="AL336" s="54">
        <v>46136</v>
      </c>
      <c r="AM336" s="54">
        <v>45394</v>
      </c>
      <c r="AN336" s="54">
        <v>742</v>
      </c>
      <c r="AO336" s="54">
        <v>7125</v>
      </c>
      <c r="AP336" s="54">
        <v>7182</v>
      </c>
      <c r="AQ336" s="54">
        <v>57</v>
      </c>
      <c r="AR336" s="54">
        <v>793</v>
      </c>
      <c r="AS336" s="54">
        <v>241</v>
      </c>
      <c r="AT336" s="54">
        <v>-170</v>
      </c>
      <c r="AU336" s="54">
        <v>798</v>
      </c>
      <c r="AV336" s="54">
        <v>1662</v>
      </c>
      <c r="AW336" s="54"/>
      <c r="AX336" s="54">
        <v>35844</v>
      </c>
      <c r="AY336" s="54">
        <v>39804</v>
      </c>
      <c r="AZ336" s="54">
        <v>7125</v>
      </c>
      <c r="BA336" s="54">
        <v>-11085</v>
      </c>
      <c r="BB336" s="54">
        <v>-45811</v>
      </c>
      <c r="BC336" s="54">
        <v>77745</v>
      </c>
      <c r="BD336" s="54">
        <v>7391</v>
      </c>
      <c r="BE336" s="54">
        <v>24543</v>
      </c>
      <c r="BF336" s="54">
        <v>-9967</v>
      </c>
      <c r="BG336" s="54">
        <v>16843</v>
      </c>
      <c r="BH336" s="54">
        <v>-10551</v>
      </c>
      <c r="BI336" s="54">
        <v>11737</v>
      </c>
      <c r="BJ336" s="54">
        <v>1186</v>
      </c>
      <c r="BK336" s="54">
        <v>19727</v>
      </c>
      <c r="BL336" s="54">
        <v>50400</v>
      </c>
      <c r="BM336" s="54">
        <v>48802</v>
      </c>
      <c r="BN336" s="54">
        <v>18129</v>
      </c>
      <c r="BO336" s="54">
        <v>122</v>
      </c>
      <c r="BP336" s="54">
        <v>7545</v>
      </c>
      <c r="BQ336" s="54">
        <v>139</v>
      </c>
      <c r="BR336" s="54">
        <v>512</v>
      </c>
      <c r="BS336" s="54">
        <v>11655</v>
      </c>
      <c r="BT336" s="54">
        <v>-4761</v>
      </c>
      <c r="BU336" s="54">
        <v>6880</v>
      </c>
      <c r="BV336" s="54">
        <v>45728</v>
      </c>
      <c r="BW336" s="54">
        <v>38848</v>
      </c>
      <c r="BX336" s="54"/>
      <c r="BY336" s="54">
        <v>1128312</v>
      </c>
      <c r="BZ336" s="54">
        <v>4653</v>
      </c>
      <c r="CA336" s="54">
        <v>712</v>
      </c>
      <c r="CB336" s="54">
        <v>3219</v>
      </c>
      <c r="CC336" s="54">
        <v>722</v>
      </c>
      <c r="CD336" s="54">
        <v>830808</v>
      </c>
      <c r="CE336" s="54">
        <v>211923</v>
      </c>
      <c r="CF336" s="54">
        <v>426436</v>
      </c>
      <c r="CG336" s="54">
        <v>144536</v>
      </c>
      <c r="CH336" s="54">
        <v>11708</v>
      </c>
      <c r="CI336" s="54">
        <v>936</v>
      </c>
      <c r="CJ336" s="54">
        <v>921</v>
      </c>
      <c r="CK336" s="54">
        <v>35269</v>
      </c>
      <c r="CL336" s="54">
        <v>292851</v>
      </c>
      <c r="CM336" s="54">
        <v>236082</v>
      </c>
      <c r="CN336" s="54">
        <v>54326</v>
      </c>
      <c r="CO336" s="54">
        <v>181756</v>
      </c>
      <c r="CP336" s="54">
        <v>0</v>
      </c>
      <c r="CQ336" s="54">
        <v>53423</v>
      </c>
      <c r="CR336" s="54">
        <v>0</v>
      </c>
      <c r="CS336" s="54">
        <v>0</v>
      </c>
      <c r="CT336" s="54">
        <v>53423</v>
      </c>
      <c r="CU336" s="54">
        <v>3346</v>
      </c>
      <c r="CV336" s="54">
        <v>4929</v>
      </c>
      <c r="CW336" s="54">
        <v>76</v>
      </c>
      <c r="CX336" s="54">
        <v>4311</v>
      </c>
      <c r="CY336" s="54">
        <v>542</v>
      </c>
      <c r="CZ336" s="54">
        <v>95012</v>
      </c>
      <c r="DA336" s="54">
        <v>531</v>
      </c>
      <c r="DB336" s="54">
        <v>211</v>
      </c>
      <c r="DC336" s="54">
        <v>0</v>
      </c>
      <c r="DD336" s="54">
        <v>9</v>
      </c>
      <c r="DE336" s="54">
        <v>311</v>
      </c>
      <c r="DF336" s="54">
        <v>0</v>
      </c>
      <c r="DG336" s="54">
        <v>48751</v>
      </c>
      <c r="DH336" s="54">
        <v>7471</v>
      </c>
      <c r="DI336" s="54">
        <v>589</v>
      </c>
      <c r="DJ336" s="54">
        <v>3708</v>
      </c>
      <c r="DK336" s="54">
        <v>3174</v>
      </c>
      <c r="DL336" s="54">
        <v>0</v>
      </c>
      <c r="DM336" s="54">
        <v>41280</v>
      </c>
      <c r="DN336" s="54">
        <v>17766</v>
      </c>
      <c r="DO336" s="54">
        <v>2781</v>
      </c>
      <c r="DP336" s="54">
        <v>12246</v>
      </c>
      <c r="DQ336" s="54">
        <v>8487</v>
      </c>
      <c r="DR336" s="54">
        <v>7902</v>
      </c>
      <c r="DS336" s="54">
        <v>5186</v>
      </c>
      <c r="DT336" s="54">
        <v>300</v>
      </c>
      <c r="DU336" s="54">
        <v>248</v>
      </c>
      <c r="DV336" s="54">
        <v>2168</v>
      </c>
      <c r="DW336" s="54">
        <v>37828</v>
      </c>
      <c r="DX336" s="54">
        <v>1228253</v>
      </c>
      <c r="DY336" s="54">
        <v>606492</v>
      </c>
      <c r="DZ336" s="54">
        <v>476900</v>
      </c>
      <c r="EA336" s="54">
        <v>96105</v>
      </c>
      <c r="EB336" s="54">
        <v>1822</v>
      </c>
      <c r="EC336" s="54">
        <v>30005</v>
      </c>
      <c r="ED336" s="54">
        <v>1660</v>
      </c>
      <c r="EE336" s="54">
        <v>11408</v>
      </c>
      <c r="EF336" s="54">
        <v>6165</v>
      </c>
      <c r="EG336" s="54">
        <v>5243</v>
      </c>
      <c r="EH336" s="54">
        <v>4864</v>
      </c>
      <c r="EI336" s="54">
        <v>967</v>
      </c>
      <c r="EJ336" s="54">
        <v>3897</v>
      </c>
      <c r="EK336" s="54">
        <v>9247</v>
      </c>
      <c r="EL336" s="54">
        <v>430</v>
      </c>
      <c r="EM336" s="54">
        <v>6989</v>
      </c>
      <c r="EN336" s="54">
        <v>1828</v>
      </c>
      <c r="EO336" s="54">
        <v>596244</v>
      </c>
      <c r="EP336" s="54">
        <v>255949</v>
      </c>
      <c r="EQ336" s="54">
        <v>0</v>
      </c>
      <c r="ER336" s="54">
        <v>241583</v>
      </c>
      <c r="ES336" s="54">
        <v>34367</v>
      </c>
      <c r="ET336" s="54">
        <v>207216</v>
      </c>
      <c r="EU336" s="54">
        <v>0</v>
      </c>
      <c r="EV336" s="54">
        <v>0</v>
      </c>
      <c r="EW336" s="54">
        <v>4914</v>
      </c>
      <c r="EX336" s="54">
        <v>0</v>
      </c>
      <c r="EY336" s="54">
        <v>442</v>
      </c>
      <c r="EZ336" s="54">
        <v>0</v>
      </c>
      <c r="FA336" s="54">
        <v>7827</v>
      </c>
      <c r="FB336" s="54">
        <v>0</v>
      </c>
      <c r="FC336" s="54">
        <v>1183</v>
      </c>
      <c r="FD336" s="54">
        <v>340295</v>
      </c>
      <c r="FE336" s="54">
        <v>0</v>
      </c>
      <c r="FF336" s="54">
        <v>202774</v>
      </c>
      <c r="FG336" s="54">
        <v>109483</v>
      </c>
      <c r="FH336" s="54">
        <v>93041</v>
      </c>
      <c r="FI336" s="54">
        <v>250</v>
      </c>
      <c r="FJ336" s="54">
        <v>0</v>
      </c>
      <c r="FK336" s="54">
        <v>587</v>
      </c>
      <c r="FL336" s="54">
        <v>10658</v>
      </c>
      <c r="FM336" s="54">
        <v>2092</v>
      </c>
      <c r="FN336" s="54">
        <v>64542</v>
      </c>
      <c r="FO336" s="54">
        <v>11451</v>
      </c>
      <c r="FP336" s="54">
        <v>48191</v>
      </c>
      <c r="FQ336" s="54">
        <v>1228255</v>
      </c>
      <c r="FR336" s="54">
        <v>189181</v>
      </c>
      <c r="FS336" s="54">
        <v>21022</v>
      </c>
      <c r="FT336" s="54"/>
    </row>
    <row r="337" spans="1:176" ht="13.5" customHeight="1" x14ac:dyDescent="0.2">
      <c r="A337" s="63">
        <v>11</v>
      </c>
      <c r="B337" s="43" t="s">
        <v>375</v>
      </c>
      <c r="C337" s="1" t="s">
        <v>376</v>
      </c>
      <c r="D337" s="43"/>
      <c r="E337" s="94">
        <f t="shared" si="28"/>
        <v>0</v>
      </c>
      <c r="F337" s="95"/>
      <c r="G337" s="54">
        <v>248129</v>
      </c>
      <c r="H337" s="54">
        <v>356170</v>
      </c>
      <c r="I337" s="54">
        <v>169392</v>
      </c>
      <c r="J337" s="54">
        <v>75611</v>
      </c>
      <c r="K337" s="54">
        <v>40304</v>
      </c>
      <c r="L337" s="54">
        <v>70863</v>
      </c>
      <c r="M337" s="54">
        <v>0</v>
      </c>
      <c r="N337" s="54">
        <v>16537</v>
      </c>
      <c r="O337" s="54">
        <v>1708978</v>
      </c>
      <c r="P337" s="54">
        <v>665364</v>
      </c>
      <c r="Q337" s="54">
        <v>500493</v>
      </c>
      <c r="R337" s="54">
        <v>164871</v>
      </c>
      <c r="S337" s="54">
        <v>136344</v>
      </c>
      <c r="T337" s="54">
        <v>28527</v>
      </c>
      <c r="U337" s="54">
        <v>827313</v>
      </c>
      <c r="V337" s="54">
        <v>81177</v>
      </c>
      <c r="W337" s="54">
        <v>100043</v>
      </c>
      <c r="X337" s="54">
        <v>35081</v>
      </c>
      <c r="Y337" s="54">
        <v>-1336271</v>
      </c>
      <c r="Z337" s="54">
        <v>893072</v>
      </c>
      <c r="AA337" s="54">
        <v>763572</v>
      </c>
      <c r="AB337" s="54">
        <v>58324</v>
      </c>
      <c r="AC337" s="54">
        <v>71176</v>
      </c>
      <c r="AD337" s="54">
        <v>516471</v>
      </c>
      <c r="AE337" s="54">
        <v>13385</v>
      </c>
      <c r="AF337" s="54">
        <v>9922</v>
      </c>
      <c r="AG337" s="54">
        <v>15459</v>
      </c>
      <c r="AH337" s="54">
        <v>8054</v>
      </c>
      <c r="AI337" s="54">
        <v>10096</v>
      </c>
      <c r="AJ337" s="54">
        <v>1900</v>
      </c>
      <c r="AK337" s="54">
        <v>86657</v>
      </c>
      <c r="AL337" s="54">
        <v>93020</v>
      </c>
      <c r="AM337" s="54">
        <v>85987</v>
      </c>
      <c r="AN337" s="54">
        <v>7033</v>
      </c>
      <c r="AO337" s="54">
        <v>1177</v>
      </c>
      <c r="AP337" s="54">
        <v>1184</v>
      </c>
      <c r="AQ337" s="54">
        <v>7</v>
      </c>
      <c r="AR337" s="54">
        <v>-5186</v>
      </c>
      <c r="AS337" s="54">
        <v>1298</v>
      </c>
      <c r="AT337" s="54">
        <v>-1013</v>
      </c>
      <c r="AU337" s="54">
        <v>627</v>
      </c>
      <c r="AV337" s="54">
        <v>-4274</v>
      </c>
      <c r="AW337" s="54"/>
      <c r="AX337" s="54">
        <v>77464</v>
      </c>
      <c r="AY337" s="54">
        <v>86657</v>
      </c>
      <c r="AZ337" s="54">
        <v>1177</v>
      </c>
      <c r="BA337" s="54">
        <v>-10370</v>
      </c>
      <c r="BB337" s="54">
        <v>-87246</v>
      </c>
      <c r="BC337" s="54">
        <v>109067</v>
      </c>
      <c r="BD337" s="54">
        <v>2774</v>
      </c>
      <c r="BE337" s="54">
        <v>19047</v>
      </c>
      <c r="BF337" s="54">
        <v>-9782</v>
      </c>
      <c r="BG337" s="54">
        <v>8674</v>
      </c>
      <c r="BH337" s="54">
        <v>3622</v>
      </c>
      <c r="BI337" s="54">
        <v>827</v>
      </c>
      <c r="BJ337" s="54">
        <v>4449</v>
      </c>
      <c r="BK337" s="54">
        <v>-1090</v>
      </c>
      <c r="BL337" s="54">
        <v>72686</v>
      </c>
      <c r="BM337" s="54">
        <v>80424</v>
      </c>
      <c r="BN337" s="54">
        <v>6648</v>
      </c>
      <c r="BO337" s="54">
        <v>554</v>
      </c>
      <c r="BP337" s="54">
        <v>5588</v>
      </c>
      <c r="BQ337" s="54">
        <v>2</v>
      </c>
      <c r="BR337" s="54">
        <v>246</v>
      </c>
      <c r="BS337" s="54">
        <v>-33</v>
      </c>
      <c r="BT337" s="54">
        <v>5373</v>
      </c>
      <c r="BU337" s="54">
        <v>-1105</v>
      </c>
      <c r="BV337" s="54">
        <v>119195</v>
      </c>
      <c r="BW337" s="54">
        <v>120300</v>
      </c>
      <c r="BX337" s="54"/>
      <c r="BY337" s="54">
        <v>1763080</v>
      </c>
      <c r="BZ337" s="54">
        <v>11140</v>
      </c>
      <c r="CA337" s="54">
        <v>2070</v>
      </c>
      <c r="CB337" s="54">
        <v>9070</v>
      </c>
      <c r="CC337" s="54">
        <v>0</v>
      </c>
      <c r="CD337" s="54">
        <v>1100782</v>
      </c>
      <c r="CE337" s="54">
        <v>231138</v>
      </c>
      <c r="CF337" s="54">
        <v>556772</v>
      </c>
      <c r="CG337" s="54">
        <v>257739</v>
      </c>
      <c r="CH337" s="54">
        <v>27092</v>
      </c>
      <c r="CI337" s="54">
        <v>2135</v>
      </c>
      <c r="CJ337" s="54">
        <v>2039</v>
      </c>
      <c r="CK337" s="54">
        <v>25906</v>
      </c>
      <c r="CL337" s="54">
        <v>651158</v>
      </c>
      <c r="CM337" s="54">
        <v>430926</v>
      </c>
      <c r="CN337" s="54">
        <v>148424</v>
      </c>
      <c r="CO337" s="54">
        <v>282502</v>
      </c>
      <c r="CP337" s="54">
        <v>0</v>
      </c>
      <c r="CQ337" s="54">
        <v>217412</v>
      </c>
      <c r="CR337" s="54">
        <v>0</v>
      </c>
      <c r="CS337" s="54">
        <v>907</v>
      </c>
      <c r="CT337" s="54">
        <v>216505</v>
      </c>
      <c r="CU337" s="54">
        <v>2820</v>
      </c>
      <c r="CV337" s="54">
        <v>5120</v>
      </c>
      <c r="CW337" s="54">
        <v>1295</v>
      </c>
      <c r="CX337" s="54">
        <v>3670</v>
      </c>
      <c r="CY337" s="54">
        <v>155</v>
      </c>
      <c r="CZ337" s="54">
        <v>192266</v>
      </c>
      <c r="DA337" s="54">
        <v>1827</v>
      </c>
      <c r="DB337" s="54">
        <v>1827</v>
      </c>
      <c r="DC337" s="54">
        <v>0</v>
      </c>
      <c r="DD337" s="54">
        <v>0</v>
      </c>
      <c r="DE337" s="54">
        <v>0</v>
      </c>
      <c r="DF337" s="54">
        <v>0</v>
      </c>
      <c r="DG337" s="54">
        <v>71244</v>
      </c>
      <c r="DH337" s="54">
        <v>6941</v>
      </c>
      <c r="DI337" s="54">
        <v>608</v>
      </c>
      <c r="DJ337" s="54">
        <v>2462</v>
      </c>
      <c r="DK337" s="54">
        <v>3815</v>
      </c>
      <c r="DL337" s="54">
        <v>56</v>
      </c>
      <c r="DM337" s="54">
        <v>64303</v>
      </c>
      <c r="DN337" s="54">
        <v>32752</v>
      </c>
      <c r="DO337" s="54">
        <v>1088</v>
      </c>
      <c r="DP337" s="54">
        <v>15843</v>
      </c>
      <c r="DQ337" s="54">
        <v>14620</v>
      </c>
      <c r="DR337" s="54">
        <v>32196</v>
      </c>
      <c r="DS337" s="54">
        <v>2352</v>
      </c>
      <c r="DT337" s="54">
        <v>5616</v>
      </c>
      <c r="DU337" s="54">
        <v>342</v>
      </c>
      <c r="DV337" s="54">
        <v>23886</v>
      </c>
      <c r="DW337" s="54">
        <v>86999</v>
      </c>
      <c r="DX337" s="54">
        <v>1960466</v>
      </c>
      <c r="DY337" s="54">
        <v>1059643</v>
      </c>
      <c r="DZ337" s="54">
        <v>880324</v>
      </c>
      <c r="EA337" s="54">
        <v>195</v>
      </c>
      <c r="EB337" s="54">
        <v>19467</v>
      </c>
      <c r="EC337" s="54">
        <v>163929</v>
      </c>
      <c r="ED337" s="54">
        <v>-4272</v>
      </c>
      <c r="EE337" s="54">
        <v>29233</v>
      </c>
      <c r="EF337" s="54">
        <v>16633</v>
      </c>
      <c r="EG337" s="54">
        <v>12600</v>
      </c>
      <c r="EH337" s="54">
        <v>2172</v>
      </c>
      <c r="EI337" s="54">
        <v>301</v>
      </c>
      <c r="EJ337" s="54">
        <v>1871</v>
      </c>
      <c r="EK337" s="54">
        <v>9830</v>
      </c>
      <c r="EL337" s="54">
        <v>1345</v>
      </c>
      <c r="EM337" s="54">
        <v>5754</v>
      </c>
      <c r="EN337" s="54">
        <v>2731</v>
      </c>
      <c r="EO337" s="54">
        <v>859589</v>
      </c>
      <c r="EP337" s="54">
        <v>564460</v>
      </c>
      <c r="EQ337" s="54">
        <v>0</v>
      </c>
      <c r="ER337" s="54">
        <v>535570</v>
      </c>
      <c r="ES337" s="54">
        <v>58019</v>
      </c>
      <c r="ET337" s="54">
        <v>468686</v>
      </c>
      <c r="EU337" s="54">
        <v>1680</v>
      </c>
      <c r="EV337" s="54">
        <v>7185</v>
      </c>
      <c r="EW337" s="54">
        <v>5824</v>
      </c>
      <c r="EX337" s="54">
        <v>0</v>
      </c>
      <c r="EY337" s="54">
        <v>565</v>
      </c>
      <c r="EZ337" s="54">
        <v>2800</v>
      </c>
      <c r="FA337" s="54">
        <v>19651</v>
      </c>
      <c r="FB337" s="54">
        <v>0</v>
      </c>
      <c r="FC337" s="54">
        <v>50</v>
      </c>
      <c r="FD337" s="54">
        <v>295129</v>
      </c>
      <c r="FE337" s="54">
        <v>3000</v>
      </c>
      <c r="FF337" s="54">
        <v>109462</v>
      </c>
      <c r="FG337" s="54">
        <v>14959</v>
      </c>
      <c r="FH337" s="54">
        <v>89073</v>
      </c>
      <c r="FI337" s="54">
        <v>235</v>
      </c>
      <c r="FJ337" s="54">
        <v>5195</v>
      </c>
      <c r="FK337" s="54">
        <v>838</v>
      </c>
      <c r="FL337" s="54">
        <v>0</v>
      </c>
      <c r="FM337" s="54">
        <v>5864</v>
      </c>
      <c r="FN337" s="54">
        <v>63577</v>
      </c>
      <c r="FO337" s="54">
        <v>19717</v>
      </c>
      <c r="FP337" s="54">
        <v>92671</v>
      </c>
      <c r="FQ337" s="54">
        <v>1960467</v>
      </c>
      <c r="FR337" s="54">
        <v>452130</v>
      </c>
      <c r="FS337" s="54">
        <v>35150</v>
      </c>
      <c r="FT337" s="54"/>
    </row>
    <row r="338" spans="1:176" ht="13.5" customHeight="1" x14ac:dyDescent="0.2">
      <c r="A338" s="63">
        <v>12</v>
      </c>
      <c r="B338" s="43" t="s">
        <v>377</v>
      </c>
      <c r="C338" s="1" t="s">
        <v>378</v>
      </c>
      <c r="D338" s="43"/>
      <c r="E338" s="94">
        <f t="shared" si="28"/>
        <v>0</v>
      </c>
      <c r="F338" s="95"/>
      <c r="G338" s="54">
        <v>164755</v>
      </c>
      <c r="H338" s="54">
        <v>287993</v>
      </c>
      <c r="I338" s="54">
        <v>161985</v>
      </c>
      <c r="J338" s="54">
        <v>53748</v>
      </c>
      <c r="K338" s="54">
        <v>29074</v>
      </c>
      <c r="L338" s="54">
        <v>43186</v>
      </c>
      <c r="M338" s="54">
        <v>0</v>
      </c>
      <c r="N338" s="54">
        <v>6398</v>
      </c>
      <c r="O338" s="54">
        <v>1168404</v>
      </c>
      <c r="P338" s="54">
        <v>470417</v>
      </c>
      <c r="Q338" s="54">
        <v>350912</v>
      </c>
      <c r="R338" s="54">
        <v>119505</v>
      </c>
      <c r="S338" s="54">
        <v>98986</v>
      </c>
      <c r="T338" s="54">
        <v>20519</v>
      </c>
      <c r="U338" s="54">
        <v>542228</v>
      </c>
      <c r="V338" s="54">
        <v>59028</v>
      </c>
      <c r="W338" s="54">
        <v>74721</v>
      </c>
      <c r="X338" s="54">
        <v>22010</v>
      </c>
      <c r="Y338" s="54">
        <v>-874013</v>
      </c>
      <c r="Z338" s="54">
        <v>552339</v>
      </c>
      <c r="AA338" s="54">
        <v>471414</v>
      </c>
      <c r="AB338" s="54">
        <v>41512</v>
      </c>
      <c r="AC338" s="54">
        <v>39413</v>
      </c>
      <c r="AD338" s="54">
        <v>391411</v>
      </c>
      <c r="AE338" s="54">
        <v>3727</v>
      </c>
      <c r="AF338" s="54">
        <v>1360</v>
      </c>
      <c r="AG338" s="54">
        <v>8422</v>
      </c>
      <c r="AH338" s="54">
        <v>4724</v>
      </c>
      <c r="AI338" s="54">
        <v>4315</v>
      </c>
      <c r="AJ338" s="54">
        <v>1740</v>
      </c>
      <c r="AK338" s="54">
        <v>73464</v>
      </c>
      <c r="AL338" s="54">
        <v>54253</v>
      </c>
      <c r="AM338" s="54">
        <v>54253</v>
      </c>
      <c r="AN338" s="54">
        <v>0</v>
      </c>
      <c r="AO338" s="54">
        <v>5865</v>
      </c>
      <c r="AP338" s="54">
        <v>6797</v>
      </c>
      <c r="AQ338" s="54">
        <v>932</v>
      </c>
      <c r="AR338" s="54">
        <v>25076</v>
      </c>
      <c r="AS338" s="54">
        <v>1960</v>
      </c>
      <c r="AT338" s="54">
        <v>-1910</v>
      </c>
      <c r="AU338" s="54">
        <v>-215</v>
      </c>
      <c r="AV338" s="54">
        <v>24911</v>
      </c>
      <c r="AW338" s="54"/>
      <c r="AX338" s="54">
        <v>69176</v>
      </c>
      <c r="AY338" s="54">
        <v>73464</v>
      </c>
      <c r="AZ338" s="54">
        <v>5865</v>
      </c>
      <c r="BA338" s="54">
        <v>-10153</v>
      </c>
      <c r="BB338" s="54">
        <v>-77040</v>
      </c>
      <c r="BC338" s="54">
        <v>102676</v>
      </c>
      <c r="BD338" s="54">
        <v>12796</v>
      </c>
      <c r="BE338" s="54">
        <v>12840</v>
      </c>
      <c r="BF338" s="54">
        <v>-7864</v>
      </c>
      <c r="BG338" s="54">
        <v>-3888</v>
      </c>
      <c r="BH338" s="54">
        <v>-819</v>
      </c>
      <c r="BI338" s="54">
        <v>4828</v>
      </c>
      <c r="BJ338" s="54">
        <v>4009</v>
      </c>
      <c r="BK338" s="54">
        <v>-4548</v>
      </c>
      <c r="BL338" s="54">
        <v>39885</v>
      </c>
      <c r="BM338" s="54">
        <v>47744</v>
      </c>
      <c r="BN338" s="54">
        <v>3311</v>
      </c>
      <c r="BO338" s="54">
        <v>68</v>
      </c>
      <c r="BP338" s="54">
        <v>1411</v>
      </c>
      <c r="BQ338" s="54">
        <v>-115</v>
      </c>
      <c r="BR338" s="54">
        <v>49</v>
      </c>
      <c r="BS338" s="54">
        <v>2498</v>
      </c>
      <c r="BT338" s="54">
        <v>-1021</v>
      </c>
      <c r="BU338" s="54">
        <v>-11729</v>
      </c>
      <c r="BV338" s="54">
        <v>126981</v>
      </c>
      <c r="BW338" s="54">
        <v>138710</v>
      </c>
      <c r="BX338" s="54"/>
      <c r="BY338" s="54">
        <v>965940</v>
      </c>
      <c r="BZ338" s="54">
        <v>9365</v>
      </c>
      <c r="CA338" s="54">
        <v>18</v>
      </c>
      <c r="CB338" s="54">
        <v>9347</v>
      </c>
      <c r="CC338" s="54">
        <v>0</v>
      </c>
      <c r="CD338" s="54">
        <v>761180</v>
      </c>
      <c r="CE338" s="54">
        <v>123942</v>
      </c>
      <c r="CF338" s="54">
        <v>379368</v>
      </c>
      <c r="CG338" s="54">
        <v>204950</v>
      </c>
      <c r="CH338" s="54">
        <v>14989</v>
      </c>
      <c r="CI338" s="54">
        <v>6125</v>
      </c>
      <c r="CJ338" s="54">
        <v>6071</v>
      </c>
      <c r="CK338" s="54">
        <v>31806</v>
      </c>
      <c r="CL338" s="54">
        <v>195395</v>
      </c>
      <c r="CM338" s="54">
        <v>147280</v>
      </c>
      <c r="CN338" s="54">
        <v>46965</v>
      </c>
      <c r="CO338" s="54">
        <v>100315</v>
      </c>
      <c r="CP338" s="54">
        <v>0</v>
      </c>
      <c r="CQ338" s="54">
        <v>45571</v>
      </c>
      <c r="CR338" s="54">
        <v>0</v>
      </c>
      <c r="CS338" s="54">
        <v>0</v>
      </c>
      <c r="CT338" s="54">
        <v>45571</v>
      </c>
      <c r="CU338" s="54">
        <v>2544</v>
      </c>
      <c r="CV338" s="54">
        <v>8884</v>
      </c>
      <c r="CW338" s="54">
        <v>7185</v>
      </c>
      <c r="CX338" s="54">
        <v>1517</v>
      </c>
      <c r="CY338" s="54">
        <v>182</v>
      </c>
      <c r="CZ338" s="54">
        <v>188164</v>
      </c>
      <c r="DA338" s="54">
        <v>1118</v>
      </c>
      <c r="DB338" s="54">
        <v>1017</v>
      </c>
      <c r="DC338" s="54">
        <v>0</v>
      </c>
      <c r="DD338" s="54">
        <v>95</v>
      </c>
      <c r="DE338" s="54">
        <v>0</v>
      </c>
      <c r="DF338" s="54">
        <v>6</v>
      </c>
      <c r="DG338" s="54">
        <v>60064</v>
      </c>
      <c r="DH338" s="54">
        <v>10024</v>
      </c>
      <c r="DI338" s="54">
        <v>347</v>
      </c>
      <c r="DJ338" s="54">
        <v>7632</v>
      </c>
      <c r="DK338" s="54">
        <v>2045</v>
      </c>
      <c r="DL338" s="54">
        <v>0</v>
      </c>
      <c r="DM338" s="54">
        <v>50040</v>
      </c>
      <c r="DN338" s="54">
        <v>26245</v>
      </c>
      <c r="DO338" s="54">
        <v>2336</v>
      </c>
      <c r="DP338" s="54">
        <v>9359</v>
      </c>
      <c r="DQ338" s="54">
        <v>12100</v>
      </c>
      <c r="DR338" s="54">
        <v>84143</v>
      </c>
      <c r="DS338" s="54">
        <v>2447</v>
      </c>
      <c r="DT338" s="54">
        <v>10891</v>
      </c>
      <c r="DU338" s="54">
        <v>32870</v>
      </c>
      <c r="DV338" s="54">
        <v>37935</v>
      </c>
      <c r="DW338" s="54">
        <v>42839</v>
      </c>
      <c r="DX338" s="54">
        <v>1162988</v>
      </c>
      <c r="DY338" s="54">
        <v>604224</v>
      </c>
      <c r="DZ338" s="54">
        <v>442593</v>
      </c>
      <c r="EA338" s="54">
        <v>5616</v>
      </c>
      <c r="EB338" s="54">
        <v>63229</v>
      </c>
      <c r="EC338" s="54">
        <v>67874</v>
      </c>
      <c r="ED338" s="54">
        <v>24912</v>
      </c>
      <c r="EE338" s="54">
        <v>69869</v>
      </c>
      <c r="EF338" s="54">
        <v>52824</v>
      </c>
      <c r="EG338" s="54">
        <v>17045</v>
      </c>
      <c r="EH338" s="54">
        <v>774</v>
      </c>
      <c r="EI338" s="54">
        <v>0</v>
      </c>
      <c r="EJ338" s="54">
        <v>774</v>
      </c>
      <c r="EK338" s="54">
        <v>11531</v>
      </c>
      <c r="EL338" s="54">
        <v>7382</v>
      </c>
      <c r="EM338" s="54">
        <v>3182</v>
      </c>
      <c r="EN338" s="54">
        <v>967</v>
      </c>
      <c r="EO338" s="54">
        <v>476592</v>
      </c>
      <c r="EP338" s="54">
        <v>242783</v>
      </c>
      <c r="EQ338" s="54">
        <v>0</v>
      </c>
      <c r="ER338" s="54">
        <v>230686</v>
      </c>
      <c r="ES338" s="54">
        <v>39550</v>
      </c>
      <c r="ET338" s="54">
        <v>191136</v>
      </c>
      <c r="EU338" s="54">
        <v>0</v>
      </c>
      <c r="EV338" s="54">
        <v>0</v>
      </c>
      <c r="EW338" s="54">
        <v>6853</v>
      </c>
      <c r="EX338" s="54">
        <v>0</v>
      </c>
      <c r="EY338" s="54">
        <v>442</v>
      </c>
      <c r="EZ338" s="54">
        <v>183</v>
      </c>
      <c r="FA338" s="54">
        <v>4619</v>
      </c>
      <c r="FB338" s="54">
        <v>0</v>
      </c>
      <c r="FC338" s="54">
        <v>0</v>
      </c>
      <c r="FD338" s="54">
        <v>233809</v>
      </c>
      <c r="FE338" s="54">
        <v>0</v>
      </c>
      <c r="FF338" s="54">
        <v>58226</v>
      </c>
      <c r="FG338" s="54">
        <v>20085</v>
      </c>
      <c r="FH338" s="54">
        <v>38141</v>
      </c>
      <c r="FI338" s="54">
        <v>0</v>
      </c>
      <c r="FJ338" s="54">
        <v>0</v>
      </c>
      <c r="FK338" s="54">
        <v>1746</v>
      </c>
      <c r="FL338" s="54">
        <v>19732</v>
      </c>
      <c r="FM338" s="54">
        <v>564</v>
      </c>
      <c r="FN338" s="54">
        <v>63337</v>
      </c>
      <c r="FO338" s="54">
        <v>11130</v>
      </c>
      <c r="FP338" s="54">
        <v>79074</v>
      </c>
      <c r="FQ338" s="54">
        <v>1162990</v>
      </c>
      <c r="FR338" s="54">
        <v>175332</v>
      </c>
      <c r="FS338" s="54">
        <v>21818</v>
      </c>
      <c r="FT338" s="54"/>
    </row>
    <row r="339" spans="1:176" ht="13.5" customHeight="1" x14ac:dyDescent="0.2">
      <c r="A339" s="63">
        <v>13</v>
      </c>
      <c r="B339" s="43" t="s">
        <v>379</v>
      </c>
      <c r="C339" s="1" t="s">
        <v>380</v>
      </c>
      <c r="D339" s="43"/>
      <c r="E339" s="94">
        <f t="shared" si="28"/>
        <v>0</v>
      </c>
      <c r="F339" s="95"/>
      <c r="G339" s="54">
        <v>275780</v>
      </c>
      <c r="H339" s="54">
        <v>389478</v>
      </c>
      <c r="I339" s="54">
        <v>185750</v>
      </c>
      <c r="J339" s="54">
        <v>87742</v>
      </c>
      <c r="K339" s="54">
        <v>41194</v>
      </c>
      <c r="L339" s="54">
        <v>74792</v>
      </c>
      <c r="M339" s="54">
        <v>0</v>
      </c>
      <c r="N339" s="54">
        <v>893</v>
      </c>
      <c r="O339" s="54">
        <v>1779420</v>
      </c>
      <c r="P339" s="54">
        <v>701768</v>
      </c>
      <c r="Q339" s="54">
        <v>531922</v>
      </c>
      <c r="R339" s="54">
        <v>169846</v>
      </c>
      <c r="S339" s="54">
        <v>138498</v>
      </c>
      <c r="T339" s="54">
        <v>31348</v>
      </c>
      <c r="U339" s="54">
        <v>815253</v>
      </c>
      <c r="V339" s="54">
        <v>92259</v>
      </c>
      <c r="W339" s="54">
        <v>127520</v>
      </c>
      <c r="X339" s="54">
        <v>42620</v>
      </c>
      <c r="Y339" s="54">
        <v>-1389049</v>
      </c>
      <c r="Z339" s="54">
        <v>968363</v>
      </c>
      <c r="AA339" s="54">
        <v>831294</v>
      </c>
      <c r="AB339" s="54">
        <v>61361</v>
      </c>
      <c r="AC339" s="54">
        <v>75708</v>
      </c>
      <c r="AD339" s="54">
        <v>506308</v>
      </c>
      <c r="AE339" s="54">
        <v>16111</v>
      </c>
      <c r="AF339" s="54">
        <v>14897</v>
      </c>
      <c r="AG339" s="54">
        <v>11089</v>
      </c>
      <c r="AH339" s="54">
        <v>6863</v>
      </c>
      <c r="AI339" s="54">
        <v>8915</v>
      </c>
      <c r="AJ339" s="54">
        <v>960</v>
      </c>
      <c r="AK339" s="54">
        <v>101733</v>
      </c>
      <c r="AL339" s="54">
        <v>104820</v>
      </c>
      <c r="AM339" s="54">
        <v>104089</v>
      </c>
      <c r="AN339" s="54">
        <v>731</v>
      </c>
      <c r="AO339" s="54">
        <v>10318</v>
      </c>
      <c r="AP339" s="54">
        <v>10355</v>
      </c>
      <c r="AQ339" s="54">
        <v>37</v>
      </c>
      <c r="AR339" s="54">
        <v>7231</v>
      </c>
      <c r="AS339" s="54">
        <v>824</v>
      </c>
      <c r="AT339" s="54">
        <v>0</v>
      </c>
      <c r="AU339" s="54">
        <v>24</v>
      </c>
      <c r="AV339" s="54">
        <v>8079</v>
      </c>
      <c r="AW339" s="54"/>
      <c r="AX339" s="54">
        <v>93780</v>
      </c>
      <c r="AY339" s="54">
        <v>101733</v>
      </c>
      <c r="AZ339" s="54">
        <v>10318</v>
      </c>
      <c r="BA339" s="54">
        <v>-18271</v>
      </c>
      <c r="BB339" s="54">
        <v>-160905</v>
      </c>
      <c r="BC339" s="54">
        <v>201241</v>
      </c>
      <c r="BD339" s="54">
        <v>8995</v>
      </c>
      <c r="BE339" s="54">
        <v>31341</v>
      </c>
      <c r="BF339" s="54">
        <v>-67125</v>
      </c>
      <c r="BG339" s="54">
        <v>70884</v>
      </c>
      <c r="BH339" s="54">
        <v>47949</v>
      </c>
      <c r="BI339" s="54">
        <v>16522</v>
      </c>
      <c r="BJ339" s="54">
        <v>64471</v>
      </c>
      <c r="BK339" s="54">
        <v>22249</v>
      </c>
      <c r="BL339" s="54">
        <v>64025</v>
      </c>
      <c r="BM339" s="54">
        <v>68219</v>
      </c>
      <c r="BN339" s="54">
        <v>26443</v>
      </c>
      <c r="BO339" s="54">
        <v>473</v>
      </c>
      <c r="BP339" s="54">
        <v>213</v>
      </c>
      <c r="BQ339" s="54">
        <v>942</v>
      </c>
      <c r="BR339" s="54">
        <v>426</v>
      </c>
      <c r="BS339" s="54">
        <v>-1359</v>
      </c>
      <c r="BT339" s="54">
        <v>204</v>
      </c>
      <c r="BU339" s="54">
        <v>3757</v>
      </c>
      <c r="BV339" s="54">
        <v>72377</v>
      </c>
      <c r="BW339" s="54">
        <v>68620</v>
      </c>
      <c r="BX339" s="54"/>
      <c r="BY339" s="54">
        <v>1935482</v>
      </c>
      <c r="BZ339" s="54">
        <v>16528</v>
      </c>
      <c r="CA339" s="54">
        <v>4770</v>
      </c>
      <c r="CB339" s="54">
        <v>11758</v>
      </c>
      <c r="CC339" s="54">
        <v>0</v>
      </c>
      <c r="CD339" s="54">
        <v>1350347</v>
      </c>
      <c r="CE339" s="54">
        <v>234342</v>
      </c>
      <c r="CF339" s="54">
        <v>822121</v>
      </c>
      <c r="CG339" s="54">
        <v>227823</v>
      </c>
      <c r="CH339" s="54">
        <v>27110</v>
      </c>
      <c r="CI339" s="54">
        <v>496</v>
      </c>
      <c r="CJ339" s="54">
        <v>332</v>
      </c>
      <c r="CK339" s="54">
        <v>38455</v>
      </c>
      <c r="CL339" s="54">
        <v>568607</v>
      </c>
      <c r="CM339" s="54">
        <v>334650</v>
      </c>
      <c r="CN339" s="54">
        <v>70657</v>
      </c>
      <c r="CO339" s="54">
        <v>263993</v>
      </c>
      <c r="CP339" s="54">
        <v>150000</v>
      </c>
      <c r="CQ339" s="54">
        <v>79591</v>
      </c>
      <c r="CR339" s="54">
        <v>0</v>
      </c>
      <c r="CS339" s="54">
        <v>0</v>
      </c>
      <c r="CT339" s="54">
        <v>79591</v>
      </c>
      <c r="CU339" s="54">
        <v>4366</v>
      </c>
      <c r="CV339" s="54">
        <v>1483</v>
      </c>
      <c r="CW339" s="54">
        <v>318</v>
      </c>
      <c r="CX339" s="54">
        <v>1109</v>
      </c>
      <c r="CY339" s="54">
        <v>56</v>
      </c>
      <c r="CZ339" s="54">
        <v>162474</v>
      </c>
      <c r="DA339" s="54">
        <v>3194</v>
      </c>
      <c r="DB339" s="54">
        <v>2417</v>
      </c>
      <c r="DC339" s="54">
        <v>0</v>
      </c>
      <c r="DD339" s="54">
        <v>41</v>
      </c>
      <c r="DE339" s="54">
        <v>731</v>
      </c>
      <c r="DF339" s="54">
        <v>5</v>
      </c>
      <c r="DG339" s="54">
        <v>86895</v>
      </c>
      <c r="DH339" s="54">
        <v>12904</v>
      </c>
      <c r="DI339" s="54">
        <v>5035</v>
      </c>
      <c r="DJ339" s="54">
        <v>6169</v>
      </c>
      <c r="DK339" s="54">
        <v>1694</v>
      </c>
      <c r="DL339" s="54">
        <v>6</v>
      </c>
      <c r="DM339" s="54">
        <v>73991</v>
      </c>
      <c r="DN339" s="54">
        <v>37249</v>
      </c>
      <c r="DO339" s="54">
        <v>1961</v>
      </c>
      <c r="DP339" s="54">
        <v>20805</v>
      </c>
      <c r="DQ339" s="54">
        <v>13976</v>
      </c>
      <c r="DR339" s="54">
        <v>27049</v>
      </c>
      <c r="DS339" s="54">
        <v>13160</v>
      </c>
      <c r="DT339" s="54">
        <v>2292</v>
      </c>
      <c r="DU339" s="54">
        <v>5236</v>
      </c>
      <c r="DV339" s="54">
        <v>6361</v>
      </c>
      <c r="DW339" s="54">
        <v>45336</v>
      </c>
      <c r="DX339" s="54">
        <v>2099439</v>
      </c>
      <c r="DY339" s="54">
        <v>988458</v>
      </c>
      <c r="DZ339" s="54">
        <v>839264</v>
      </c>
      <c r="EA339" s="54">
        <v>716</v>
      </c>
      <c r="EB339" s="54">
        <v>15368</v>
      </c>
      <c r="EC339" s="54">
        <v>125030</v>
      </c>
      <c r="ED339" s="54">
        <v>8080</v>
      </c>
      <c r="EE339" s="54">
        <v>16324</v>
      </c>
      <c r="EF339" s="54">
        <v>14518</v>
      </c>
      <c r="EG339" s="54">
        <v>1806</v>
      </c>
      <c r="EH339" s="54">
        <v>1596</v>
      </c>
      <c r="EI339" s="54">
        <v>653</v>
      </c>
      <c r="EJ339" s="54">
        <v>943</v>
      </c>
      <c r="EK339" s="54">
        <v>6573</v>
      </c>
      <c r="EL339" s="54">
        <v>314</v>
      </c>
      <c r="EM339" s="54">
        <v>3849</v>
      </c>
      <c r="EN339" s="54">
        <v>2410</v>
      </c>
      <c r="EO339" s="54">
        <v>1086480</v>
      </c>
      <c r="EP339" s="54">
        <v>529840</v>
      </c>
      <c r="EQ339" s="54">
        <v>30000</v>
      </c>
      <c r="ER339" s="54">
        <v>480643</v>
      </c>
      <c r="ES339" s="54">
        <v>14344</v>
      </c>
      <c r="ET339" s="54">
        <v>441299</v>
      </c>
      <c r="EU339" s="54">
        <v>0</v>
      </c>
      <c r="EV339" s="54">
        <v>25000</v>
      </c>
      <c r="EW339" s="54">
        <v>7971</v>
      </c>
      <c r="EX339" s="54">
        <v>500</v>
      </c>
      <c r="EY339" s="54">
        <v>359</v>
      </c>
      <c r="EZ339" s="54">
        <v>62</v>
      </c>
      <c r="FA339" s="54">
        <v>10304</v>
      </c>
      <c r="FB339" s="54">
        <v>0</v>
      </c>
      <c r="FC339" s="54">
        <v>1</v>
      </c>
      <c r="FD339" s="54">
        <v>556640</v>
      </c>
      <c r="FE339" s="54">
        <v>8550</v>
      </c>
      <c r="FF339" s="54">
        <v>248596</v>
      </c>
      <c r="FG339" s="54">
        <v>68521</v>
      </c>
      <c r="FH339" s="54">
        <v>155064</v>
      </c>
      <c r="FI339" s="54">
        <v>25011</v>
      </c>
      <c r="FJ339" s="54">
        <v>0</v>
      </c>
      <c r="FK339" s="54">
        <v>1566</v>
      </c>
      <c r="FL339" s="54">
        <v>64176</v>
      </c>
      <c r="FM339" s="54">
        <v>14844</v>
      </c>
      <c r="FN339" s="54">
        <v>105301</v>
      </c>
      <c r="FO339" s="54">
        <v>16090</v>
      </c>
      <c r="FP339" s="54">
        <v>97517</v>
      </c>
      <c r="FQ339" s="54">
        <v>2099431</v>
      </c>
      <c r="FR339" s="54">
        <v>830022</v>
      </c>
      <c r="FS339" s="54">
        <v>68720</v>
      </c>
      <c r="FT339" s="54"/>
    </row>
    <row r="340" spans="1:176" ht="13.5" customHeight="1" x14ac:dyDescent="0.2">
      <c r="A340" s="63">
        <v>14</v>
      </c>
      <c r="B340" s="43" t="s">
        <v>381</v>
      </c>
      <c r="C340" s="1" t="s">
        <v>382</v>
      </c>
      <c r="D340" s="43"/>
      <c r="E340" s="94">
        <f t="shared" si="28"/>
        <v>0</v>
      </c>
      <c r="F340" s="95"/>
      <c r="G340" s="54">
        <v>192586</v>
      </c>
      <c r="H340" s="54">
        <v>264522</v>
      </c>
      <c r="I340" s="54">
        <v>160114</v>
      </c>
      <c r="J340" s="54">
        <v>45973</v>
      </c>
      <c r="K340" s="54">
        <v>17296</v>
      </c>
      <c r="L340" s="54">
        <v>41139</v>
      </c>
      <c r="M340" s="54">
        <v>0</v>
      </c>
      <c r="N340" s="54">
        <v>650</v>
      </c>
      <c r="O340" s="54">
        <v>1341371</v>
      </c>
      <c r="P340" s="54">
        <v>488423</v>
      </c>
      <c r="Q340" s="54">
        <v>371736</v>
      </c>
      <c r="R340" s="54">
        <v>116687</v>
      </c>
      <c r="S340" s="54">
        <v>95059</v>
      </c>
      <c r="T340" s="54">
        <v>21628</v>
      </c>
      <c r="U340" s="54">
        <v>705000</v>
      </c>
      <c r="V340" s="54">
        <v>62922</v>
      </c>
      <c r="W340" s="54">
        <v>60266</v>
      </c>
      <c r="X340" s="54">
        <v>24760</v>
      </c>
      <c r="Y340" s="54">
        <v>-1076199</v>
      </c>
      <c r="Z340" s="54">
        <v>657393</v>
      </c>
      <c r="AA340" s="54">
        <v>565807</v>
      </c>
      <c r="AB340" s="54">
        <v>48684</v>
      </c>
      <c r="AC340" s="54">
        <v>42902</v>
      </c>
      <c r="AD340" s="54">
        <v>450732</v>
      </c>
      <c r="AE340" s="54">
        <v>15506</v>
      </c>
      <c r="AF340" s="54">
        <v>6757</v>
      </c>
      <c r="AG340" s="54">
        <v>17183</v>
      </c>
      <c r="AH340" s="54">
        <v>13727</v>
      </c>
      <c r="AI340" s="54">
        <v>7639</v>
      </c>
      <c r="AJ340" s="54">
        <v>795</v>
      </c>
      <c r="AK340" s="54">
        <v>47432</v>
      </c>
      <c r="AL340" s="54">
        <v>52841</v>
      </c>
      <c r="AM340" s="54">
        <v>52766</v>
      </c>
      <c r="AN340" s="54">
        <v>75</v>
      </c>
      <c r="AO340" s="54">
        <v>138</v>
      </c>
      <c r="AP340" s="54">
        <v>588</v>
      </c>
      <c r="AQ340" s="54">
        <v>450</v>
      </c>
      <c r="AR340" s="54">
        <v>-5271</v>
      </c>
      <c r="AS340" s="54">
        <v>-269</v>
      </c>
      <c r="AT340" s="54">
        <v>768</v>
      </c>
      <c r="AU340" s="54">
        <v>330</v>
      </c>
      <c r="AV340" s="54">
        <v>-4442</v>
      </c>
      <c r="AW340" s="54"/>
      <c r="AX340" s="54">
        <v>40073</v>
      </c>
      <c r="AY340" s="54">
        <v>47432</v>
      </c>
      <c r="AZ340" s="54">
        <v>138</v>
      </c>
      <c r="BA340" s="54">
        <v>-7497</v>
      </c>
      <c r="BB340" s="54">
        <v>-83935</v>
      </c>
      <c r="BC340" s="54">
        <v>103508</v>
      </c>
      <c r="BD340" s="54">
        <v>5425</v>
      </c>
      <c r="BE340" s="54">
        <v>14148</v>
      </c>
      <c r="BF340" s="54">
        <v>-43862</v>
      </c>
      <c r="BG340" s="54">
        <v>40832</v>
      </c>
      <c r="BH340" s="54">
        <v>-299</v>
      </c>
      <c r="BI340" s="54">
        <v>5201</v>
      </c>
      <c r="BJ340" s="54">
        <v>4902</v>
      </c>
      <c r="BK340" s="54">
        <v>41551</v>
      </c>
      <c r="BL340" s="54">
        <v>95124</v>
      </c>
      <c r="BM340" s="54">
        <v>77137</v>
      </c>
      <c r="BN340" s="54">
        <v>23564</v>
      </c>
      <c r="BO340" s="54">
        <v>-78</v>
      </c>
      <c r="BP340" s="54">
        <v>-342</v>
      </c>
      <c r="BQ340" s="54">
        <v>205</v>
      </c>
      <c r="BR340" s="54">
        <v>146</v>
      </c>
      <c r="BS340" s="54">
        <v>12917</v>
      </c>
      <c r="BT340" s="54">
        <v>-13610</v>
      </c>
      <c r="BU340" s="54">
        <v>-3033</v>
      </c>
      <c r="BV340" s="54">
        <v>93638</v>
      </c>
      <c r="BW340" s="54">
        <v>96671</v>
      </c>
      <c r="BX340" s="54"/>
      <c r="BY340" s="54">
        <v>1365446</v>
      </c>
      <c r="BZ340" s="54">
        <v>9240</v>
      </c>
      <c r="CA340" s="54">
        <v>2877</v>
      </c>
      <c r="CB340" s="54">
        <v>6363</v>
      </c>
      <c r="CC340" s="54">
        <v>0</v>
      </c>
      <c r="CD340" s="54">
        <v>949960</v>
      </c>
      <c r="CE340" s="54">
        <v>199183</v>
      </c>
      <c r="CF340" s="54">
        <v>494552</v>
      </c>
      <c r="CG340" s="54">
        <v>197730</v>
      </c>
      <c r="CH340" s="54">
        <v>18648</v>
      </c>
      <c r="CI340" s="54">
        <v>1174</v>
      </c>
      <c r="CJ340" s="54">
        <v>1113</v>
      </c>
      <c r="CK340" s="54">
        <v>38673</v>
      </c>
      <c r="CL340" s="54">
        <v>406246</v>
      </c>
      <c r="CM340" s="54">
        <v>260995</v>
      </c>
      <c r="CN340" s="54">
        <v>104404</v>
      </c>
      <c r="CO340" s="54">
        <v>156591</v>
      </c>
      <c r="CP340" s="54">
        <v>0</v>
      </c>
      <c r="CQ340" s="54">
        <v>143121</v>
      </c>
      <c r="CR340" s="54">
        <v>0</v>
      </c>
      <c r="CS340" s="54">
        <v>375</v>
      </c>
      <c r="CT340" s="54">
        <v>142746</v>
      </c>
      <c r="CU340" s="54">
        <v>2130</v>
      </c>
      <c r="CV340" s="54">
        <v>3361</v>
      </c>
      <c r="CW340" s="54">
        <v>903</v>
      </c>
      <c r="CX340" s="54">
        <v>2228</v>
      </c>
      <c r="CY340" s="54">
        <v>230</v>
      </c>
      <c r="CZ340" s="54">
        <v>144765</v>
      </c>
      <c r="DA340" s="54">
        <v>1240</v>
      </c>
      <c r="DB340" s="54">
        <v>1115</v>
      </c>
      <c r="DC340" s="54">
        <v>0</v>
      </c>
      <c r="DD340" s="54">
        <v>16</v>
      </c>
      <c r="DE340" s="54">
        <v>48</v>
      </c>
      <c r="DF340" s="54">
        <v>61</v>
      </c>
      <c r="DG340" s="54">
        <v>49885</v>
      </c>
      <c r="DH340" s="54">
        <v>1995</v>
      </c>
      <c r="DI340" s="54">
        <v>909</v>
      </c>
      <c r="DJ340" s="54">
        <v>735</v>
      </c>
      <c r="DK340" s="54">
        <v>351</v>
      </c>
      <c r="DL340" s="54">
        <v>0</v>
      </c>
      <c r="DM340" s="54">
        <v>47890</v>
      </c>
      <c r="DN340" s="54">
        <v>24947</v>
      </c>
      <c r="DO340" s="54">
        <v>3477</v>
      </c>
      <c r="DP340" s="54">
        <v>10884</v>
      </c>
      <c r="DQ340" s="54">
        <v>8582</v>
      </c>
      <c r="DR340" s="54">
        <v>47809</v>
      </c>
      <c r="DS340" s="54">
        <v>24752</v>
      </c>
      <c r="DT340" s="54">
        <v>10848</v>
      </c>
      <c r="DU340" s="54">
        <v>0</v>
      </c>
      <c r="DV340" s="54">
        <v>12209</v>
      </c>
      <c r="DW340" s="54">
        <v>45831</v>
      </c>
      <c r="DX340" s="54">
        <v>1513572</v>
      </c>
      <c r="DY340" s="54">
        <v>701507</v>
      </c>
      <c r="DZ340" s="54">
        <v>624066</v>
      </c>
      <c r="EA340" s="54">
        <v>64</v>
      </c>
      <c r="EB340" s="54">
        <v>6816</v>
      </c>
      <c r="EC340" s="54">
        <v>75003</v>
      </c>
      <c r="ED340" s="54">
        <v>-4442</v>
      </c>
      <c r="EE340" s="54">
        <v>9112</v>
      </c>
      <c r="EF340" s="54">
        <v>7337</v>
      </c>
      <c r="EG340" s="54">
        <v>1775</v>
      </c>
      <c r="EH340" s="54">
        <v>799</v>
      </c>
      <c r="EI340" s="54">
        <v>233</v>
      </c>
      <c r="EJ340" s="54">
        <v>566</v>
      </c>
      <c r="EK340" s="54">
        <v>5264</v>
      </c>
      <c r="EL340" s="54">
        <v>812</v>
      </c>
      <c r="EM340" s="54">
        <v>2985</v>
      </c>
      <c r="EN340" s="54">
        <v>1467</v>
      </c>
      <c r="EO340" s="54">
        <v>796888</v>
      </c>
      <c r="EP340" s="54">
        <v>467715</v>
      </c>
      <c r="EQ340" s="54">
        <v>0</v>
      </c>
      <c r="ER340" s="54">
        <v>447406</v>
      </c>
      <c r="ES340" s="54">
        <v>64851</v>
      </c>
      <c r="ET340" s="54">
        <v>342353</v>
      </c>
      <c r="EU340" s="54">
        <v>40202</v>
      </c>
      <c r="EV340" s="54">
        <v>0</v>
      </c>
      <c r="EW340" s="54">
        <v>7856</v>
      </c>
      <c r="EX340" s="54">
        <v>125</v>
      </c>
      <c r="EY340" s="54">
        <v>643</v>
      </c>
      <c r="EZ340" s="54">
        <v>0</v>
      </c>
      <c r="FA340" s="54">
        <v>11685</v>
      </c>
      <c r="FB340" s="54">
        <v>0</v>
      </c>
      <c r="FC340" s="54">
        <v>0</v>
      </c>
      <c r="FD340" s="54">
        <v>329173</v>
      </c>
      <c r="FE340" s="54">
        <v>9500</v>
      </c>
      <c r="FF340" s="54">
        <v>162473</v>
      </c>
      <c r="FG340" s="54">
        <v>57725</v>
      </c>
      <c r="FH340" s="54">
        <v>92807</v>
      </c>
      <c r="FI340" s="54">
        <v>10721</v>
      </c>
      <c r="FJ340" s="54">
        <v>1220</v>
      </c>
      <c r="FK340" s="54">
        <v>2833</v>
      </c>
      <c r="FL340" s="54">
        <v>497</v>
      </c>
      <c r="FM340" s="54">
        <v>1597</v>
      </c>
      <c r="FN340" s="54">
        <v>61224</v>
      </c>
      <c r="FO340" s="54">
        <v>18749</v>
      </c>
      <c r="FP340" s="54">
        <v>72300</v>
      </c>
      <c r="FQ340" s="54">
        <v>1513570</v>
      </c>
      <c r="FR340" s="54">
        <v>344841</v>
      </c>
      <c r="FS340" s="54">
        <v>63577</v>
      </c>
      <c r="FT340" s="54"/>
    </row>
    <row r="341" spans="1:176" ht="13.5" customHeight="1" x14ac:dyDescent="0.2">
      <c r="A341" s="63">
        <v>15</v>
      </c>
      <c r="B341" s="43" t="s">
        <v>383</v>
      </c>
      <c r="C341" s="1" t="s">
        <v>384</v>
      </c>
      <c r="D341" s="43"/>
      <c r="E341" s="94">
        <f t="shared" si="28"/>
        <v>0</v>
      </c>
      <c r="F341" s="95"/>
      <c r="G341" s="54">
        <v>181679</v>
      </c>
      <c r="H341" s="54">
        <v>324570</v>
      </c>
      <c r="I341" s="54">
        <v>180467</v>
      </c>
      <c r="J341" s="54">
        <v>68435</v>
      </c>
      <c r="K341" s="54">
        <v>27344</v>
      </c>
      <c r="L341" s="54">
        <v>48324</v>
      </c>
      <c r="M341" s="54">
        <v>1</v>
      </c>
      <c r="N341" s="54">
        <v>4020</v>
      </c>
      <c r="O341" s="54">
        <v>1329910</v>
      </c>
      <c r="P341" s="54">
        <v>629495</v>
      </c>
      <c r="Q341" s="54">
        <v>486949</v>
      </c>
      <c r="R341" s="54">
        <v>142546</v>
      </c>
      <c r="S341" s="54">
        <v>114694</v>
      </c>
      <c r="T341" s="54">
        <v>27852</v>
      </c>
      <c r="U341" s="54">
        <v>526880</v>
      </c>
      <c r="V341" s="54">
        <v>76513</v>
      </c>
      <c r="W341" s="54">
        <v>67839</v>
      </c>
      <c r="X341" s="54">
        <v>29183</v>
      </c>
      <c r="Y341" s="54">
        <v>-1001319</v>
      </c>
      <c r="Z341" s="54">
        <v>691290</v>
      </c>
      <c r="AA341" s="54">
        <v>583461</v>
      </c>
      <c r="AB341" s="54">
        <v>60635</v>
      </c>
      <c r="AC341" s="54">
        <v>47194</v>
      </c>
      <c r="AD341" s="54">
        <v>343151</v>
      </c>
      <c r="AE341" s="54">
        <v>9134</v>
      </c>
      <c r="AF341" s="54">
        <v>1108</v>
      </c>
      <c r="AG341" s="54">
        <v>15736</v>
      </c>
      <c r="AH341" s="54">
        <v>12466</v>
      </c>
      <c r="AI341" s="54">
        <v>6685</v>
      </c>
      <c r="AJ341" s="54">
        <v>1025</v>
      </c>
      <c r="AK341" s="54">
        <v>42256</v>
      </c>
      <c r="AL341" s="54">
        <v>63919</v>
      </c>
      <c r="AM341" s="54">
        <v>63598</v>
      </c>
      <c r="AN341" s="54">
        <v>321</v>
      </c>
      <c r="AO341" s="54">
        <v>0</v>
      </c>
      <c r="AP341" s="54">
        <v>0</v>
      </c>
      <c r="AQ341" s="54">
        <v>0</v>
      </c>
      <c r="AR341" s="54">
        <v>-21663</v>
      </c>
      <c r="AS341" s="54">
        <v>-213</v>
      </c>
      <c r="AT341" s="54">
        <v>2400</v>
      </c>
      <c r="AU341" s="54">
        <v>323</v>
      </c>
      <c r="AV341" s="54">
        <v>-19153</v>
      </c>
      <c r="AW341" s="54"/>
      <c r="AX341" s="54">
        <v>30655</v>
      </c>
      <c r="AY341" s="54">
        <v>42256</v>
      </c>
      <c r="AZ341" s="54">
        <v>0</v>
      </c>
      <c r="BA341" s="54">
        <v>-11601</v>
      </c>
      <c r="BB341" s="54">
        <v>-90909</v>
      </c>
      <c r="BC341" s="54">
        <v>107959</v>
      </c>
      <c r="BD341" s="54">
        <v>6994</v>
      </c>
      <c r="BE341" s="54">
        <v>10056</v>
      </c>
      <c r="BF341" s="54">
        <v>-60254</v>
      </c>
      <c r="BG341" s="54">
        <v>11130</v>
      </c>
      <c r="BH341" s="54">
        <v>-1636</v>
      </c>
      <c r="BI341" s="54">
        <v>3227</v>
      </c>
      <c r="BJ341" s="54">
        <v>1591</v>
      </c>
      <c r="BK341" s="54">
        <v>11217</v>
      </c>
      <c r="BL341" s="54">
        <v>57155</v>
      </c>
      <c r="BM341" s="54">
        <v>83604</v>
      </c>
      <c r="BN341" s="54">
        <v>37666</v>
      </c>
      <c r="BO341" s="54">
        <v>60</v>
      </c>
      <c r="BP341" s="54">
        <v>1489</v>
      </c>
      <c r="BQ341" s="54">
        <v>77</v>
      </c>
      <c r="BR341" s="54">
        <v>310</v>
      </c>
      <c r="BS341" s="54">
        <v>3895</v>
      </c>
      <c r="BT341" s="54">
        <v>-2793</v>
      </c>
      <c r="BU341" s="54">
        <v>-49120</v>
      </c>
      <c r="BV341" s="54">
        <v>63197</v>
      </c>
      <c r="BW341" s="54">
        <v>112317</v>
      </c>
      <c r="BX341" s="54"/>
      <c r="BY341" s="54">
        <v>1370194</v>
      </c>
      <c r="BZ341" s="54">
        <v>19521</v>
      </c>
      <c r="CA341" s="54">
        <v>795</v>
      </c>
      <c r="CB341" s="54">
        <v>18726</v>
      </c>
      <c r="CC341" s="54">
        <v>0</v>
      </c>
      <c r="CD341" s="54">
        <v>1032748</v>
      </c>
      <c r="CE341" s="54">
        <v>235563</v>
      </c>
      <c r="CF341" s="54">
        <v>499314</v>
      </c>
      <c r="CG341" s="54">
        <v>230506</v>
      </c>
      <c r="CH341" s="54">
        <v>27571</v>
      </c>
      <c r="CI341" s="54">
        <v>1053</v>
      </c>
      <c r="CJ341" s="54">
        <v>1043</v>
      </c>
      <c r="CK341" s="54">
        <v>38741</v>
      </c>
      <c r="CL341" s="54">
        <v>317925</v>
      </c>
      <c r="CM341" s="54">
        <v>272647</v>
      </c>
      <c r="CN341" s="54">
        <v>110793</v>
      </c>
      <c r="CO341" s="54">
        <v>161854</v>
      </c>
      <c r="CP341" s="54">
        <v>0</v>
      </c>
      <c r="CQ341" s="54">
        <v>41733</v>
      </c>
      <c r="CR341" s="54">
        <v>0</v>
      </c>
      <c r="CS341" s="54">
        <v>0</v>
      </c>
      <c r="CT341" s="54">
        <v>41733</v>
      </c>
      <c r="CU341" s="54">
        <v>3545</v>
      </c>
      <c r="CV341" s="54">
        <v>34515</v>
      </c>
      <c r="CW341" s="54">
        <v>20</v>
      </c>
      <c r="CX341" s="54">
        <v>34257</v>
      </c>
      <c r="CY341" s="54">
        <v>238</v>
      </c>
      <c r="CZ341" s="54">
        <v>141693</v>
      </c>
      <c r="DA341" s="54">
        <v>4038</v>
      </c>
      <c r="DB341" s="54">
        <v>1899</v>
      </c>
      <c r="DC341" s="54">
        <v>2068</v>
      </c>
      <c r="DD341" s="54">
        <v>9</v>
      </c>
      <c r="DE341" s="54">
        <v>0</v>
      </c>
      <c r="DF341" s="54">
        <v>62</v>
      </c>
      <c r="DG341" s="54">
        <v>74923</v>
      </c>
      <c r="DH341" s="54">
        <v>5931</v>
      </c>
      <c r="DI341" s="54">
        <v>403</v>
      </c>
      <c r="DJ341" s="54">
        <v>1756</v>
      </c>
      <c r="DK341" s="54">
        <v>1764</v>
      </c>
      <c r="DL341" s="54">
        <v>2008</v>
      </c>
      <c r="DM341" s="54">
        <v>68992</v>
      </c>
      <c r="DN341" s="54">
        <v>35272</v>
      </c>
      <c r="DO341" s="54">
        <v>7473</v>
      </c>
      <c r="DP341" s="54">
        <v>20370</v>
      </c>
      <c r="DQ341" s="54">
        <v>5877</v>
      </c>
      <c r="DR341" s="54">
        <v>23959</v>
      </c>
      <c r="DS341" s="54">
        <v>7847</v>
      </c>
      <c r="DT341" s="54">
        <v>4653</v>
      </c>
      <c r="DU341" s="54">
        <v>50</v>
      </c>
      <c r="DV341" s="54">
        <v>11409</v>
      </c>
      <c r="DW341" s="54">
        <v>38773</v>
      </c>
      <c r="DX341" s="54">
        <v>1546402</v>
      </c>
      <c r="DY341" s="54">
        <v>760370</v>
      </c>
      <c r="DZ341" s="54">
        <v>464782</v>
      </c>
      <c r="EA341" s="54">
        <v>132247</v>
      </c>
      <c r="EB341" s="54">
        <v>26543</v>
      </c>
      <c r="EC341" s="54">
        <v>155953</v>
      </c>
      <c r="ED341" s="54">
        <v>-19155</v>
      </c>
      <c r="EE341" s="54">
        <v>13825</v>
      </c>
      <c r="EF341" s="54">
        <v>12445</v>
      </c>
      <c r="EG341" s="54">
        <v>1380</v>
      </c>
      <c r="EH341" s="54">
        <v>5122</v>
      </c>
      <c r="EI341" s="54">
        <v>1157</v>
      </c>
      <c r="EJ341" s="54">
        <v>3965</v>
      </c>
      <c r="EK341" s="54">
        <v>40383</v>
      </c>
      <c r="EL341" s="54">
        <v>173</v>
      </c>
      <c r="EM341" s="54">
        <v>39660</v>
      </c>
      <c r="EN341" s="54">
        <v>550</v>
      </c>
      <c r="EO341" s="54">
        <v>726701</v>
      </c>
      <c r="EP341" s="54">
        <v>377044</v>
      </c>
      <c r="EQ341" s="54">
        <v>40000</v>
      </c>
      <c r="ER341" s="54">
        <v>305226</v>
      </c>
      <c r="ES341" s="54">
        <v>102915</v>
      </c>
      <c r="ET341" s="54">
        <v>177211</v>
      </c>
      <c r="EU341" s="54">
        <v>0</v>
      </c>
      <c r="EV341" s="54">
        <v>25100</v>
      </c>
      <c r="EW341" s="54">
        <v>3484</v>
      </c>
      <c r="EX341" s="54">
        <v>0</v>
      </c>
      <c r="EY341" s="54">
        <v>140</v>
      </c>
      <c r="EZ341" s="54">
        <v>0</v>
      </c>
      <c r="FA341" s="54">
        <v>28194</v>
      </c>
      <c r="FB341" s="54">
        <v>0</v>
      </c>
      <c r="FC341" s="54">
        <v>0</v>
      </c>
      <c r="FD341" s="54">
        <v>349657</v>
      </c>
      <c r="FE341" s="54">
        <v>25000</v>
      </c>
      <c r="FF341" s="54">
        <v>148212</v>
      </c>
      <c r="FG341" s="54">
        <v>83356</v>
      </c>
      <c r="FH341" s="54">
        <v>61056</v>
      </c>
      <c r="FI341" s="54">
        <v>0</v>
      </c>
      <c r="FJ341" s="54">
        <v>3800</v>
      </c>
      <c r="FK341" s="54">
        <v>1657</v>
      </c>
      <c r="FL341" s="54">
        <v>1133</v>
      </c>
      <c r="FM341" s="54">
        <v>2971</v>
      </c>
      <c r="FN341" s="54">
        <v>62935</v>
      </c>
      <c r="FO341" s="54">
        <v>22846</v>
      </c>
      <c r="FP341" s="54">
        <v>84903</v>
      </c>
      <c r="FQ341" s="54">
        <v>1546401</v>
      </c>
      <c r="FR341" s="54">
        <v>220370</v>
      </c>
      <c r="FS341" s="54">
        <v>53986</v>
      </c>
      <c r="FT341" s="54"/>
    </row>
    <row r="342" spans="1:176" ht="13.5" customHeight="1" x14ac:dyDescent="0.2">
      <c r="A342" s="63">
        <v>16</v>
      </c>
      <c r="B342" s="43" t="s">
        <v>385</v>
      </c>
      <c r="C342" s="1" t="s">
        <v>386</v>
      </c>
      <c r="D342" s="43"/>
      <c r="E342" s="94">
        <f t="shared" si="28"/>
        <v>0</v>
      </c>
      <c r="F342" s="95"/>
      <c r="G342" s="54">
        <v>69032</v>
      </c>
      <c r="H342" s="54">
        <v>118969</v>
      </c>
      <c r="I342" s="54">
        <v>70606</v>
      </c>
      <c r="J342" s="54">
        <v>17997</v>
      </c>
      <c r="K342" s="54">
        <v>6974</v>
      </c>
      <c r="L342" s="54">
        <v>23392</v>
      </c>
      <c r="M342" s="54">
        <v>0</v>
      </c>
      <c r="N342" s="54">
        <v>1527</v>
      </c>
      <c r="O342" s="54">
        <v>489675</v>
      </c>
      <c r="P342" s="54">
        <v>217937</v>
      </c>
      <c r="Q342" s="54">
        <v>167923</v>
      </c>
      <c r="R342" s="54">
        <v>50014</v>
      </c>
      <c r="S342" s="54">
        <v>40026</v>
      </c>
      <c r="T342" s="54">
        <v>9988</v>
      </c>
      <c r="U342" s="54">
        <v>213534</v>
      </c>
      <c r="V342" s="54">
        <v>26473</v>
      </c>
      <c r="W342" s="54">
        <v>20935</v>
      </c>
      <c r="X342" s="54">
        <v>10796</v>
      </c>
      <c r="Y342" s="54">
        <v>-369179</v>
      </c>
      <c r="Z342" s="54">
        <v>250546</v>
      </c>
      <c r="AA342" s="54">
        <v>211665</v>
      </c>
      <c r="AB342" s="54">
        <v>20051</v>
      </c>
      <c r="AC342" s="54">
        <v>18830</v>
      </c>
      <c r="AD342" s="54">
        <v>138400</v>
      </c>
      <c r="AE342" s="54">
        <v>-1923</v>
      </c>
      <c r="AF342" s="54">
        <v>779</v>
      </c>
      <c r="AG342" s="54">
        <v>1119</v>
      </c>
      <c r="AH342" s="54">
        <v>646</v>
      </c>
      <c r="AI342" s="54">
        <v>3673</v>
      </c>
      <c r="AJ342" s="54">
        <v>148</v>
      </c>
      <c r="AK342" s="54">
        <v>17844</v>
      </c>
      <c r="AL342" s="54">
        <v>22640</v>
      </c>
      <c r="AM342" s="54">
        <v>22160</v>
      </c>
      <c r="AN342" s="54">
        <v>480</v>
      </c>
      <c r="AO342" s="54">
        <v>0</v>
      </c>
      <c r="AP342" s="54">
        <v>0</v>
      </c>
      <c r="AQ342" s="54">
        <v>0</v>
      </c>
      <c r="AR342" s="54">
        <v>-4796</v>
      </c>
      <c r="AS342" s="54">
        <v>815</v>
      </c>
      <c r="AT342" s="54">
        <v>0</v>
      </c>
      <c r="AU342" s="54">
        <v>-405</v>
      </c>
      <c r="AV342" s="54">
        <v>-4386</v>
      </c>
      <c r="AW342" s="54"/>
      <c r="AX342" s="54">
        <v>10260</v>
      </c>
      <c r="AY342" s="54">
        <v>17844</v>
      </c>
      <c r="AZ342" s="54">
        <v>0</v>
      </c>
      <c r="BA342" s="54">
        <v>-7584</v>
      </c>
      <c r="BB342" s="54">
        <v>-72572</v>
      </c>
      <c r="BC342" s="54">
        <v>85821</v>
      </c>
      <c r="BD342" s="54">
        <v>4686</v>
      </c>
      <c r="BE342" s="54">
        <v>8563</v>
      </c>
      <c r="BF342" s="54">
        <v>-62312</v>
      </c>
      <c r="BG342" s="54">
        <v>57791</v>
      </c>
      <c r="BH342" s="54">
        <v>894</v>
      </c>
      <c r="BI342" s="54">
        <v>380</v>
      </c>
      <c r="BJ342" s="54">
        <v>1274</v>
      </c>
      <c r="BK342" s="54">
        <v>-30005</v>
      </c>
      <c r="BL342" s="54">
        <v>46300</v>
      </c>
      <c r="BM342" s="54">
        <v>74764</v>
      </c>
      <c r="BN342" s="54">
        <v>-1541</v>
      </c>
      <c r="BO342" s="54">
        <v>-10</v>
      </c>
      <c r="BP342" s="54">
        <v>86912</v>
      </c>
      <c r="BQ342" s="54">
        <v>-50</v>
      </c>
      <c r="BR342" s="54">
        <v>66</v>
      </c>
      <c r="BS342" s="54">
        <v>100112</v>
      </c>
      <c r="BT342" s="54">
        <v>-13216</v>
      </c>
      <c r="BU342" s="54">
        <v>-4524</v>
      </c>
      <c r="BV342" s="54">
        <v>30446</v>
      </c>
      <c r="BW342" s="54">
        <v>34970</v>
      </c>
      <c r="BX342" s="54"/>
      <c r="BY342" s="54">
        <v>580231</v>
      </c>
      <c r="BZ342" s="54">
        <v>4149</v>
      </c>
      <c r="CA342" s="54">
        <v>2180</v>
      </c>
      <c r="CB342" s="54">
        <v>1969</v>
      </c>
      <c r="CC342" s="54">
        <v>0</v>
      </c>
      <c r="CD342" s="54">
        <v>403708</v>
      </c>
      <c r="CE342" s="54">
        <v>58807</v>
      </c>
      <c r="CF342" s="54">
        <v>221384</v>
      </c>
      <c r="CG342" s="54">
        <v>98450</v>
      </c>
      <c r="CH342" s="54">
        <v>8796</v>
      </c>
      <c r="CI342" s="54">
        <v>2291</v>
      </c>
      <c r="CJ342" s="54">
        <v>2269</v>
      </c>
      <c r="CK342" s="54">
        <v>13980</v>
      </c>
      <c r="CL342" s="54">
        <v>172374</v>
      </c>
      <c r="CM342" s="54">
        <v>166718</v>
      </c>
      <c r="CN342" s="54">
        <v>15134</v>
      </c>
      <c r="CO342" s="54">
        <v>151584</v>
      </c>
      <c r="CP342" s="54">
        <v>0</v>
      </c>
      <c r="CQ342" s="54">
        <v>4207</v>
      </c>
      <c r="CR342" s="54">
        <v>0</v>
      </c>
      <c r="CS342" s="54">
        <v>0</v>
      </c>
      <c r="CT342" s="54">
        <v>4207</v>
      </c>
      <c r="CU342" s="54">
        <v>1449</v>
      </c>
      <c r="CV342" s="54">
        <v>2036</v>
      </c>
      <c r="CW342" s="54">
        <v>65</v>
      </c>
      <c r="CX342" s="54">
        <v>1078</v>
      </c>
      <c r="CY342" s="54">
        <v>893</v>
      </c>
      <c r="CZ342" s="54">
        <v>65600</v>
      </c>
      <c r="DA342" s="54">
        <v>460</v>
      </c>
      <c r="DB342" s="54">
        <v>453</v>
      </c>
      <c r="DC342" s="54">
        <v>0</v>
      </c>
      <c r="DD342" s="54">
        <v>0</v>
      </c>
      <c r="DE342" s="54">
        <v>7</v>
      </c>
      <c r="DF342" s="54">
        <v>0</v>
      </c>
      <c r="DG342" s="54">
        <v>34693</v>
      </c>
      <c r="DH342" s="54">
        <v>4281</v>
      </c>
      <c r="DI342" s="54">
        <v>0</v>
      </c>
      <c r="DJ342" s="54">
        <v>3233</v>
      </c>
      <c r="DK342" s="54">
        <v>1045</v>
      </c>
      <c r="DL342" s="54">
        <v>3</v>
      </c>
      <c r="DM342" s="54">
        <v>30412</v>
      </c>
      <c r="DN342" s="54">
        <v>9286</v>
      </c>
      <c r="DO342" s="54">
        <v>12395</v>
      </c>
      <c r="DP342" s="54">
        <v>5959</v>
      </c>
      <c r="DQ342" s="54">
        <v>2772</v>
      </c>
      <c r="DR342" s="54">
        <v>4733</v>
      </c>
      <c r="DS342" s="54">
        <v>1637</v>
      </c>
      <c r="DT342" s="54">
        <v>3096</v>
      </c>
      <c r="DU342" s="54">
        <v>0</v>
      </c>
      <c r="DV342" s="54">
        <v>0</v>
      </c>
      <c r="DW342" s="54">
        <v>25714</v>
      </c>
      <c r="DX342" s="54">
        <v>647867</v>
      </c>
      <c r="DY342" s="54">
        <v>242403</v>
      </c>
      <c r="DZ342" s="54">
        <v>176680</v>
      </c>
      <c r="EA342" s="54">
        <v>24070</v>
      </c>
      <c r="EB342" s="54">
        <v>9432</v>
      </c>
      <c r="EC342" s="54">
        <v>36605</v>
      </c>
      <c r="ED342" s="54">
        <v>-4384</v>
      </c>
      <c r="EE342" s="54">
        <v>12088</v>
      </c>
      <c r="EF342" s="54">
        <v>6813</v>
      </c>
      <c r="EG342" s="54">
        <v>5275</v>
      </c>
      <c r="EH342" s="54">
        <v>2802</v>
      </c>
      <c r="EI342" s="54">
        <v>227</v>
      </c>
      <c r="EJ342" s="54">
        <v>2575</v>
      </c>
      <c r="EK342" s="54">
        <v>3434</v>
      </c>
      <c r="EL342" s="54">
        <v>30</v>
      </c>
      <c r="EM342" s="54">
        <v>1832</v>
      </c>
      <c r="EN342" s="54">
        <v>1572</v>
      </c>
      <c r="EO342" s="54">
        <v>387137</v>
      </c>
      <c r="EP342" s="54">
        <v>253987</v>
      </c>
      <c r="EQ342" s="54">
        <v>0</v>
      </c>
      <c r="ER342" s="54">
        <v>251100</v>
      </c>
      <c r="ES342" s="54">
        <v>50565</v>
      </c>
      <c r="ET342" s="54">
        <v>190771</v>
      </c>
      <c r="EU342" s="54">
        <v>496</v>
      </c>
      <c r="EV342" s="54">
        <v>9268</v>
      </c>
      <c r="EW342" s="54">
        <v>606</v>
      </c>
      <c r="EX342" s="54">
        <v>3</v>
      </c>
      <c r="EY342" s="54">
        <v>73</v>
      </c>
      <c r="EZ342" s="54">
        <v>0</v>
      </c>
      <c r="FA342" s="54">
        <v>2205</v>
      </c>
      <c r="FB342" s="54">
        <v>0</v>
      </c>
      <c r="FC342" s="54">
        <v>0</v>
      </c>
      <c r="FD342" s="54">
        <v>133150</v>
      </c>
      <c r="FE342" s="54">
        <v>13300</v>
      </c>
      <c r="FF342" s="54">
        <v>68480</v>
      </c>
      <c r="FG342" s="54">
        <v>29164</v>
      </c>
      <c r="FH342" s="54">
        <v>36385</v>
      </c>
      <c r="FI342" s="54">
        <v>0</v>
      </c>
      <c r="FJ342" s="54">
        <v>2931</v>
      </c>
      <c r="FK342" s="54">
        <v>187</v>
      </c>
      <c r="FL342" s="54">
        <v>0</v>
      </c>
      <c r="FM342" s="54">
        <v>357</v>
      </c>
      <c r="FN342" s="54">
        <v>11147</v>
      </c>
      <c r="FO342" s="54">
        <v>4366</v>
      </c>
      <c r="FP342" s="54">
        <v>35313</v>
      </c>
      <c r="FQ342" s="54">
        <v>647864</v>
      </c>
      <c r="FR342" s="54">
        <v>186367</v>
      </c>
      <c r="FS342" s="54">
        <v>7594</v>
      </c>
      <c r="FT342" s="54"/>
    </row>
    <row r="343" spans="1:176" ht="13.5" customHeight="1" x14ac:dyDescent="0.2">
      <c r="A343" s="63">
        <v>17</v>
      </c>
      <c r="B343" s="43" t="s">
        <v>387</v>
      </c>
      <c r="C343" s="1" t="s">
        <v>388</v>
      </c>
      <c r="D343" s="43"/>
      <c r="E343" s="94">
        <f t="shared" si="28"/>
        <v>17</v>
      </c>
      <c r="F343" s="95"/>
      <c r="G343" s="54">
        <v>410054</v>
      </c>
      <c r="H343" s="54">
        <v>517500</v>
      </c>
      <c r="I343" s="54">
        <v>231755</v>
      </c>
      <c r="J343" s="54">
        <v>116641</v>
      </c>
      <c r="K343" s="54">
        <v>57967</v>
      </c>
      <c r="L343" s="54">
        <v>111137</v>
      </c>
      <c r="M343" s="54">
        <v>0</v>
      </c>
      <c r="N343" s="54">
        <v>21085</v>
      </c>
      <c r="O343" s="54">
        <v>2664827</v>
      </c>
      <c r="P343" s="54">
        <v>1072941</v>
      </c>
      <c r="Q343" s="54">
        <v>816884</v>
      </c>
      <c r="R343" s="54">
        <v>256057</v>
      </c>
      <c r="S343" s="54">
        <v>208882</v>
      </c>
      <c r="T343" s="54">
        <v>47175</v>
      </c>
      <c r="U343" s="54">
        <v>1218886</v>
      </c>
      <c r="V343" s="54">
        <v>140338</v>
      </c>
      <c r="W343" s="54">
        <v>182608</v>
      </c>
      <c r="X343" s="54">
        <v>50054</v>
      </c>
      <c r="Y343" s="54">
        <v>-2126242</v>
      </c>
      <c r="Z343" s="54">
        <v>1425668</v>
      </c>
      <c r="AA343" s="54">
        <v>1248377</v>
      </c>
      <c r="AB343" s="54">
        <v>82257</v>
      </c>
      <c r="AC343" s="54">
        <v>95034</v>
      </c>
      <c r="AD343" s="54">
        <v>835369</v>
      </c>
      <c r="AE343" s="54">
        <v>31825</v>
      </c>
      <c r="AF343" s="54">
        <v>14821</v>
      </c>
      <c r="AG343" s="54">
        <v>38654</v>
      </c>
      <c r="AH343" s="54">
        <v>23007</v>
      </c>
      <c r="AI343" s="54">
        <v>15273</v>
      </c>
      <c r="AJ343" s="54">
        <v>6377</v>
      </c>
      <c r="AK343" s="54">
        <v>166620</v>
      </c>
      <c r="AL343" s="54">
        <v>142556</v>
      </c>
      <c r="AM343" s="54">
        <v>141721</v>
      </c>
      <c r="AN343" s="54">
        <v>835</v>
      </c>
      <c r="AO343" s="54">
        <v>-289</v>
      </c>
      <c r="AP343" s="54">
        <v>438</v>
      </c>
      <c r="AQ343" s="54">
        <v>727</v>
      </c>
      <c r="AR343" s="54">
        <v>23775</v>
      </c>
      <c r="AS343" s="54">
        <v>3896</v>
      </c>
      <c r="AT343" s="54">
        <v>-6312</v>
      </c>
      <c r="AU343" s="54">
        <v>2596</v>
      </c>
      <c r="AV343" s="54">
        <v>23955</v>
      </c>
      <c r="AW343" s="54"/>
      <c r="AX343" s="54">
        <v>139470</v>
      </c>
      <c r="AY343" s="54">
        <v>166620</v>
      </c>
      <c r="AZ343" s="54">
        <v>-289</v>
      </c>
      <c r="BA343" s="54">
        <v>-26861</v>
      </c>
      <c r="BB343" s="54">
        <v>-164499</v>
      </c>
      <c r="BC343" s="54">
        <v>235096</v>
      </c>
      <c r="BD343" s="54">
        <v>16934</v>
      </c>
      <c r="BE343" s="54">
        <v>53663</v>
      </c>
      <c r="BF343" s="54">
        <v>-25029</v>
      </c>
      <c r="BG343" s="54">
        <v>60905</v>
      </c>
      <c r="BH343" s="54">
        <v>51686</v>
      </c>
      <c r="BI343" s="54">
        <v>15908</v>
      </c>
      <c r="BJ343" s="54">
        <v>67594</v>
      </c>
      <c r="BK343" s="54">
        <v>34524</v>
      </c>
      <c r="BL343" s="54">
        <v>192321</v>
      </c>
      <c r="BM343" s="54">
        <v>178114</v>
      </c>
      <c r="BN343" s="54">
        <v>20317</v>
      </c>
      <c r="BO343" s="54">
        <v>-1069</v>
      </c>
      <c r="BP343" s="54">
        <v>-24236</v>
      </c>
      <c r="BQ343" s="54">
        <v>834</v>
      </c>
      <c r="BR343" s="54">
        <v>297</v>
      </c>
      <c r="BS343" s="54">
        <v>-22950</v>
      </c>
      <c r="BT343" s="54">
        <v>-2417</v>
      </c>
      <c r="BU343" s="54">
        <v>35863</v>
      </c>
      <c r="BV343" s="54">
        <v>393072</v>
      </c>
      <c r="BW343" s="54">
        <v>357209</v>
      </c>
      <c r="BX343" s="54"/>
      <c r="BY343" s="54">
        <v>3500444</v>
      </c>
      <c r="BZ343" s="54">
        <v>26185</v>
      </c>
      <c r="CA343" s="54">
        <v>6546</v>
      </c>
      <c r="CB343" s="54">
        <v>19629</v>
      </c>
      <c r="CC343" s="54">
        <v>10</v>
      </c>
      <c r="CD343" s="54">
        <v>2191026</v>
      </c>
      <c r="CE343" s="54">
        <v>367421</v>
      </c>
      <c r="CF343" s="54">
        <v>1101745</v>
      </c>
      <c r="CG343" s="54">
        <v>583598</v>
      </c>
      <c r="CH343" s="54">
        <v>38152</v>
      </c>
      <c r="CI343" s="54">
        <v>8428</v>
      </c>
      <c r="CJ343" s="54">
        <v>1252</v>
      </c>
      <c r="CK343" s="54">
        <v>91682</v>
      </c>
      <c r="CL343" s="54">
        <v>1283233</v>
      </c>
      <c r="CM343" s="54">
        <v>1059416</v>
      </c>
      <c r="CN343" s="54">
        <v>221882</v>
      </c>
      <c r="CO343" s="54">
        <v>837534</v>
      </c>
      <c r="CP343" s="54">
        <v>0</v>
      </c>
      <c r="CQ343" s="54">
        <v>216665</v>
      </c>
      <c r="CR343" s="54">
        <v>0</v>
      </c>
      <c r="CS343" s="54">
        <v>573</v>
      </c>
      <c r="CT343" s="54">
        <v>216092</v>
      </c>
      <c r="CU343" s="54">
        <v>7152</v>
      </c>
      <c r="CV343" s="54">
        <v>13899</v>
      </c>
      <c r="CW343" s="54">
        <v>4323</v>
      </c>
      <c r="CX343" s="54">
        <v>8754</v>
      </c>
      <c r="CY343" s="54">
        <v>822</v>
      </c>
      <c r="CZ343" s="54">
        <v>570783</v>
      </c>
      <c r="DA343" s="54">
        <v>2363</v>
      </c>
      <c r="DB343" s="54">
        <v>1895</v>
      </c>
      <c r="DC343" s="54">
        <v>4</v>
      </c>
      <c r="DD343" s="54">
        <v>266</v>
      </c>
      <c r="DE343" s="54">
        <v>196</v>
      </c>
      <c r="DF343" s="54">
        <v>2</v>
      </c>
      <c r="DG343" s="54">
        <v>175338</v>
      </c>
      <c r="DH343" s="54">
        <v>33040</v>
      </c>
      <c r="DI343" s="54">
        <v>5636</v>
      </c>
      <c r="DJ343" s="54">
        <v>20849</v>
      </c>
      <c r="DK343" s="54">
        <v>5856</v>
      </c>
      <c r="DL343" s="54">
        <v>699</v>
      </c>
      <c r="DM343" s="54">
        <v>142298</v>
      </c>
      <c r="DN343" s="54">
        <v>48687</v>
      </c>
      <c r="DO343" s="54">
        <v>13923</v>
      </c>
      <c r="DP343" s="54">
        <v>38832</v>
      </c>
      <c r="DQ343" s="54">
        <v>40856</v>
      </c>
      <c r="DR343" s="54">
        <v>274191</v>
      </c>
      <c r="DS343" s="54">
        <v>13808</v>
      </c>
      <c r="DT343" s="54">
        <v>52941</v>
      </c>
      <c r="DU343" s="54">
        <v>85448</v>
      </c>
      <c r="DV343" s="54">
        <v>121994</v>
      </c>
      <c r="DW343" s="54">
        <v>118891</v>
      </c>
      <c r="DX343" s="54">
        <v>4085126</v>
      </c>
      <c r="DY343" s="54">
        <v>2207765</v>
      </c>
      <c r="DZ343" s="54">
        <v>1176198</v>
      </c>
      <c r="EA343" s="54">
        <v>10085</v>
      </c>
      <c r="EB343" s="54">
        <v>69568</v>
      </c>
      <c r="EC343" s="54">
        <v>927948</v>
      </c>
      <c r="ED343" s="54">
        <v>23966</v>
      </c>
      <c r="EE343" s="54">
        <v>110845</v>
      </c>
      <c r="EF343" s="54">
        <v>88655</v>
      </c>
      <c r="EG343" s="54">
        <v>22190</v>
      </c>
      <c r="EH343" s="54">
        <v>15688</v>
      </c>
      <c r="EI343" s="54">
        <v>2368</v>
      </c>
      <c r="EJ343" s="54">
        <v>13320</v>
      </c>
      <c r="EK343" s="54">
        <v>20069</v>
      </c>
      <c r="EL343" s="54">
        <v>4310</v>
      </c>
      <c r="EM343" s="54">
        <v>9728</v>
      </c>
      <c r="EN343" s="54">
        <v>6031</v>
      </c>
      <c r="EO343" s="54">
        <v>1730763</v>
      </c>
      <c r="EP343" s="54">
        <v>850793</v>
      </c>
      <c r="EQ343" s="54">
        <v>50000</v>
      </c>
      <c r="ER343" s="54">
        <v>730228</v>
      </c>
      <c r="ES343" s="54">
        <v>53576</v>
      </c>
      <c r="ET343" s="54">
        <v>453489</v>
      </c>
      <c r="EU343" s="54">
        <v>22770</v>
      </c>
      <c r="EV343" s="54">
        <v>200393</v>
      </c>
      <c r="EW343" s="54">
        <v>14028</v>
      </c>
      <c r="EX343" s="54">
        <v>915</v>
      </c>
      <c r="EY343" s="54">
        <v>2812</v>
      </c>
      <c r="EZ343" s="54">
        <v>0</v>
      </c>
      <c r="FA343" s="54">
        <v>52810</v>
      </c>
      <c r="FB343" s="54">
        <v>0</v>
      </c>
      <c r="FC343" s="54">
        <v>0</v>
      </c>
      <c r="FD343" s="54">
        <v>879970</v>
      </c>
      <c r="FE343" s="54">
        <v>0</v>
      </c>
      <c r="FF343" s="54">
        <v>332797</v>
      </c>
      <c r="FG343" s="54">
        <v>149015</v>
      </c>
      <c r="FH343" s="54">
        <v>165992</v>
      </c>
      <c r="FI343" s="54">
        <v>7712</v>
      </c>
      <c r="FJ343" s="54">
        <v>10078</v>
      </c>
      <c r="FK343" s="54">
        <v>5731</v>
      </c>
      <c r="FL343" s="54">
        <v>221823</v>
      </c>
      <c r="FM343" s="54">
        <v>5377</v>
      </c>
      <c r="FN343" s="54">
        <v>128545</v>
      </c>
      <c r="FO343" s="54">
        <v>23383</v>
      </c>
      <c r="FP343" s="54">
        <v>162314</v>
      </c>
      <c r="FQ343" s="54">
        <v>4085130</v>
      </c>
      <c r="FR343" s="54">
        <v>383917</v>
      </c>
      <c r="FS343" s="54">
        <v>83280</v>
      </c>
      <c r="FT343" s="54"/>
    </row>
    <row r="344" spans="1:176" ht="13.5" customHeight="1" x14ac:dyDescent="0.2">
      <c r="A344" s="63">
        <v>18</v>
      </c>
      <c r="B344" s="43" t="s">
        <v>389</v>
      </c>
      <c r="C344" s="1" t="s">
        <v>390</v>
      </c>
      <c r="D344" s="43"/>
      <c r="E344" s="94">
        <f t="shared" si="28"/>
        <v>0</v>
      </c>
      <c r="F344" s="95"/>
      <c r="G344" s="54">
        <v>75324</v>
      </c>
      <c r="H344" s="54">
        <v>95266</v>
      </c>
      <c r="I344" s="54">
        <v>54542</v>
      </c>
      <c r="J344" s="54">
        <v>10370</v>
      </c>
      <c r="K344" s="54">
        <v>9505</v>
      </c>
      <c r="L344" s="54">
        <v>20849</v>
      </c>
      <c r="M344" s="54">
        <v>0</v>
      </c>
      <c r="N344" s="54">
        <v>876</v>
      </c>
      <c r="O344" s="54">
        <v>581889</v>
      </c>
      <c r="P344" s="54">
        <v>173696</v>
      </c>
      <c r="Q344" s="54">
        <v>127461</v>
      </c>
      <c r="R344" s="54">
        <v>46235</v>
      </c>
      <c r="S344" s="54">
        <v>39176</v>
      </c>
      <c r="T344" s="54">
        <v>7059</v>
      </c>
      <c r="U344" s="54">
        <v>345128</v>
      </c>
      <c r="V344" s="54">
        <v>32873</v>
      </c>
      <c r="W344" s="54">
        <v>20770</v>
      </c>
      <c r="X344" s="54">
        <v>9422</v>
      </c>
      <c r="Y344" s="54">
        <v>-485747</v>
      </c>
      <c r="Z344" s="54">
        <v>267450</v>
      </c>
      <c r="AA344" s="54">
        <v>227859</v>
      </c>
      <c r="AB344" s="54">
        <v>17897</v>
      </c>
      <c r="AC344" s="54">
        <v>21694</v>
      </c>
      <c r="AD344" s="54">
        <v>232034</v>
      </c>
      <c r="AE344" s="54">
        <v>7365</v>
      </c>
      <c r="AF344" s="54">
        <v>6155</v>
      </c>
      <c r="AG344" s="54">
        <v>4403</v>
      </c>
      <c r="AH344" s="54">
        <v>1025</v>
      </c>
      <c r="AI344" s="54">
        <v>2189</v>
      </c>
      <c r="AJ344" s="54">
        <v>1004</v>
      </c>
      <c r="AK344" s="54">
        <v>21102</v>
      </c>
      <c r="AL344" s="54">
        <v>24434</v>
      </c>
      <c r="AM344" s="54">
        <v>24186</v>
      </c>
      <c r="AN344" s="54">
        <v>248</v>
      </c>
      <c r="AO344" s="54">
        <v>0</v>
      </c>
      <c r="AP344" s="54">
        <v>0</v>
      </c>
      <c r="AQ344" s="54">
        <v>0</v>
      </c>
      <c r="AR344" s="54">
        <v>-3332</v>
      </c>
      <c r="AS344" s="54">
        <v>773</v>
      </c>
      <c r="AT344" s="54">
        <v>-2500</v>
      </c>
      <c r="AU344" s="54">
        <v>2923</v>
      </c>
      <c r="AV344" s="54">
        <v>-2136</v>
      </c>
      <c r="AW344" s="54"/>
      <c r="AX344" s="54">
        <v>19978</v>
      </c>
      <c r="AY344" s="54">
        <v>21102</v>
      </c>
      <c r="AZ344" s="54">
        <v>0</v>
      </c>
      <c r="BA344" s="54">
        <v>-1124</v>
      </c>
      <c r="BB344" s="54">
        <v>-50457</v>
      </c>
      <c r="BC344" s="54">
        <v>54920</v>
      </c>
      <c r="BD344" s="54">
        <v>2865</v>
      </c>
      <c r="BE344" s="54">
        <v>1598</v>
      </c>
      <c r="BF344" s="54">
        <v>-30479</v>
      </c>
      <c r="BG344" s="54">
        <v>30508</v>
      </c>
      <c r="BH344" s="54">
        <v>-3144</v>
      </c>
      <c r="BI344" s="54">
        <v>3401</v>
      </c>
      <c r="BJ344" s="54">
        <v>257</v>
      </c>
      <c r="BK344" s="54">
        <v>19954</v>
      </c>
      <c r="BL344" s="54">
        <v>34960</v>
      </c>
      <c r="BM344" s="54">
        <v>24201</v>
      </c>
      <c r="BN344" s="54">
        <v>9195</v>
      </c>
      <c r="BO344" s="54">
        <v>104</v>
      </c>
      <c r="BP344" s="54">
        <v>13594</v>
      </c>
      <c r="BQ344" s="54">
        <v>67</v>
      </c>
      <c r="BR344" s="54">
        <v>-308</v>
      </c>
      <c r="BS344" s="54">
        <v>15607</v>
      </c>
      <c r="BT344" s="54">
        <v>-1772</v>
      </c>
      <c r="BU344" s="54">
        <v>31</v>
      </c>
      <c r="BV344" s="54">
        <v>41034</v>
      </c>
      <c r="BW344" s="54">
        <v>41003</v>
      </c>
      <c r="BX344" s="54"/>
      <c r="BY344" s="54">
        <v>585367</v>
      </c>
      <c r="BZ344" s="54">
        <v>1386</v>
      </c>
      <c r="CA344" s="54">
        <v>118</v>
      </c>
      <c r="CB344" s="54">
        <v>1268</v>
      </c>
      <c r="CC344" s="54">
        <v>0</v>
      </c>
      <c r="CD344" s="54">
        <v>399911</v>
      </c>
      <c r="CE344" s="54">
        <v>62341</v>
      </c>
      <c r="CF344" s="54">
        <v>206831</v>
      </c>
      <c r="CG344" s="54">
        <v>101507</v>
      </c>
      <c r="CH344" s="54">
        <v>8444</v>
      </c>
      <c r="CI344" s="54">
        <v>1479</v>
      </c>
      <c r="CJ344" s="54">
        <v>1469</v>
      </c>
      <c r="CK344" s="54">
        <v>19309</v>
      </c>
      <c r="CL344" s="54">
        <v>184070</v>
      </c>
      <c r="CM344" s="54">
        <v>87771</v>
      </c>
      <c r="CN344" s="54">
        <v>14374</v>
      </c>
      <c r="CO344" s="54">
        <v>73397</v>
      </c>
      <c r="CP344" s="54">
        <v>0</v>
      </c>
      <c r="CQ344" s="54">
        <v>95173</v>
      </c>
      <c r="CR344" s="54">
        <v>0</v>
      </c>
      <c r="CS344" s="54">
        <v>0</v>
      </c>
      <c r="CT344" s="54">
        <v>95173</v>
      </c>
      <c r="CU344" s="54">
        <v>1126</v>
      </c>
      <c r="CV344" s="54">
        <v>230</v>
      </c>
      <c r="CW344" s="54">
        <v>20</v>
      </c>
      <c r="CX344" s="54">
        <v>210</v>
      </c>
      <c r="CY344" s="54">
        <v>0</v>
      </c>
      <c r="CZ344" s="54">
        <v>67284</v>
      </c>
      <c r="DA344" s="54">
        <v>1780</v>
      </c>
      <c r="DB344" s="54">
        <v>199</v>
      </c>
      <c r="DC344" s="54">
        <v>1575</v>
      </c>
      <c r="DD344" s="54">
        <v>6</v>
      </c>
      <c r="DE344" s="54">
        <v>0</v>
      </c>
      <c r="DF344" s="54">
        <v>0</v>
      </c>
      <c r="DG344" s="54">
        <v>24469</v>
      </c>
      <c r="DH344" s="54">
        <v>4899</v>
      </c>
      <c r="DI344" s="54">
        <v>1435</v>
      </c>
      <c r="DJ344" s="54">
        <v>3279</v>
      </c>
      <c r="DK344" s="54">
        <v>185</v>
      </c>
      <c r="DL344" s="54">
        <v>0</v>
      </c>
      <c r="DM344" s="54">
        <v>19570</v>
      </c>
      <c r="DN344" s="54">
        <v>10827</v>
      </c>
      <c r="DO344" s="54">
        <v>44</v>
      </c>
      <c r="DP344" s="54">
        <v>3456</v>
      </c>
      <c r="DQ344" s="54">
        <v>5243</v>
      </c>
      <c r="DR344" s="54">
        <v>31230</v>
      </c>
      <c r="DS344" s="54">
        <v>1</v>
      </c>
      <c r="DT344" s="54">
        <v>31229</v>
      </c>
      <c r="DU344" s="54">
        <v>0</v>
      </c>
      <c r="DV344" s="54">
        <v>0</v>
      </c>
      <c r="DW344" s="54">
        <v>9805</v>
      </c>
      <c r="DX344" s="54">
        <v>652881</v>
      </c>
      <c r="DY344" s="54">
        <v>407035</v>
      </c>
      <c r="DZ344" s="54">
        <v>277487</v>
      </c>
      <c r="EA344" s="54">
        <v>736</v>
      </c>
      <c r="EB344" s="54">
        <v>17584</v>
      </c>
      <c r="EC344" s="54">
        <v>113365</v>
      </c>
      <c r="ED344" s="54">
        <v>-2137</v>
      </c>
      <c r="EE344" s="54">
        <v>13807</v>
      </c>
      <c r="EF344" s="54">
        <v>7850</v>
      </c>
      <c r="EG344" s="54">
        <v>5957</v>
      </c>
      <c r="EH344" s="54">
        <v>195</v>
      </c>
      <c r="EI344" s="54">
        <v>0</v>
      </c>
      <c r="EJ344" s="54">
        <v>195</v>
      </c>
      <c r="EK344" s="54">
        <v>976</v>
      </c>
      <c r="EL344" s="54">
        <v>41</v>
      </c>
      <c r="EM344" s="54">
        <v>677</v>
      </c>
      <c r="EN344" s="54">
        <v>258</v>
      </c>
      <c r="EO344" s="54">
        <v>230868</v>
      </c>
      <c r="EP344" s="54">
        <v>138583</v>
      </c>
      <c r="EQ344" s="54">
        <v>0</v>
      </c>
      <c r="ER344" s="54">
        <v>125150</v>
      </c>
      <c r="ES344" s="54">
        <v>14979</v>
      </c>
      <c r="ET344" s="54">
        <v>110171</v>
      </c>
      <c r="EU344" s="54">
        <v>0</v>
      </c>
      <c r="EV344" s="54">
        <v>0</v>
      </c>
      <c r="EW344" s="54">
        <v>5502</v>
      </c>
      <c r="EX344" s="54">
        <v>616</v>
      </c>
      <c r="EY344" s="54">
        <v>23</v>
      </c>
      <c r="EZ344" s="54">
        <v>0</v>
      </c>
      <c r="FA344" s="54">
        <v>7292</v>
      </c>
      <c r="FB344" s="54">
        <v>0</v>
      </c>
      <c r="FC344" s="54">
        <v>0</v>
      </c>
      <c r="FD344" s="54">
        <v>92285</v>
      </c>
      <c r="FE344" s="54">
        <v>0</v>
      </c>
      <c r="FF344" s="54">
        <v>34001</v>
      </c>
      <c r="FG344" s="54">
        <v>3445</v>
      </c>
      <c r="FH344" s="54">
        <v>29356</v>
      </c>
      <c r="FI344" s="54">
        <v>1200</v>
      </c>
      <c r="FJ344" s="54">
        <v>0</v>
      </c>
      <c r="FK344" s="54">
        <v>1508</v>
      </c>
      <c r="FL344" s="54">
        <v>7446</v>
      </c>
      <c r="FM344" s="54">
        <v>1497</v>
      </c>
      <c r="FN344" s="54">
        <v>16835</v>
      </c>
      <c r="FO344" s="54">
        <v>3449</v>
      </c>
      <c r="FP344" s="54">
        <v>27549</v>
      </c>
      <c r="FQ344" s="54">
        <v>652881</v>
      </c>
      <c r="FR344" s="54">
        <v>56612</v>
      </c>
      <c r="FS344" s="54">
        <v>6726</v>
      </c>
      <c r="FT344" s="54"/>
    </row>
    <row r="345" spans="1:176" ht="13.5" customHeight="1" x14ac:dyDescent="0.2">
      <c r="A345" s="63">
        <v>19</v>
      </c>
      <c r="B345" s="43" t="s">
        <v>391</v>
      </c>
      <c r="C345" s="1" t="s">
        <v>392</v>
      </c>
      <c r="D345" s="43"/>
      <c r="E345" s="94">
        <f t="shared" si="28"/>
        <v>0</v>
      </c>
      <c r="F345" s="95"/>
      <c r="G345" s="54">
        <v>180858</v>
      </c>
      <c r="H345" s="54">
        <v>207134</v>
      </c>
      <c r="I345" s="54">
        <v>67937</v>
      </c>
      <c r="J345" s="54">
        <v>61290</v>
      </c>
      <c r="K345" s="54">
        <v>31768</v>
      </c>
      <c r="L345" s="54">
        <v>46139</v>
      </c>
      <c r="M345" s="54">
        <v>0</v>
      </c>
      <c r="N345" s="54">
        <v>6302</v>
      </c>
      <c r="O345" s="54">
        <v>1306403</v>
      </c>
      <c r="P345" s="54">
        <v>573557</v>
      </c>
      <c r="Q345" s="54">
        <v>432483</v>
      </c>
      <c r="R345" s="54">
        <v>141074</v>
      </c>
      <c r="S345" s="54">
        <v>116931</v>
      </c>
      <c r="T345" s="54">
        <v>24143</v>
      </c>
      <c r="U345" s="54">
        <v>545204</v>
      </c>
      <c r="V345" s="54">
        <v>74416</v>
      </c>
      <c r="W345" s="54">
        <v>86408</v>
      </c>
      <c r="X345" s="54">
        <v>26818</v>
      </c>
      <c r="Y345" s="54">
        <v>-1092967</v>
      </c>
      <c r="Z345" s="54">
        <v>682185</v>
      </c>
      <c r="AA345" s="54">
        <v>567740</v>
      </c>
      <c r="AB345" s="54">
        <v>41842</v>
      </c>
      <c r="AC345" s="54">
        <v>72603</v>
      </c>
      <c r="AD345" s="54">
        <v>435412</v>
      </c>
      <c r="AE345" s="54">
        <v>10346</v>
      </c>
      <c r="AF345" s="54">
        <v>6876</v>
      </c>
      <c r="AG345" s="54">
        <v>13649</v>
      </c>
      <c r="AH345" s="54">
        <v>8113</v>
      </c>
      <c r="AI345" s="54">
        <v>9104</v>
      </c>
      <c r="AJ345" s="54">
        <v>1075</v>
      </c>
      <c r="AK345" s="54">
        <v>34976</v>
      </c>
      <c r="AL345" s="54">
        <v>54844</v>
      </c>
      <c r="AM345" s="54">
        <v>54640</v>
      </c>
      <c r="AN345" s="54">
        <v>204</v>
      </c>
      <c r="AO345" s="54">
        <v>49766</v>
      </c>
      <c r="AP345" s="54">
        <v>51304</v>
      </c>
      <c r="AQ345" s="54">
        <v>1538</v>
      </c>
      <c r="AR345" s="54">
        <v>29898</v>
      </c>
      <c r="AS345" s="54">
        <v>-3595</v>
      </c>
      <c r="AT345" s="54">
        <v>2785</v>
      </c>
      <c r="AU345" s="54">
        <v>-6611</v>
      </c>
      <c r="AV345" s="54">
        <v>22477</v>
      </c>
      <c r="AW345" s="54"/>
      <c r="AX345" s="54">
        <v>30986</v>
      </c>
      <c r="AY345" s="54">
        <v>34976</v>
      </c>
      <c r="AZ345" s="54">
        <v>49796</v>
      </c>
      <c r="BA345" s="54">
        <v>-53786</v>
      </c>
      <c r="BB345" s="54">
        <v>10916</v>
      </c>
      <c r="BC345" s="54">
        <v>111377</v>
      </c>
      <c r="BD345" s="54">
        <v>8601</v>
      </c>
      <c r="BE345" s="54">
        <v>113692</v>
      </c>
      <c r="BF345" s="54">
        <v>41902</v>
      </c>
      <c r="BG345" s="54">
        <v>-41148</v>
      </c>
      <c r="BH345" s="54">
        <v>-73843</v>
      </c>
      <c r="BI345" s="54">
        <v>75310</v>
      </c>
      <c r="BJ345" s="54">
        <v>1467</v>
      </c>
      <c r="BK345" s="54">
        <v>36528</v>
      </c>
      <c r="BL345" s="54">
        <v>82179</v>
      </c>
      <c r="BM345" s="54">
        <v>69858</v>
      </c>
      <c r="BN345" s="54">
        <v>24207</v>
      </c>
      <c r="BO345" s="54">
        <v>0</v>
      </c>
      <c r="BP345" s="54">
        <v>-3833</v>
      </c>
      <c r="BQ345" s="54">
        <v>722</v>
      </c>
      <c r="BR345" s="54">
        <v>353</v>
      </c>
      <c r="BS345" s="54">
        <v>294</v>
      </c>
      <c r="BT345" s="54">
        <v>-5202</v>
      </c>
      <c r="BU345" s="54">
        <v>743</v>
      </c>
      <c r="BV345" s="54">
        <v>78919</v>
      </c>
      <c r="BW345" s="54">
        <v>78176</v>
      </c>
      <c r="BX345" s="54"/>
      <c r="BY345" s="54">
        <v>1263836</v>
      </c>
      <c r="BZ345" s="54">
        <v>6800</v>
      </c>
      <c r="CA345" s="54">
        <v>1174</v>
      </c>
      <c r="CB345" s="54">
        <v>5626</v>
      </c>
      <c r="CC345" s="54">
        <v>0</v>
      </c>
      <c r="CD345" s="54">
        <v>747381</v>
      </c>
      <c r="CE345" s="54">
        <v>156155</v>
      </c>
      <c r="CF345" s="54">
        <v>372179</v>
      </c>
      <c r="CG345" s="54">
        <v>149690</v>
      </c>
      <c r="CH345" s="54">
        <v>11176</v>
      </c>
      <c r="CI345" s="54">
        <v>2552</v>
      </c>
      <c r="CJ345" s="54">
        <v>2552</v>
      </c>
      <c r="CK345" s="54">
        <v>55629</v>
      </c>
      <c r="CL345" s="54">
        <v>509655</v>
      </c>
      <c r="CM345" s="54">
        <v>312907</v>
      </c>
      <c r="CN345" s="54">
        <v>58746</v>
      </c>
      <c r="CO345" s="54">
        <v>254161</v>
      </c>
      <c r="CP345" s="54">
        <v>0</v>
      </c>
      <c r="CQ345" s="54">
        <v>194700</v>
      </c>
      <c r="CR345" s="54">
        <v>0</v>
      </c>
      <c r="CS345" s="54">
        <v>630</v>
      </c>
      <c r="CT345" s="54">
        <v>194070</v>
      </c>
      <c r="CU345" s="54">
        <v>2048</v>
      </c>
      <c r="CV345" s="54">
        <v>10176</v>
      </c>
      <c r="CW345" s="54">
        <v>8547</v>
      </c>
      <c r="CX345" s="54">
        <v>1362</v>
      </c>
      <c r="CY345" s="54">
        <v>267</v>
      </c>
      <c r="CZ345" s="54">
        <v>143823</v>
      </c>
      <c r="DA345" s="54">
        <v>1367</v>
      </c>
      <c r="DB345" s="54">
        <v>1199</v>
      </c>
      <c r="DC345" s="54">
        <v>14</v>
      </c>
      <c r="DD345" s="54">
        <v>111</v>
      </c>
      <c r="DE345" s="54">
        <v>23</v>
      </c>
      <c r="DF345" s="54">
        <v>20</v>
      </c>
      <c r="DG345" s="54">
        <v>63538</v>
      </c>
      <c r="DH345" s="54">
        <v>4717</v>
      </c>
      <c r="DI345" s="54">
        <v>838</v>
      </c>
      <c r="DJ345" s="54">
        <v>1636</v>
      </c>
      <c r="DK345" s="54">
        <v>1807</v>
      </c>
      <c r="DL345" s="54">
        <v>436</v>
      </c>
      <c r="DM345" s="54">
        <v>58821</v>
      </c>
      <c r="DN345" s="54">
        <v>21188</v>
      </c>
      <c r="DO345" s="54">
        <v>4621</v>
      </c>
      <c r="DP345" s="54">
        <v>19878</v>
      </c>
      <c r="DQ345" s="54">
        <v>13134</v>
      </c>
      <c r="DR345" s="54">
        <v>24913</v>
      </c>
      <c r="DS345" s="54">
        <v>10110</v>
      </c>
      <c r="DT345" s="54">
        <v>10779</v>
      </c>
      <c r="DU345" s="54">
        <v>2779</v>
      </c>
      <c r="DV345" s="54">
        <v>1245</v>
      </c>
      <c r="DW345" s="54">
        <v>54005</v>
      </c>
      <c r="DX345" s="54">
        <v>1417835</v>
      </c>
      <c r="DY345" s="54">
        <v>719317</v>
      </c>
      <c r="DZ345" s="54">
        <v>531804</v>
      </c>
      <c r="EA345" s="54">
        <v>17309</v>
      </c>
      <c r="EB345" s="54">
        <v>27848</v>
      </c>
      <c r="EC345" s="54">
        <v>119878</v>
      </c>
      <c r="ED345" s="54">
        <v>22478</v>
      </c>
      <c r="EE345" s="54">
        <v>32264</v>
      </c>
      <c r="EF345" s="54">
        <v>17085</v>
      </c>
      <c r="EG345" s="54">
        <v>15179</v>
      </c>
      <c r="EH345" s="54">
        <v>6131</v>
      </c>
      <c r="EI345" s="54">
        <v>2296</v>
      </c>
      <c r="EJ345" s="54">
        <v>3835</v>
      </c>
      <c r="EK345" s="54">
        <v>11597</v>
      </c>
      <c r="EL345" s="54">
        <v>8446</v>
      </c>
      <c r="EM345" s="54">
        <v>1817</v>
      </c>
      <c r="EN345" s="54">
        <v>1334</v>
      </c>
      <c r="EO345" s="54">
        <v>648530</v>
      </c>
      <c r="EP345" s="54">
        <v>373159</v>
      </c>
      <c r="EQ345" s="54">
        <v>0</v>
      </c>
      <c r="ER345" s="54">
        <v>314703</v>
      </c>
      <c r="ES345" s="54">
        <v>54978</v>
      </c>
      <c r="ET345" s="54">
        <v>258537</v>
      </c>
      <c r="EU345" s="54">
        <v>1188</v>
      </c>
      <c r="EV345" s="54">
        <v>0</v>
      </c>
      <c r="EW345" s="54">
        <v>16939</v>
      </c>
      <c r="EX345" s="54">
        <v>19783</v>
      </c>
      <c r="EY345" s="54">
        <v>3963</v>
      </c>
      <c r="EZ345" s="54">
        <v>0</v>
      </c>
      <c r="FA345" s="54">
        <v>17766</v>
      </c>
      <c r="FB345" s="54">
        <v>0</v>
      </c>
      <c r="FC345" s="54">
        <v>5</v>
      </c>
      <c r="FD345" s="54">
        <v>275371</v>
      </c>
      <c r="FE345" s="54">
        <v>0</v>
      </c>
      <c r="FF345" s="54">
        <v>88306</v>
      </c>
      <c r="FG345" s="54">
        <v>27532</v>
      </c>
      <c r="FH345" s="54">
        <v>53999</v>
      </c>
      <c r="FI345" s="54">
        <v>6775</v>
      </c>
      <c r="FJ345" s="54">
        <v>0</v>
      </c>
      <c r="FK345" s="54">
        <v>3216</v>
      </c>
      <c r="FL345" s="54">
        <v>22554</v>
      </c>
      <c r="FM345" s="54">
        <v>1195</v>
      </c>
      <c r="FN345" s="54">
        <v>61123</v>
      </c>
      <c r="FO345" s="54">
        <v>18454</v>
      </c>
      <c r="FP345" s="54">
        <v>80523</v>
      </c>
      <c r="FQ345" s="54">
        <v>1417839</v>
      </c>
      <c r="FR345" s="54">
        <v>199885</v>
      </c>
      <c r="FS345" s="54">
        <v>54204</v>
      </c>
      <c r="FT345" s="54"/>
    </row>
    <row r="346" spans="1:176" ht="13.5" customHeight="1" x14ac:dyDescent="0.2">
      <c r="A346" s="63">
        <v>21</v>
      </c>
      <c r="B346" s="43" t="s">
        <v>393</v>
      </c>
      <c r="C346" s="1" t="s">
        <v>394</v>
      </c>
      <c r="D346" s="43"/>
      <c r="E346" s="94">
        <f t="shared" si="28"/>
        <v>0</v>
      </c>
      <c r="F346" s="95"/>
      <c r="G346" s="54">
        <v>28983</v>
      </c>
      <c r="H346" s="54">
        <v>31543</v>
      </c>
      <c r="I346" s="54">
        <v>15124</v>
      </c>
      <c r="J346" s="54">
        <v>7703</v>
      </c>
      <c r="K346" s="54">
        <v>769</v>
      </c>
      <c r="L346" s="54">
        <v>7947</v>
      </c>
      <c r="M346" s="54">
        <v>0</v>
      </c>
      <c r="N346" s="54">
        <v>303</v>
      </c>
      <c r="O346" s="54">
        <v>157459</v>
      </c>
      <c r="P346" s="54">
        <v>84591</v>
      </c>
      <c r="Q346" s="54">
        <v>67681</v>
      </c>
      <c r="R346" s="54">
        <v>16910</v>
      </c>
      <c r="S346" s="54">
        <v>14226</v>
      </c>
      <c r="T346" s="54">
        <v>2684</v>
      </c>
      <c r="U346" s="54">
        <v>47325</v>
      </c>
      <c r="V346" s="54">
        <v>14762</v>
      </c>
      <c r="W346" s="54">
        <v>8640</v>
      </c>
      <c r="X346" s="54">
        <v>2141</v>
      </c>
      <c r="Y346" s="54">
        <v>-125613</v>
      </c>
      <c r="Z346" s="54">
        <v>105219</v>
      </c>
      <c r="AA346" s="54">
        <v>93040</v>
      </c>
      <c r="AB346" s="54">
        <v>8134</v>
      </c>
      <c r="AC346" s="54">
        <v>4045</v>
      </c>
      <c r="AD346" s="54">
        <v>36878</v>
      </c>
      <c r="AE346" s="54">
        <v>681</v>
      </c>
      <c r="AF346" s="54">
        <v>1168</v>
      </c>
      <c r="AG346" s="54">
        <v>225</v>
      </c>
      <c r="AH346" s="54">
        <v>144</v>
      </c>
      <c r="AI346" s="54">
        <v>653</v>
      </c>
      <c r="AJ346" s="54">
        <v>59</v>
      </c>
      <c r="AK346" s="54">
        <v>17165</v>
      </c>
      <c r="AL346" s="54">
        <v>10037</v>
      </c>
      <c r="AM346" s="54">
        <v>10003</v>
      </c>
      <c r="AN346" s="54">
        <v>34</v>
      </c>
      <c r="AO346" s="54">
        <v>2</v>
      </c>
      <c r="AP346" s="54">
        <v>2</v>
      </c>
      <c r="AQ346" s="54">
        <v>0</v>
      </c>
      <c r="AR346" s="54">
        <v>7130</v>
      </c>
      <c r="AS346" s="54">
        <v>-1290</v>
      </c>
      <c r="AT346" s="54">
        <v>-350</v>
      </c>
      <c r="AU346" s="54">
        <v>2</v>
      </c>
      <c r="AV346" s="54">
        <v>5492</v>
      </c>
      <c r="AW346" s="54"/>
      <c r="AX346" s="54">
        <v>16144</v>
      </c>
      <c r="AY346" s="54">
        <v>17165</v>
      </c>
      <c r="AZ346" s="54">
        <v>0</v>
      </c>
      <c r="BA346" s="54">
        <v>-1021</v>
      </c>
      <c r="BB346" s="54">
        <v>-10166</v>
      </c>
      <c r="BC346" s="54">
        <v>13686</v>
      </c>
      <c r="BD346" s="54">
        <v>1198</v>
      </c>
      <c r="BE346" s="54">
        <v>2322</v>
      </c>
      <c r="BF346" s="54">
        <v>5978</v>
      </c>
      <c r="BG346" s="54">
        <v>-4340</v>
      </c>
      <c r="BH346" s="54">
        <v>-159</v>
      </c>
      <c r="BI346" s="54">
        <v>182</v>
      </c>
      <c r="BJ346" s="54">
        <v>23</v>
      </c>
      <c r="BK346" s="54">
        <v>-8549</v>
      </c>
      <c r="BL346" s="54">
        <v>750</v>
      </c>
      <c r="BM346" s="54">
        <v>9175</v>
      </c>
      <c r="BN346" s="54">
        <v>-124</v>
      </c>
      <c r="BO346" s="54">
        <v>-551</v>
      </c>
      <c r="BP346" s="54">
        <v>4919</v>
      </c>
      <c r="BQ346" s="54">
        <v>-14</v>
      </c>
      <c r="BR346" s="54">
        <v>0</v>
      </c>
      <c r="BS346" s="54">
        <v>5001</v>
      </c>
      <c r="BT346" s="54">
        <v>-68</v>
      </c>
      <c r="BU346" s="54">
        <v>1683</v>
      </c>
      <c r="BV346" s="54">
        <v>34335</v>
      </c>
      <c r="BW346" s="54">
        <v>32652</v>
      </c>
      <c r="BX346" s="54"/>
      <c r="BY346" s="54">
        <v>229345</v>
      </c>
      <c r="BZ346" s="54">
        <v>2087</v>
      </c>
      <c r="CA346" s="54">
        <v>283</v>
      </c>
      <c r="CB346" s="54">
        <v>1804</v>
      </c>
      <c r="CC346" s="54">
        <v>0</v>
      </c>
      <c r="CD346" s="54">
        <v>188472</v>
      </c>
      <c r="CE346" s="54">
        <v>17908</v>
      </c>
      <c r="CF346" s="54">
        <v>115549</v>
      </c>
      <c r="CG346" s="54">
        <v>44654</v>
      </c>
      <c r="CH346" s="54">
        <v>3288</v>
      </c>
      <c r="CI346" s="54">
        <v>1365</v>
      </c>
      <c r="CJ346" s="54">
        <v>37</v>
      </c>
      <c r="CK346" s="54">
        <v>5708</v>
      </c>
      <c r="CL346" s="54">
        <v>38786</v>
      </c>
      <c r="CM346" s="54">
        <v>38058</v>
      </c>
      <c r="CN346" s="54">
        <v>4059</v>
      </c>
      <c r="CO346" s="54">
        <v>33999</v>
      </c>
      <c r="CP346" s="54">
        <v>0</v>
      </c>
      <c r="CQ346" s="54">
        <v>28</v>
      </c>
      <c r="CR346" s="54">
        <v>0</v>
      </c>
      <c r="CS346" s="54">
        <v>18</v>
      </c>
      <c r="CT346" s="54">
        <v>10</v>
      </c>
      <c r="CU346" s="54">
        <v>700</v>
      </c>
      <c r="CV346" s="54">
        <v>3162</v>
      </c>
      <c r="CW346" s="54">
        <v>620</v>
      </c>
      <c r="CX346" s="54">
        <v>1934</v>
      </c>
      <c r="CY346" s="54">
        <v>608</v>
      </c>
      <c r="CZ346" s="54">
        <v>66306</v>
      </c>
      <c r="DA346" s="54">
        <v>289</v>
      </c>
      <c r="DB346" s="54">
        <v>0</v>
      </c>
      <c r="DC346" s="54">
        <v>0</v>
      </c>
      <c r="DD346" s="54">
        <v>0</v>
      </c>
      <c r="DE346" s="54">
        <v>289</v>
      </c>
      <c r="DF346" s="54">
        <v>0</v>
      </c>
      <c r="DG346" s="54">
        <v>31677</v>
      </c>
      <c r="DH346" s="54">
        <v>22305</v>
      </c>
      <c r="DI346" s="54">
        <v>0</v>
      </c>
      <c r="DJ346" s="54">
        <v>22280</v>
      </c>
      <c r="DK346" s="54">
        <v>25</v>
      </c>
      <c r="DL346" s="54">
        <v>0</v>
      </c>
      <c r="DM346" s="54">
        <v>9372</v>
      </c>
      <c r="DN346" s="54">
        <v>5012</v>
      </c>
      <c r="DO346" s="54">
        <v>926</v>
      </c>
      <c r="DP346" s="54">
        <v>2482</v>
      </c>
      <c r="DQ346" s="54">
        <v>952</v>
      </c>
      <c r="DR346" s="54">
        <v>2510</v>
      </c>
      <c r="DS346" s="54">
        <v>97</v>
      </c>
      <c r="DT346" s="54">
        <v>2413</v>
      </c>
      <c r="DU346" s="54">
        <v>0</v>
      </c>
      <c r="DV346" s="54">
        <v>0</v>
      </c>
      <c r="DW346" s="54">
        <v>31830</v>
      </c>
      <c r="DX346" s="54">
        <v>298813</v>
      </c>
      <c r="DY346" s="54">
        <v>211532</v>
      </c>
      <c r="DZ346" s="54">
        <v>110617</v>
      </c>
      <c r="EA346" s="54">
        <v>7</v>
      </c>
      <c r="EB346" s="54">
        <v>360</v>
      </c>
      <c r="EC346" s="54">
        <v>94699</v>
      </c>
      <c r="ED346" s="54">
        <v>5849</v>
      </c>
      <c r="EE346" s="54">
        <v>4761</v>
      </c>
      <c r="EF346" s="54">
        <v>2209</v>
      </c>
      <c r="EG346" s="54">
        <v>2552</v>
      </c>
      <c r="EH346" s="54">
        <v>296</v>
      </c>
      <c r="EI346" s="54">
        <v>0</v>
      </c>
      <c r="EJ346" s="54">
        <v>296</v>
      </c>
      <c r="EK346" s="54">
        <v>3728</v>
      </c>
      <c r="EL346" s="54">
        <v>578</v>
      </c>
      <c r="EM346" s="54">
        <v>2465</v>
      </c>
      <c r="EN346" s="54">
        <v>685</v>
      </c>
      <c r="EO346" s="54">
        <v>78498</v>
      </c>
      <c r="EP346" s="54">
        <v>53586</v>
      </c>
      <c r="EQ346" s="54">
        <v>0</v>
      </c>
      <c r="ER346" s="54">
        <v>25422</v>
      </c>
      <c r="ES346" s="54">
        <v>9142</v>
      </c>
      <c r="ET346" s="54">
        <v>63</v>
      </c>
      <c r="EU346" s="54">
        <v>16217</v>
      </c>
      <c r="EV346" s="54">
        <v>0</v>
      </c>
      <c r="EW346" s="54">
        <v>23538</v>
      </c>
      <c r="EX346" s="54">
        <v>0</v>
      </c>
      <c r="EY346" s="54">
        <v>5</v>
      </c>
      <c r="EZ346" s="54">
        <v>1</v>
      </c>
      <c r="FA346" s="54">
        <v>4620</v>
      </c>
      <c r="FB346" s="54">
        <v>0</v>
      </c>
      <c r="FC346" s="54">
        <v>0</v>
      </c>
      <c r="FD346" s="54">
        <v>24912</v>
      </c>
      <c r="FE346" s="54">
        <v>0</v>
      </c>
      <c r="FF346" s="54">
        <v>2614</v>
      </c>
      <c r="FG346" s="54">
        <v>2574</v>
      </c>
      <c r="FH346" s="54">
        <v>40</v>
      </c>
      <c r="FI346" s="54">
        <v>0</v>
      </c>
      <c r="FJ346" s="54">
        <v>0</v>
      </c>
      <c r="FK346" s="54">
        <v>2077</v>
      </c>
      <c r="FL346" s="54">
        <v>470</v>
      </c>
      <c r="FM346" s="54">
        <v>196</v>
      </c>
      <c r="FN346" s="54">
        <v>6146</v>
      </c>
      <c r="FO346" s="54">
        <v>3390</v>
      </c>
      <c r="FP346" s="54">
        <v>10019</v>
      </c>
      <c r="FQ346" s="54">
        <v>298815</v>
      </c>
      <c r="FR346" s="54">
        <v>21415</v>
      </c>
      <c r="FS346" s="54">
        <v>1917</v>
      </c>
      <c r="FT346" s="54"/>
    </row>
    <row r="347" spans="1:176" ht="13.5" customHeight="1" x14ac:dyDescent="0.2">
      <c r="A347" s="63"/>
      <c r="B347" s="43"/>
      <c r="C347" s="1"/>
      <c r="D347" s="43"/>
      <c r="E347" s="94"/>
      <c r="F347" s="95"/>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54"/>
      <c r="BK347" s="54"/>
      <c r="BL347" s="54"/>
      <c r="BM347" s="54"/>
      <c r="BN347" s="54"/>
      <c r="BO347" s="54"/>
      <c r="BP347" s="54"/>
      <c r="BQ347" s="54"/>
      <c r="BR347" s="54"/>
      <c r="BS347" s="54"/>
      <c r="BT347" s="54"/>
      <c r="BU347" s="54"/>
      <c r="BV347" s="54"/>
      <c r="BW347" s="54"/>
      <c r="BX347" s="54"/>
      <c r="BY347" s="54"/>
      <c r="BZ347" s="54"/>
      <c r="CA347" s="54"/>
      <c r="CB347" s="54"/>
      <c r="CC347" s="54"/>
      <c r="CD347" s="54"/>
      <c r="CE347" s="54"/>
      <c r="CF347" s="54"/>
      <c r="CG347" s="54"/>
      <c r="CH347" s="54"/>
      <c r="CI347" s="54"/>
      <c r="CJ347" s="54"/>
      <c r="CK347" s="54"/>
      <c r="CL347" s="54"/>
      <c r="CM347" s="54"/>
      <c r="CN347" s="54"/>
      <c r="CO347" s="54"/>
      <c r="CP347" s="54"/>
      <c r="CQ347" s="54"/>
      <c r="CR347" s="54"/>
      <c r="CS347" s="54"/>
      <c r="CT347" s="54"/>
      <c r="CU347" s="54"/>
      <c r="CV347" s="54"/>
      <c r="CW347" s="54"/>
      <c r="CX347" s="54"/>
      <c r="CY347" s="54"/>
      <c r="CZ347" s="54"/>
      <c r="DA347" s="54"/>
      <c r="DB347" s="54"/>
      <c r="DC347" s="54"/>
      <c r="DD347" s="54"/>
      <c r="DE347" s="54"/>
      <c r="DF347" s="54"/>
      <c r="DG347" s="54"/>
      <c r="DH347" s="54"/>
      <c r="DI347" s="54"/>
      <c r="DJ347" s="54"/>
      <c r="DK347" s="54"/>
      <c r="DL347" s="54"/>
      <c r="DM347" s="54"/>
      <c r="DN347" s="54"/>
      <c r="DO347" s="54"/>
      <c r="DP347" s="54"/>
      <c r="DQ347" s="54"/>
      <c r="DR347" s="54"/>
      <c r="DS347" s="54"/>
      <c r="DT347" s="54"/>
      <c r="DU347" s="54"/>
      <c r="DV347" s="54"/>
      <c r="DW347" s="54"/>
      <c r="DX347" s="54"/>
      <c r="DY347" s="54"/>
      <c r="DZ347" s="54"/>
      <c r="EA347" s="54"/>
      <c r="EB347" s="54"/>
      <c r="EC347" s="54"/>
      <c r="ED347" s="54"/>
      <c r="EE347" s="54"/>
      <c r="EF347" s="54"/>
      <c r="EG347" s="54"/>
      <c r="EH347" s="54"/>
      <c r="EI347" s="54"/>
      <c r="EJ347" s="54"/>
      <c r="EK347" s="54"/>
      <c r="EL347" s="54"/>
      <c r="EM347" s="54"/>
      <c r="EN347" s="54"/>
      <c r="EO347" s="54"/>
      <c r="EP347" s="54"/>
      <c r="EQ347" s="54"/>
      <c r="ER347" s="54"/>
      <c r="ES347" s="54"/>
      <c r="ET347" s="54"/>
      <c r="EU347" s="54"/>
      <c r="EV347" s="54"/>
      <c r="EW347" s="54"/>
      <c r="EX347" s="54"/>
      <c r="EY347" s="54"/>
      <c r="EZ347" s="54"/>
      <c r="FA347" s="54"/>
      <c r="FB347" s="54"/>
      <c r="FC347" s="54"/>
      <c r="FD347" s="54"/>
      <c r="FE347" s="54"/>
      <c r="FF347" s="54"/>
      <c r="FG347" s="54"/>
      <c r="FH347" s="54"/>
      <c r="FI347" s="54"/>
      <c r="FJ347" s="54"/>
      <c r="FK347" s="54"/>
      <c r="FL347" s="54"/>
      <c r="FM347" s="54"/>
      <c r="FN347" s="54"/>
      <c r="FO347" s="54"/>
      <c r="FP347" s="54"/>
      <c r="FQ347" s="54"/>
      <c r="FR347" s="54"/>
      <c r="FS347" s="54"/>
      <c r="FT347" s="54"/>
    </row>
    <row r="348" spans="1:176" ht="13.5" customHeight="1" x14ac:dyDescent="0.2">
      <c r="B348" s="43" t="s">
        <v>5</v>
      </c>
      <c r="C348" s="43"/>
      <c r="D348" s="43"/>
      <c r="E348" s="95">
        <f>SUM(E328:E346)</f>
        <v>17</v>
      </c>
      <c r="F348" s="95"/>
      <c r="G348" s="96">
        <v>5487308</v>
      </c>
      <c r="H348" s="96">
        <v>7551113</v>
      </c>
      <c r="I348" s="96">
        <v>3245037</v>
      </c>
      <c r="J348" s="96">
        <v>1776323</v>
      </c>
      <c r="K348" s="96">
        <v>814182</v>
      </c>
      <c r="L348" s="96">
        <v>1715571</v>
      </c>
      <c r="M348" s="96">
        <v>148</v>
      </c>
      <c r="N348" s="96">
        <v>509422</v>
      </c>
      <c r="O348" s="96">
        <v>36491515</v>
      </c>
      <c r="P348" s="96">
        <v>14700996</v>
      </c>
      <c r="Q348" s="96">
        <v>11161853</v>
      </c>
      <c r="R348" s="96">
        <v>3539143</v>
      </c>
      <c r="S348" s="96">
        <v>2899666</v>
      </c>
      <c r="T348" s="96">
        <v>639477</v>
      </c>
      <c r="U348" s="96">
        <v>16447109</v>
      </c>
      <c r="V348" s="96">
        <v>1853508</v>
      </c>
      <c r="W348" s="96">
        <v>2503117</v>
      </c>
      <c r="X348" s="96">
        <v>986785</v>
      </c>
      <c r="Y348" s="96">
        <v>-28430832</v>
      </c>
      <c r="Z348" s="96">
        <v>21768090</v>
      </c>
      <c r="AA348" s="96">
        <v>18536259</v>
      </c>
      <c r="AB348" s="96">
        <v>1646631</v>
      </c>
      <c r="AC348" s="96">
        <v>1585200</v>
      </c>
      <c r="AD348" s="96">
        <v>8233200</v>
      </c>
      <c r="AE348" s="96">
        <v>341412</v>
      </c>
      <c r="AF348" s="96">
        <v>251406</v>
      </c>
      <c r="AG348" s="96">
        <v>360147</v>
      </c>
      <c r="AH348" s="96">
        <v>198660</v>
      </c>
      <c r="AI348" s="96">
        <v>194452</v>
      </c>
      <c r="AJ348" s="96">
        <v>75689</v>
      </c>
      <c r="AK348" s="96">
        <v>1911870</v>
      </c>
      <c r="AL348" s="96">
        <v>2091948</v>
      </c>
      <c r="AM348" s="96">
        <v>2011057</v>
      </c>
      <c r="AN348" s="96">
        <v>80891</v>
      </c>
      <c r="AO348" s="96">
        <v>330831</v>
      </c>
      <c r="AP348" s="96">
        <v>346561</v>
      </c>
      <c r="AQ348" s="96">
        <v>15730</v>
      </c>
      <c r="AR348" s="96">
        <v>150753</v>
      </c>
      <c r="AS348" s="96">
        <v>-17771</v>
      </c>
      <c r="AT348" s="96">
        <v>-15765</v>
      </c>
      <c r="AU348" s="96">
        <v>52927</v>
      </c>
      <c r="AV348" s="96">
        <v>170144</v>
      </c>
      <c r="AW348" s="96"/>
      <c r="AX348" s="96">
        <v>1627327</v>
      </c>
      <c r="AY348" s="96">
        <v>1911870</v>
      </c>
      <c r="AZ348" s="96">
        <v>330857</v>
      </c>
      <c r="BA348" s="96">
        <v>-615400</v>
      </c>
      <c r="BB348" s="96">
        <v>-2511833</v>
      </c>
      <c r="BC348" s="96">
        <v>3627452</v>
      </c>
      <c r="BD348" s="96">
        <v>197074</v>
      </c>
      <c r="BE348" s="96">
        <v>918545</v>
      </c>
      <c r="BF348" s="96">
        <v>-884506</v>
      </c>
      <c r="BG348" s="96">
        <v>699846</v>
      </c>
      <c r="BH348" s="96">
        <v>-198919</v>
      </c>
      <c r="BI348" s="96">
        <v>512647</v>
      </c>
      <c r="BJ348" s="96">
        <v>313728</v>
      </c>
      <c r="BK348" s="96">
        <v>810903</v>
      </c>
      <c r="BL348" s="96">
        <v>2268920</v>
      </c>
      <c r="BM348" s="96">
        <v>1792289</v>
      </c>
      <c r="BN348" s="96">
        <v>334272</v>
      </c>
      <c r="BO348" s="96">
        <v>-8488</v>
      </c>
      <c r="BP348" s="96">
        <v>96350</v>
      </c>
      <c r="BQ348" s="96">
        <v>-1916</v>
      </c>
      <c r="BR348" s="96">
        <v>13571</v>
      </c>
      <c r="BS348" s="96">
        <v>94250</v>
      </c>
      <c r="BT348" s="96">
        <v>-9555</v>
      </c>
      <c r="BU348" s="96">
        <v>-184597</v>
      </c>
      <c r="BV348" s="96">
        <v>4148718</v>
      </c>
      <c r="BW348" s="96">
        <v>4333315</v>
      </c>
      <c r="BX348" s="96"/>
      <c r="BY348" s="96">
        <v>47864394</v>
      </c>
      <c r="BZ348" s="96">
        <v>601730</v>
      </c>
      <c r="CA348" s="96">
        <v>81578</v>
      </c>
      <c r="CB348" s="96">
        <v>510736</v>
      </c>
      <c r="CC348" s="96">
        <v>9416</v>
      </c>
      <c r="CD348" s="96">
        <v>30977887</v>
      </c>
      <c r="CE348" s="96">
        <v>7724224</v>
      </c>
      <c r="CF348" s="96">
        <v>13380229</v>
      </c>
      <c r="CG348" s="96">
        <v>7945195</v>
      </c>
      <c r="CH348" s="96">
        <v>587257</v>
      </c>
      <c r="CI348" s="96">
        <v>59547</v>
      </c>
      <c r="CJ348" s="96">
        <v>48766</v>
      </c>
      <c r="CK348" s="96">
        <v>1281435</v>
      </c>
      <c r="CL348" s="96">
        <v>16284777</v>
      </c>
      <c r="CM348" s="96">
        <v>10679851</v>
      </c>
      <c r="CN348" s="96">
        <v>2750170</v>
      </c>
      <c r="CO348" s="96">
        <v>7929681</v>
      </c>
      <c r="CP348" s="96">
        <v>150000</v>
      </c>
      <c r="CQ348" s="96">
        <v>5402639</v>
      </c>
      <c r="CR348" s="96">
        <v>6</v>
      </c>
      <c r="CS348" s="96">
        <v>1193259</v>
      </c>
      <c r="CT348" s="96">
        <v>4209374</v>
      </c>
      <c r="CU348" s="96">
        <v>52287</v>
      </c>
      <c r="CV348" s="96">
        <v>796796</v>
      </c>
      <c r="CW348" s="96">
        <v>218931</v>
      </c>
      <c r="CX348" s="96">
        <v>128789</v>
      </c>
      <c r="CY348" s="96">
        <v>449076</v>
      </c>
      <c r="CZ348" s="96">
        <v>6424194</v>
      </c>
      <c r="DA348" s="96">
        <v>94740</v>
      </c>
      <c r="DB348" s="96">
        <v>39141</v>
      </c>
      <c r="DC348" s="96">
        <v>11571</v>
      </c>
      <c r="DD348" s="96">
        <v>2634</v>
      </c>
      <c r="DE348" s="96">
        <v>41215</v>
      </c>
      <c r="DF348" s="96">
        <v>179</v>
      </c>
      <c r="DG348" s="96">
        <v>2180991</v>
      </c>
      <c r="DH348" s="96">
        <v>390424</v>
      </c>
      <c r="DI348" s="96">
        <v>32295</v>
      </c>
      <c r="DJ348" s="96">
        <v>196243</v>
      </c>
      <c r="DK348" s="96">
        <v>97638</v>
      </c>
      <c r="DL348" s="96">
        <v>64248</v>
      </c>
      <c r="DM348" s="96">
        <v>1790567</v>
      </c>
      <c r="DN348" s="96">
        <v>681704</v>
      </c>
      <c r="DO348" s="96">
        <v>211577</v>
      </c>
      <c r="DP348" s="96">
        <v>415768</v>
      </c>
      <c r="DQ348" s="96">
        <v>481518</v>
      </c>
      <c r="DR348" s="96">
        <v>2040836</v>
      </c>
      <c r="DS348" s="96">
        <v>226453</v>
      </c>
      <c r="DT348" s="96">
        <v>657373</v>
      </c>
      <c r="DU348" s="96">
        <v>281247</v>
      </c>
      <c r="DV348" s="96">
        <v>875763</v>
      </c>
      <c r="DW348" s="96">
        <v>2107627</v>
      </c>
      <c r="DX348" s="96">
        <v>55085384</v>
      </c>
      <c r="DY348" s="96">
        <v>32135320</v>
      </c>
      <c r="DZ348" s="96">
        <v>18059713</v>
      </c>
      <c r="EA348" s="96">
        <v>2126233</v>
      </c>
      <c r="EB348" s="96">
        <v>2426239</v>
      </c>
      <c r="EC348" s="96">
        <v>9352617</v>
      </c>
      <c r="ED348" s="96">
        <v>170518</v>
      </c>
      <c r="EE348" s="96">
        <v>893929</v>
      </c>
      <c r="EF348" s="96">
        <v>686854</v>
      </c>
      <c r="EG348" s="96">
        <v>207075</v>
      </c>
      <c r="EH348" s="96">
        <v>307377</v>
      </c>
      <c r="EI348" s="96">
        <v>173488</v>
      </c>
      <c r="EJ348" s="96">
        <v>133889</v>
      </c>
      <c r="EK348" s="96">
        <v>896360</v>
      </c>
      <c r="EL348" s="96">
        <v>221288</v>
      </c>
      <c r="EM348" s="96">
        <v>180805</v>
      </c>
      <c r="EN348" s="96">
        <v>494267</v>
      </c>
      <c r="EO348" s="96">
        <v>20852406</v>
      </c>
      <c r="EP348" s="96">
        <v>11630736</v>
      </c>
      <c r="EQ348" s="96">
        <v>649687</v>
      </c>
      <c r="ER348" s="96">
        <v>10186480</v>
      </c>
      <c r="ES348" s="96">
        <v>1345880</v>
      </c>
      <c r="ET348" s="96">
        <v>6690593</v>
      </c>
      <c r="EU348" s="96">
        <v>138732</v>
      </c>
      <c r="EV348" s="96">
        <v>2011275</v>
      </c>
      <c r="EW348" s="96">
        <v>182678</v>
      </c>
      <c r="EX348" s="96">
        <v>32439</v>
      </c>
      <c r="EY348" s="96">
        <v>52433</v>
      </c>
      <c r="EZ348" s="96">
        <v>4796</v>
      </c>
      <c r="FA348" s="96">
        <v>468111</v>
      </c>
      <c r="FB348" s="96">
        <v>61</v>
      </c>
      <c r="FC348" s="96">
        <v>54112</v>
      </c>
      <c r="FD348" s="96">
        <v>9221670</v>
      </c>
      <c r="FE348" s="96">
        <v>170083</v>
      </c>
      <c r="FF348" s="96">
        <v>3326966</v>
      </c>
      <c r="FG348" s="96">
        <v>1114670</v>
      </c>
      <c r="FH348" s="96">
        <v>1987135</v>
      </c>
      <c r="FI348" s="96">
        <v>98569</v>
      </c>
      <c r="FJ348" s="96">
        <v>126592</v>
      </c>
      <c r="FK348" s="96">
        <v>62033</v>
      </c>
      <c r="FL348" s="96">
        <v>948138</v>
      </c>
      <c r="FM348" s="96">
        <v>203064</v>
      </c>
      <c r="FN348" s="96">
        <v>1561600</v>
      </c>
      <c r="FO348" s="96">
        <v>547154</v>
      </c>
      <c r="FP348" s="96">
        <v>2402632</v>
      </c>
      <c r="FQ348" s="96">
        <v>55085392</v>
      </c>
      <c r="FR348" s="96">
        <v>7813697</v>
      </c>
      <c r="FS348" s="96">
        <v>1192781</v>
      </c>
      <c r="FT348" s="96"/>
    </row>
    <row r="349" spans="1:176" ht="13.5" customHeight="1" x14ac:dyDescent="0.2">
      <c r="B349" s="43"/>
      <c r="C349" s="43"/>
      <c r="D349" s="43"/>
      <c r="E349" s="95"/>
      <c r="F349" s="95"/>
      <c r="G349" s="9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c r="CN349" s="95"/>
      <c r="CO349" s="95"/>
      <c r="CP349" s="95"/>
      <c r="CQ349" s="95"/>
      <c r="CR349" s="95"/>
      <c r="CS349" s="95"/>
      <c r="CT349" s="95"/>
      <c r="CU349" s="95"/>
      <c r="CV349" s="95"/>
      <c r="CW349" s="95"/>
      <c r="CX349" s="95"/>
      <c r="CY349" s="95"/>
      <c r="CZ349" s="95"/>
      <c r="DA349" s="95"/>
      <c r="DB349" s="95"/>
      <c r="DC349" s="95"/>
      <c r="DD349" s="95"/>
      <c r="DE349" s="95"/>
      <c r="DF349" s="95"/>
      <c r="DG349" s="95"/>
      <c r="DH349" s="95"/>
      <c r="DI349" s="95"/>
      <c r="DJ349" s="95"/>
      <c r="DK349" s="95"/>
      <c r="DL349" s="95"/>
      <c r="DM349" s="95"/>
      <c r="DN349" s="95"/>
      <c r="DO349" s="95"/>
      <c r="DP349" s="95"/>
      <c r="DQ349" s="95"/>
      <c r="DR349" s="95"/>
      <c r="DS349" s="95"/>
      <c r="DT349" s="95"/>
      <c r="DU349" s="95"/>
      <c r="DV349" s="95"/>
      <c r="DW349" s="95"/>
      <c r="DX349" s="95"/>
      <c r="DY349" s="95"/>
      <c r="DZ349" s="95"/>
      <c r="EA349" s="95"/>
      <c r="EB349" s="95"/>
      <c r="EC349" s="95"/>
      <c r="ED349" s="95"/>
      <c r="EE349" s="95"/>
      <c r="EF349" s="95"/>
      <c r="EG349" s="95"/>
      <c r="EH349" s="95"/>
      <c r="EI349" s="95"/>
      <c r="EJ349" s="95"/>
      <c r="EK349" s="95"/>
      <c r="EL349" s="95"/>
      <c r="EM349" s="95"/>
      <c r="EN349" s="95"/>
      <c r="EO349" s="95"/>
      <c r="EP349" s="95"/>
      <c r="EQ349" s="95"/>
      <c r="ER349" s="95"/>
      <c r="ES349" s="95"/>
      <c r="ET349" s="95"/>
      <c r="EU349" s="95"/>
      <c r="EV349" s="95"/>
      <c r="EW349" s="95"/>
      <c r="EX349" s="95"/>
      <c r="EY349" s="95"/>
      <c r="EZ349" s="95"/>
      <c r="FA349" s="95"/>
      <c r="FB349" s="95"/>
      <c r="FC349" s="95"/>
      <c r="FD349" s="95"/>
      <c r="FE349" s="95"/>
      <c r="FF349" s="95"/>
      <c r="FG349" s="95"/>
      <c r="FH349" s="95"/>
      <c r="FI349" s="95"/>
      <c r="FJ349" s="95"/>
      <c r="FK349" s="95"/>
      <c r="FL349" s="95"/>
      <c r="FM349" s="95"/>
      <c r="FN349" s="95"/>
      <c r="FO349" s="95"/>
      <c r="FP349" s="95"/>
      <c r="FQ349" s="95"/>
      <c r="FR349" s="95"/>
      <c r="FS349" s="95"/>
      <c r="FT349" s="95"/>
    </row>
    <row r="350" spans="1:176" ht="13.5" customHeight="1" x14ac:dyDescent="0.2">
      <c r="A350" s="97" t="s">
        <v>395</v>
      </c>
      <c r="E350" s="95"/>
      <c r="F350" s="95"/>
      <c r="G350" s="9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c r="CN350" s="95"/>
      <c r="CO350" s="95"/>
      <c r="CP350" s="95"/>
      <c r="CQ350" s="95"/>
      <c r="CR350" s="95"/>
      <c r="CS350" s="95"/>
      <c r="CT350" s="95"/>
      <c r="CU350" s="95"/>
      <c r="CV350" s="95"/>
      <c r="CW350" s="95"/>
      <c r="CX350" s="95"/>
      <c r="CY350" s="95"/>
      <c r="CZ350" s="95"/>
      <c r="DA350" s="95"/>
      <c r="DB350" s="95"/>
      <c r="DC350" s="95"/>
      <c r="DD350" s="95"/>
      <c r="DE350" s="95"/>
      <c r="DF350" s="95"/>
      <c r="DG350" s="95"/>
      <c r="DH350" s="95"/>
      <c r="DI350" s="95"/>
      <c r="DJ350" s="95"/>
      <c r="DK350" s="95"/>
      <c r="DL350" s="95"/>
      <c r="DM350" s="95"/>
      <c r="DN350" s="95"/>
      <c r="DO350" s="95"/>
      <c r="DP350" s="95"/>
      <c r="DQ350" s="95"/>
      <c r="DR350" s="95"/>
      <c r="DS350" s="95"/>
      <c r="DT350" s="95"/>
      <c r="DU350" s="95"/>
      <c r="DV350" s="95"/>
      <c r="DW350" s="95"/>
      <c r="DX350" s="95"/>
      <c r="DY350" s="95"/>
      <c r="DZ350" s="95"/>
      <c r="EA350" s="95"/>
      <c r="EB350" s="95"/>
      <c r="EC350" s="95"/>
      <c r="ED350" s="95"/>
      <c r="EE350" s="95"/>
      <c r="EF350" s="95"/>
      <c r="EG350" s="95"/>
      <c r="EH350" s="95"/>
      <c r="EI350" s="95"/>
      <c r="EJ350" s="95"/>
      <c r="EK350" s="95"/>
      <c r="EL350" s="95"/>
      <c r="EM350" s="95"/>
      <c r="EN350" s="95"/>
      <c r="EO350" s="95"/>
      <c r="EP350" s="95"/>
      <c r="EQ350" s="95"/>
      <c r="ER350" s="95"/>
      <c r="ES350" s="95"/>
      <c r="ET350" s="95"/>
      <c r="EU350" s="95"/>
      <c r="EV350" s="95"/>
      <c r="EW350" s="95"/>
      <c r="EX350" s="95"/>
      <c r="EY350" s="95"/>
      <c r="EZ350" s="95"/>
      <c r="FA350" s="95"/>
      <c r="FB350" s="95"/>
      <c r="FC350" s="95"/>
      <c r="FD350" s="95"/>
      <c r="FE350" s="95"/>
      <c r="FF350" s="95"/>
      <c r="FG350" s="95"/>
      <c r="FH350" s="95"/>
      <c r="FI350" s="95"/>
      <c r="FJ350" s="95"/>
      <c r="FK350" s="95"/>
      <c r="FL350" s="95"/>
      <c r="FM350" s="95"/>
      <c r="FN350" s="95"/>
      <c r="FO350" s="95"/>
      <c r="FP350" s="95"/>
      <c r="FQ350" s="95"/>
      <c r="FR350" s="95"/>
      <c r="FS350" s="95"/>
      <c r="FT350" s="95"/>
    </row>
    <row r="351" spans="1:176" ht="13.5" customHeight="1" x14ac:dyDescent="0.2">
      <c r="A351" s="43"/>
      <c r="E351" s="95"/>
      <c r="F351" s="95"/>
      <c r="G351" s="9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c r="CN351" s="95"/>
      <c r="CO351" s="95"/>
      <c r="CP351" s="95"/>
      <c r="CQ351" s="95"/>
      <c r="CR351" s="95"/>
      <c r="CS351" s="95"/>
      <c r="CT351" s="95"/>
      <c r="CU351" s="95"/>
      <c r="CV351" s="95"/>
      <c r="CW351" s="95"/>
      <c r="CX351" s="95"/>
      <c r="CY351" s="95"/>
      <c r="CZ351" s="95"/>
      <c r="DA351" s="95"/>
      <c r="DB351" s="95"/>
      <c r="DC351" s="95"/>
      <c r="DD351" s="95"/>
      <c r="DE351" s="95"/>
      <c r="DF351" s="95"/>
      <c r="DG351" s="95"/>
      <c r="DH351" s="95"/>
      <c r="DI351" s="95"/>
      <c r="DJ351" s="95"/>
      <c r="DK351" s="95"/>
      <c r="DL351" s="95"/>
      <c r="DM351" s="95"/>
      <c r="DN351" s="95"/>
      <c r="DO351" s="95"/>
      <c r="DP351" s="95"/>
      <c r="DQ351" s="95"/>
      <c r="DR351" s="95"/>
      <c r="DS351" s="95"/>
      <c r="DT351" s="95"/>
      <c r="DU351" s="95"/>
      <c r="DV351" s="95"/>
      <c r="DW351" s="95"/>
      <c r="DX351" s="95"/>
      <c r="DY351" s="95"/>
      <c r="DZ351" s="95"/>
      <c r="EA351" s="95"/>
      <c r="EB351" s="95"/>
      <c r="EC351" s="95"/>
      <c r="ED351" s="95"/>
      <c r="EE351" s="95"/>
      <c r="EF351" s="95"/>
      <c r="EG351" s="95"/>
      <c r="EH351" s="95"/>
      <c r="EI351" s="95"/>
      <c r="EJ351" s="95"/>
      <c r="EK351" s="95"/>
      <c r="EL351" s="95"/>
      <c r="EM351" s="95"/>
      <c r="EN351" s="95"/>
      <c r="EO351" s="95"/>
      <c r="EP351" s="95"/>
      <c r="EQ351" s="95"/>
      <c r="ER351" s="95"/>
      <c r="ES351" s="95"/>
      <c r="ET351" s="95"/>
      <c r="EU351" s="95"/>
      <c r="EV351" s="95"/>
      <c r="EW351" s="95"/>
      <c r="EX351" s="95"/>
      <c r="EY351" s="95"/>
      <c r="EZ351" s="95"/>
      <c r="FA351" s="95"/>
      <c r="FB351" s="95"/>
      <c r="FC351" s="95"/>
      <c r="FD351" s="95"/>
      <c r="FE351" s="95"/>
      <c r="FF351" s="95"/>
      <c r="FG351" s="95"/>
      <c r="FH351" s="95"/>
      <c r="FI351" s="95"/>
      <c r="FJ351" s="95"/>
      <c r="FK351" s="95"/>
      <c r="FL351" s="95"/>
      <c r="FM351" s="95"/>
      <c r="FN351" s="95"/>
      <c r="FO351" s="95"/>
      <c r="FP351" s="95"/>
      <c r="FQ351" s="95"/>
      <c r="FR351" s="95"/>
      <c r="FS351" s="95"/>
      <c r="FT351" s="95"/>
    </row>
    <row r="352" spans="1:176" ht="13.5" customHeight="1" x14ac:dyDescent="0.2">
      <c r="A352" s="63">
        <v>1</v>
      </c>
      <c r="B352" s="43" t="s">
        <v>396</v>
      </c>
      <c r="C352" s="43"/>
      <c r="D352" s="43"/>
      <c r="E352" s="95"/>
      <c r="F352" s="94">
        <f>SUMIF($F$11:$F$324,$A352,F$11:F$324)</f>
        <v>44</v>
      </c>
      <c r="G352" s="54">
        <v>55215</v>
      </c>
      <c r="H352" s="54">
        <v>75930</v>
      </c>
      <c r="I352" s="54">
        <v>37151</v>
      </c>
      <c r="J352" s="54">
        <v>12355</v>
      </c>
      <c r="K352" s="54">
        <v>6992</v>
      </c>
      <c r="L352" s="54">
        <v>19432</v>
      </c>
      <c r="M352" s="54">
        <v>0</v>
      </c>
      <c r="N352" s="54">
        <v>133</v>
      </c>
      <c r="O352" s="54">
        <v>408977</v>
      </c>
      <c r="P352" s="54">
        <v>152673</v>
      </c>
      <c r="Q352" s="54">
        <v>116442</v>
      </c>
      <c r="R352" s="54">
        <v>36231</v>
      </c>
      <c r="S352" s="54">
        <v>31020</v>
      </c>
      <c r="T352" s="54">
        <v>5211</v>
      </c>
      <c r="U352" s="54">
        <v>211496</v>
      </c>
      <c r="V352" s="54">
        <v>25923</v>
      </c>
      <c r="W352" s="54">
        <v>13210</v>
      </c>
      <c r="X352" s="54">
        <v>5675</v>
      </c>
      <c r="Y352" s="54">
        <v>-332914</v>
      </c>
      <c r="Z352" s="54">
        <v>180850</v>
      </c>
      <c r="AA352" s="54">
        <v>145687</v>
      </c>
      <c r="AB352" s="54">
        <v>17128</v>
      </c>
      <c r="AC352" s="54">
        <v>18035</v>
      </c>
      <c r="AD352" s="54">
        <v>175997</v>
      </c>
      <c r="AE352" s="54">
        <v>699</v>
      </c>
      <c r="AF352" s="54">
        <v>532</v>
      </c>
      <c r="AG352" s="54">
        <v>2577</v>
      </c>
      <c r="AH352" s="54">
        <v>870</v>
      </c>
      <c r="AI352" s="54">
        <v>1597</v>
      </c>
      <c r="AJ352" s="54">
        <v>813</v>
      </c>
      <c r="AK352" s="54">
        <v>24632</v>
      </c>
      <c r="AL352" s="54">
        <v>19130</v>
      </c>
      <c r="AM352" s="54">
        <v>18840</v>
      </c>
      <c r="AN352" s="54">
        <v>290</v>
      </c>
      <c r="AO352" s="54">
        <v>-13</v>
      </c>
      <c r="AP352" s="54">
        <v>1083</v>
      </c>
      <c r="AQ352" s="54">
        <v>1096</v>
      </c>
      <c r="AR352" s="54">
        <v>5489</v>
      </c>
      <c r="AS352" s="54">
        <v>495</v>
      </c>
      <c r="AT352" s="54">
        <v>-139</v>
      </c>
      <c r="AU352" s="54">
        <v>103</v>
      </c>
      <c r="AV352" s="54">
        <v>5948</v>
      </c>
      <c r="AW352" s="54"/>
      <c r="AX352" s="54">
        <v>23496</v>
      </c>
      <c r="AY352" s="54">
        <v>24632</v>
      </c>
      <c r="AZ352" s="54">
        <v>-15</v>
      </c>
      <c r="BA352" s="54">
        <v>-1121</v>
      </c>
      <c r="BB352" s="54">
        <v>-23594</v>
      </c>
      <c r="BC352" s="54">
        <v>31446</v>
      </c>
      <c r="BD352" s="54">
        <v>5120</v>
      </c>
      <c r="BE352" s="54">
        <v>2732</v>
      </c>
      <c r="BF352" s="54">
        <v>-98</v>
      </c>
      <c r="BG352" s="54">
        <v>6598</v>
      </c>
      <c r="BH352" s="54">
        <v>-215</v>
      </c>
      <c r="BI352" s="54">
        <v>1543</v>
      </c>
      <c r="BJ352" s="54">
        <v>1328</v>
      </c>
      <c r="BK352" s="54">
        <v>4359</v>
      </c>
      <c r="BL352" s="54">
        <v>22632</v>
      </c>
      <c r="BM352" s="54">
        <v>14930</v>
      </c>
      <c r="BN352" s="54">
        <v>-3343</v>
      </c>
      <c r="BO352" s="54">
        <v>1523</v>
      </c>
      <c r="BP352" s="54">
        <v>931</v>
      </c>
      <c r="BQ352" s="54">
        <v>-102</v>
      </c>
      <c r="BR352" s="54">
        <v>-4</v>
      </c>
      <c r="BS352" s="54">
        <v>346</v>
      </c>
      <c r="BT352" s="54">
        <v>691</v>
      </c>
      <c r="BU352" s="54">
        <v>6540</v>
      </c>
      <c r="BV352" s="54">
        <v>60088</v>
      </c>
      <c r="BW352" s="54">
        <v>53548</v>
      </c>
      <c r="BX352" s="54"/>
      <c r="BY352" s="54">
        <v>404484</v>
      </c>
      <c r="BZ352" s="54">
        <v>5685</v>
      </c>
      <c r="CA352" s="54">
        <v>811</v>
      </c>
      <c r="CB352" s="54">
        <v>4874</v>
      </c>
      <c r="CC352" s="54">
        <v>0</v>
      </c>
      <c r="CD352" s="54">
        <v>312170</v>
      </c>
      <c r="CE352" s="54">
        <v>36222</v>
      </c>
      <c r="CF352" s="54">
        <v>185178</v>
      </c>
      <c r="CG352" s="54">
        <v>76338</v>
      </c>
      <c r="CH352" s="54">
        <v>4053</v>
      </c>
      <c r="CI352" s="54">
        <v>1471</v>
      </c>
      <c r="CJ352" s="54">
        <v>124</v>
      </c>
      <c r="CK352" s="54">
        <v>8908</v>
      </c>
      <c r="CL352" s="54">
        <v>86629</v>
      </c>
      <c r="CM352" s="54">
        <v>73197</v>
      </c>
      <c r="CN352" s="54">
        <v>24027</v>
      </c>
      <c r="CO352" s="54">
        <v>49170</v>
      </c>
      <c r="CP352" s="54">
        <v>0</v>
      </c>
      <c r="CQ352" s="54">
        <v>12669</v>
      </c>
      <c r="CR352" s="54">
        <v>0</v>
      </c>
      <c r="CS352" s="54">
        <v>18</v>
      </c>
      <c r="CT352" s="54">
        <v>12651</v>
      </c>
      <c r="CU352" s="54">
        <v>763</v>
      </c>
      <c r="CV352" s="54">
        <v>4712</v>
      </c>
      <c r="CW352" s="54">
        <v>418</v>
      </c>
      <c r="CX352" s="54">
        <v>3639</v>
      </c>
      <c r="CY352" s="54">
        <v>655</v>
      </c>
      <c r="CZ352" s="54">
        <v>85618</v>
      </c>
      <c r="DA352" s="54">
        <v>561</v>
      </c>
      <c r="DB352" s="54">
        <v>430</v>
      </c>
      <c r="DC352" s="54">
        <v>14</v>
      </c>
      <c r="DD352" s="54">
        <v>30</v>
      </c>
      <c r="DE352" s="54">
        <v>85</v>
      </c>
      <c r="DF352" s="54">
        <v>2</v>
      </c>
      <c r="DG352" s="54">
        <v>24969</v>
      </c>
      <c r="DH352" s="54">
        <v>4824</v>
      </c>
      <c r="DI352" s="54">
        <v>205</v>
      </c>
      <c r="DJ352" s="54">
        <v>4484</v>
      </c>
      <c r="DK352" s="54">
        <v>76</v>
      </c>
      <c r="DL352" s="54">
        <v>59</v>
      </c>
      <c r="DM352" s="54">
        <v>20145</v>
      </c>
      <c r="DN352" s="54">
        <v>9638</v>
      </c>
      <c r="DO352" s="54">
        <v>604</v>
      </c>
      <c r="DP352" s="54">
        <v>5198</v>
      </c>
      <c r="DQ352" s="54">
        <v>4705</v>
      </c>
      <c r="DR352" s="54">
        <v>19721</v>
      </c>
      <c r="DS352" s="54">
        <v>8294</v>
      </c>
      <c r="DT352" s="54">
        <v>7175</v>
      </c>
      <c r="DU352" s="54">
        <v>1798</v>
      </c>
      <c r="DV352" s="54">
        <v>2454</v>
      </c>
      <c r="DW352" s="54">
        <v>40367</v>
      </c>
      <c r="DX352" s="54">
        <v>494814</v>
      </c>
      <c r="DY352" s="54">
        <v>277431</v>
      </c>
      <c r="DZ352" s="54">
        <v>164085</v>
      </c>
      <c r="EA352" s="54">
        <v>5605</v>
      </c>
      <c r="EB352" s="54">
        <v>1056</v>
      </c>
      <c r="EC352" s="54">
        <v>100383</v>
      </c>
      <c r="ED352" s="54">
        <v>6302</v>
      </c>
      <c r="EE352" s="54">
        <v>13377</v>
      </c>
      <c r="EF352" s="54">
        <v>8316</v>
      </c>
      <c r="EG352" s="54">
        <v>5061</v>
      </c>
      <c r="EH352" s="54">
        <v>1078</v>
      </c>
      <c r="EI352" s="54">
        <v>0</v>
      </c>
      <c r="EJ352" s="54">
        <v>1078</v>
      </c>
      <c r="EK352" s="54">
        <v>5627</v>
      </c>
      <c r="EL352" s="54">
        <v>357</v>
      </c>
      <c r="EM352" s="54">
        <v>4376</v>
      </c>
      <c r="EN352" s="54">
        <v>894</v>
      </c>
      <c r="EO352" s="54">
        <v>197302</v>
      </c>
      <c r="EP352" s="54">
        <v>119455</v>
      </c>
      <c r="EQ352" s="54">
        <v>0</v>
      </c>
      <c r="ER352" s="54">
        <v>101052</v>
      </c>
      <c r="ES352" s="54">
        <v>17065</v>
      </c>
      <c r="ET352" s="54">
        <v>82766</v>
      </c>
      <c r="EU352" s="54">
        <v>1221</v>
      </c>
      <c r="EV352" s="54">
        <v>0</v>
      </c>
      <c r="EW352" s="54">
        <v>10949</v>
      </c>
      <c r="EX352" s="54">
        <v>616</v>
      </c>
      <c r="EY352" s="54">
        <v>71</v>
      </c>
      <c r="EZ352" s="54">
        <v>1</v>
      </c>
      <c r="FA352" s="54">
        <v>6766</v>
      </c>
      <c r="FB352" s="54">
        <v>0</v>
      </c>
      <c r="FC352" s="54">
        <v>0</v>
      </c>
      <c r="FD352" s="54">
        <v>77847</v>
      </c>
      <c r="FE352" s="54">
        <v>5900</v>
      </c>
      <c r="FF352" s="54">
        <v>23313</v>
      </c>
      <c r="FG352" s="54">
        <v>8007</v>
      </c>
      <c r="FH352" s="54">
        <v>13258</v>
      </c>
      <c r="FI352" s="54">
        <v>2048</v>
      </c>
      <c r="FJ352" s="54">
        <v>0</v>
      </c>
      <c r="FK352" s="54">
        <v>1185</v>
      </c>
      <c r="FL352" s="54">
        <v>2276</v>
      </c>
      <c r="FM352" s="54">
        <v>653</v>
      </c>
      <c r="FN352" s="54">
        <v>20199</v>
      </c>
      <c r="FO352" s="54">
        <v>3937</v>
      </c>
      <c r="FP352" s="54">
        <v>20384</v>
      </c>
      <c r="FQ352" s="54">
        <v>494815</v>
      </c>
      <c r="FR352" s="54">
        <v>36598</v>
      </c>
      <c r="FS352" s="54">
        <v>34443</v>
      </c>
      <c r="FT352" s="54"/>
    </row>
    <row r="353" spans="1:176" ht="13.5" customHeight="1" x14ac:dyDescent="0.2">
      <c r="A353" s="63">
        <v>2</v>
      </c>
      <c r="B353" s="43" t="s">
        <v>397</v>
      </c>
      <c r="C353" s="43"/>
      <c r="D353" s="43"/>
      <c r="E353" s="95"/>
      <c r="F353" s="94">
        <f t="shared" ref="F353:F358" si="29">SUMIF($F$11:$F$324,$A353,F$11:F$324)</f>
        <v>180</v>
      </c>
      <c r="G353" s="54">
        <v>296091</v>
      </c>
      <c r="H353" s="54">
        <v>394904</v>
      </c>
      <c r="I353" s="54">
        <v>204413</v>
      </c>
      <c r="J353" s="54">
        <v>70117</v>
      </c>
      <c r="K353" s="54">
        <v>27933</v>
      </c>
      <c r="L353" s="54">
        <v>92441</v>
      </c>
      <c r="M353" s="54">
        <v>0</v>
      </c>
      <c r="N353" s="54">
        <v>333</v>
      </c>
      <c r="O353" s="54">
        <v>2160788</v>
      </c>
      <c r="P353" s="54">
        <v>738146</v>
      </c>
      <c r="Q353" s="54">
        <v>550720</v>
      </c>
      <c r="R353" s="54">
        <v>187426</v>
      </c>
      <c r="S353" s="54">
        <v>157479</v>
      </c>
      <c r="T353" s="54">
        <v>29947</v>
      </c>
      <c r="U353" s="54">
        <v>1205348</v>
      </c>
      <c r="V353" s="54">
        <v>117887</v>
      </c>
      <c r="W353" s="54">
        <v>68203</v>
      </c>
      <c r="X353" s="54">
        <v>31204</v>
      </c>
      <c r="Y353" s="54">
        <v>-1765551</v>
      </c>
      <c r="Z353" s="54">
        <v>955462</v>
      </c>
      <c r="AA353" s="54">
        <v>797582</v>
      </c>
      <c r="AB353" s="54">
        <v>73027</v>
      </c>
      <c r="AC353" s="54">
        <v>84853</v>
      </c>
      <c r="AD353" s="54">
        <v>930384</v>
      </c>
      <c r="AE353" s="54">
        <v>5786</v>
      </c>
      <c r="AF353" s="54">
        <v>3115</v>
      </c>
      <c r="AG353" s="54">
        <v>12596</v>
      </c>
      <c r="AH353" s="54">
        <v>6132</v>
      </c>
      <c r="AI353" s="54">
        <v>7677</v>
      </c>
      <c r="AJ353" s="54">
        <v>2248</v>
      </c>
      <c r="AK353" s="54">
        <v>126081</v>
      </c>
      <c r="AL353" s="54">
        <v>89802</v>
      </c>
      <c r="AM353" s="54">
        <v>87933</v>
      </c>
      <c r="AN353" s="54">
        <v>1869</v>
      </c>
      <c r="AO353" s="54">
        <v>4208</v>
      </c>
      <c r="AP353" s="54">
        <v>4685</v>
      </c>
      <c r="AQ353" s="54">
        <v>477</v>
      </c>
      <c r="AR353" s="54">
        <v>40487</v>
      </c>
      <c r="AS353" s="54">
        <v>-1183</v>
      </c>
      <c r="AT353" s="54">
        <v>-2600</v>
      </c>
      <c r="AU353" s="54">
        <v>-111</v>
      </c>
      <c r="AV353" s="54">
        <v>36593</v>
      </c>
      <c r="AW353" s="54"/>
      <c r="AX353" s="54">
        <v>116492</v>
      </c>
      <c r="AY353" s="54">
        <v>126081</v>
      </c>
      <c r="AZ353" s="54">
        <v>4238</v>
      </c>
      <c r="BA353" s="54">
        <v>-13827</v>
      </c>
      <c r="BB353" s="54">
        <v>-151447</v>
      </c>
      <c r="BC353" s="54">
        <v>194442</v>
      </c>
      <c r="BD353" s="54">
        <v>22379</v>
      </c>
      <c r="BE353" s="54">
        <v>20616</v>
      </c>
      <c r="BF353" s="54">
        <v>-34955</v>
      </c>
      <c r="BG353" s="54">
        <v>36865</v>
      </c>
      <c r="BH353" s="54">
        <v>-4476</v>
      </c>
      <c r="BI353" s="54">
        <v>11666</v>
      </c>
      <c r="BJ353" s="54">
        <v>7190</v>
      </c>
      <c r="BK353" s="54">
        <v>31373</v>
      </c>
      <c r="BL353" s="54">
        <v>103088</v>
      </c>
      <c r="BM353" s="54">
        <v>75346</v>
      </c>
      <c r="BN353" s="54">
        <v>3631</v>
      </c>
      <c r="BO353" s="54">
        <v>-900</v>
      </c>
      <c r="BP353" s="54">
        <v>10868</v>
      </c>
      <c r="BQ353" s="54">
        <v>972</v>
      </c>
      <c r="BR353" s="54">
        <v>-17</v>
      </c>
      <c r="BS353" s="54">
        <v>6211</v>
      </c>
      <c r="BT353" s="54">
        <v>3702</v>
      </c>
      <c r="BU353" s="54">
        <v>1910</v>
      </c>
      <c r="BV353" s="54">
        <v>250769</v>
      </c>
      <c r="BW353" s="54">
        <v>248859</v>
      </c>
      <c r="BX353" s="54"/>
      <c r="BY353" s="54">
        <v>1869717</v>
      </c>
      <c r="BZ353" s="54">
        <v>21863</v>
      </c>
      <c r="CA353" s="54">
        <v>3650</v>
      </c>
      <c r="CB353" s="54">
        <v>18171</v>
      </c>
      <c r="CC353" s="54">
        <v>42</v>
      </c>
      <c r="CD353" s="54">
        <v>1449474</v>
      </c>
      <c r="CE353" s="54">
        <v>191162</v>
      </c>
      <c r="CF353" s="54">
        <v>904925</v>
      </c>
      <c r="CG353" s="54">
        <v>261499</v>
      </c>
      <c r="CH353" s="54">
        <v>19036</v>
      </c>
      <c r="CI353" s="54">
        <v>1460</v>
      </c>
      <c r="CJ353" s="54">
        <v>1184</v>
      </c>
      <c r="CK353" s="54">
        <v>71392</v>
      </c>
      <c r="CL353" s="54">
        <v>398380</v>
      </c>
      <c r="CM353" s="54">
        <v>331659</v>
      </c>
      <c r="CN353" s="54">
        <v>130404</v>
      </c>
      <c r="CO353" s="54">
        <v>201255</v>
      </c>
      <c r="CP353" s="54">
        <v>0</v>
      </c>
      <c r="CQ353" s="54">
        <v>61190</v>
      </c>
      <c r="CR353" s="54">
        <v>0</v>
      </c>
      <c r="CS353" s="54">
        <v>138</v>
      </c>
      <c r="CT353" s="54">
        <v>61052</v>
      </c>
      <c r="CU353" s="54">
        <v>5531</v>
      </c>
      <c r="CV353" s="54">
        <v>10323</v>
      </c>
      <c r="CW353" s="54">
        <v>814</v>
      </c>
      <c r="CX353" s="54">
        <v>8460</v>
      </c>
      <c r="CY353" s="54">
        <v>1049</v>
      </c>
      <c r="CZ353" s="54">
        <v>359293</v>
      </c>
      <c r="DA353" s="54">
        <v>2369</v>
      </c>
      <c r="DB353" s="54">
        <v>908</v>
      </c>
      <c r="DC353" s="54">
        <v>83</v>
      </c>
      <c r="DD353" s="54">
        <v>246</v>
      </c>
      <c r="DE353" s="54">
        <v>1132</v>
      </c>
      <c r="DF353" s="54">
        <v>0</v>
      </c>
      <c r="DG353" s="54">
        <v>106129</v>
      </c>
      <c r="DH353" s="54">
        <v>15248</v>
      </c>
      <c r="DI353" s="54">
        <v>1938</v>
      </c>
      <c r="DJ353" s="54">
        <v>8907</v>
      </c>
      <c r="DK353" s="54">
        <v>3820</v>
      </c>
      <c r="DL353" s="54">
        <v>583</v>
      </c>
      <c r="DM353" s="54">
        <v>90881</v>
      </c>
      <c r="DN353" s="54">
        <v>43713</v>
      </c>
      <c r="DO353" s="54">
        <v>4046</v>
      </c>
      <c r="DP353" s="54">
        <v>19666</v>
      </c>
      <c r="DQ353" s="54">
        <v>23456</v>
      </c>
      <c r="DR353" s="54">
        <v>103509</v>
      </c>
      <c r="DS353" s="54">
        <v>21662</v>
      </c>
      <c r="DT353" s="54">
        <v>44580</v>
      </c>
      <c r="DU353" s="54">
        <v>10942</v>
      </c>
      <c r="DV353" s="54">
        <v>26325</v>
      </c>
      <c r="DW353" s="54">
        <v>147286</v>
      </c>
      <c r="DX353" s="54">
        <v>2239333</v>
      </c>
      <c r="DY353" s="54">
        <v>1151661</v>
      </c>
      <c r="DZ353" s="54">
        <v>843788</v>
      </c>
      <c r="EA353" s="54">
        <v>13659</v>
      </c>
      <c r="EB353" s="54">
        <v>26057</v>
      </c>
      <c r="EC353" s="54">
        <v>231551</v>
      </c>
      <c r="ED353" s="54">
        <v>36606</v>
      </c>
      <c r="EE353" s="54">
        <v>82272</v>
      </c>
      <c r="EF353" s="54">
        <v>53334</v>
      </c>
      <c r="EG353" s="54">
        <v>28938</v>
      </c>
      <c r="EH353" s="54">
        <v>7193</v>
      </c>
      <c r="EI353" s="54">
        <v>0</v>
      </c>
      <c r="EJ353" s="54">
        <v>7193</v>
      </c>
      <c r="EK353" s="54">
        <v>19997</v>
      </c>
      <c r="EL353" s="54">
        <v>757</v>
      </c>
      <c r="EM353" s="54">
        <v>15536</v>
      </c>
      <c r="EN353" s="54">
        <v>3704</v>
      </c>
      <c r="EO353" s="54">
        <v>978207</v>
      </c>
      <c r="EP353" s="54">
        <v>493739</v>
      </c>
      <c r="EQ353" s="54">
        <v>0</v>
      </c>
      <c r="ER353" s="54">
        <v>437136</v>
      </c>
      <c r="ES353" s="54">
        <v>76244</v>
      </c>
      <c r="ET353" s="54">
        <v>355334</v>
      </c>
      <c r="EU353" s="54">
        <v>5558</v>
      </c>
      <c r="EV353" s="54">
        <v>0</v>
      </c>
      <c r="EW353" s="54">
        <v>25027</v>
      </c>
      <c r="EX353" s="54">
        <v>445</v>
      </c>
      <c r="EY353" s="54">
        <v>2139</v>
      </c>
      <c r="EZ353" s="54">
        <v>62</v>
      </c>
      <c r="FA353" s="54">
        <v>26071</v>
      </c>
      <c r="FB353" s="54">
        <v>0</v>
      </c>
      <c r="FC353" s="54">
        <v>2859</v>
      </c>
      <c r="FD353" s="54">
        <v>484468</v>
      </c>
      <c r="FE353" s="54">
        <v>18000</v>
      </c>
      <c r="FF353" s="54">
        <v>227334</v>
      </c>
      <c r="FG353" s="54">
        <v>60123</v>
      </c>
      <c r="FH353" s="54">
        <v>159001</v>
      </c>
      <c r="FI353" s="54">
        <v>8035</v>
      </c>
      <c r="FJ353" s="54">
        <v>175</v>
      </c>
      <c r="FK353" s="54">
        <v>5142</v>
      </c>
      <c r="FL353" s="54">
        <v>736</v>
      </c>
      <c r="FM353" s="54">
        <v>3254</v>
      </c>
      <c r="FN353" s="54">
        <v>105472</v>
      </c>
      <c r="FO353" s="54">
        <v>18099</v>
      </c>
      <c r="FP353" s="54">
        <v>106431</v>
      </c>
      <c r="FQ353" s="54">
        <v>2239330</v>
      </c>
      <c r="FR353" s="54">
        <v>235149</v>
      </c>
      <c r="FS353" s="54">
        <v>93807</v>
      </c>
      <c r="FT353" s="54"/>
    </row>
    <row r="354" spans="1:176" ht="13.5" customHeight="1" x14ac:dyDescent="0.2">
      <c r="A354" s="63">
        <v>3</v>
      </c>
      <c r="B354" s="43" t="s">
        <v>398</v>
      </c>
      <c r="C354" s="43"/>
      <c r="D354" s="43"/>
      <c r="E354" s="95"/>
      <c r="F354" s="94">
        <f t="shared" si="29"/>
        <v>240</v>
      </c>
      <c r="G354" s="54">
        <v>578597</v>
      </c>
      <c r="H354" s="54">
        <v>650047</v>
      </c>
      <c r="I354" s="54">
        <v>292030</v>
      </c>
      <c r="J354" s="54">
        <v>149182</v>
      </c>
      <c r="K354" s="54">
        <v>58211</v>
      </c>
      <c r="L354" s="54">
        <v>150624</v>
      </c>
      <c r="M354" s="54">
        <v>87</v>
      </c>
      <c r="N354" s="54">
        <v>2144</v>
      </c>
      <c r="O354" s="54">
        <v>3924978</v>
      </c>
      <c r="P354" s="54">
        <v>1468857</v>
      </c>
      <c r="Q354" s="54">
        <v>1109858</v>
      </c>
      <c r="R354" s="54">
        <v>358999</v>
      </c>
      <c r="S354" s="54">
        <v>298190</v>
      </c>
      <c r="T354" s="54">
        <v>60809</v>
      </c>
      <c r="U354" s="54">
        <v>2032927</v>
      </c>
      <c r="V354" s="54">
        <v>207456</v>
      </c>
      <c r="W354" s="54">
        <v>159781</v>
      </c>
      <c r="X354" s="54">
        <v>55957</v>
      </c>
      <c r="Y354" s="54">
        <v>-3272700</v>
      </c>
      <c r="Z354" s="54">
        <v>2036406</v>
      </c>
      <c r="AA354" s="54">
        <v>1721603</v>
      </c>
      <c r="AB354" s="54">
        <v>142588</v>
      </c>
      <c r="AC354" s="54">
        <v>172215</v>
      </c>
      <c r="AD354" s="54">
        <v>1431711</v>
      </c>
      <c r="AE354" s="54">
        <v>8908</v>
      </c>
      <c r="AF354" s="54">
        <v>5597</v>
      </c>
      <c r="AG354" s="54">
        <v>26379</v>
      </c>
      <c r="AH354" s="54">
        <v>8315</v>
      </c>
      <c r="AI354" s="54">
        <v>16993</v>
      </c>
      <c r="AJ354" s="54">
        <v>6075</v>
      </c>
      <c r="AK354" s="54">
        <v>204325</v>
      </c>
      <c r="AL354" s="54">
        <v>177688</v>
      </c>
      <c r="AM354" s="54">
        <v>174630</v>
      </c>
      <c r="AN354" s="54">
        <v>3058</v>
      </c>
      <c r="AO354" s="54">
        <v>8711</v>
      </c>
      <c r="AP354" s="54">
        <v>10885</v>
      </c>
      <c r="AQ354" s="54">
        <v>2174</v>
      </c>
      <c r="AR354" s="54">
        <v>35348</v>
      </c>
      <c r="AS354" s="54">
        <v>1926</v>
      </c>
      <c r="AT354" s="54">
        <v>-5470</v>
      </c>
      <c r="AU354" s="54">
        <v>1752</v>
      </c>
      <c r="AV354" s="54">
        <v>33556</v>
      </c>
      <c r="AW354" s="54"/>
      <c r="AX354" s="54">
        <v>189603</v>
      </c>
      <c r="AY354" s="54">
        <v>204325</v>
      </c>
      <c r="AZ354" s="54">
        <v>8711</v>
      </c>
      <c r="BA354" s="54">
        <v>-23433</v>
      </c>
      <c r="BB354" s="54">
        <v>-251667</v>
      </c>
      <c r="BC354" s="54">
        <v>343249</v>
      </c>
      <c r="BD354" s="54">
        <v>36842</v>
      </c>
      <c r="BE354" s="54">
        <v>54740</v>
      </c>
      <c r="BF354" s="54">
        <v>-62064</v>
      </c>
      <c r="BG354" s="54">
        <v>62809</v>
      </c>
      <c r="BH354" s="54">
        <v>-2699</v>
      </c>
      <c r="BI354" s="54">
        <v>13494</v>
      </c>
      <c r="BJ354" s="54">
        <v>10795</v>
      </c>
      <c r="BK354" s="54">
        <v>66279</v>
      </c>
      <c r="BL354" s="54">
        <v>188423</v>
      </c>
      <c r="BM354" s="54">
        <v>165302</v>
      </c>
      <c r="BN354" s="54">
        <v>43158</v>
      </c>
      <c r="BO354" s="54">
        <v>-3129</v>
      </c>
      <c r="BP354" s="54">
        <v>2358</v>
      </c>
      <c r="BQ354" s="54">
        <v>2802</v>
      </c>
      <c r="BR354" s="54">
        <v>222</v>
      </c>
      <c r="BS354" s="54">
        <v>5850</v>
      </c>
      <c r="BT354" s="54">
        <v>-6516</v>
      </c>
      <c r="BU354" s="54">
        <v>740</v>
      </c>
      <c r="BV354" s="54">
        <v>299688</v>
      </c>
      <c r="BW354" s="54">
        <v>298948</v>
      </c>
      <c r="BX354" s="54"/>
      <c r="BY354" s="54">
        <v>3751064</v>
      </c>
      <c r="BZ354" s="54">
        <v>43816</v>
      </c>
      <c r="CA354" s="54">
        <v>7809</v>
      </c>
      <c r="CB354" s="54">
        <v>35997</v>
      </c>
      <c r="CC354" s="54">
        <v>10</v>
      </c>
      <c r="CD354" s="54">
        <v>2855631</v>
      </c>
      <c r="CE354" s="54">
        <v>436572</v>
      </c>
      <c r="CF354" s="54">
        <v>1705135</v>
      </c>
      <c r="CG354" s="54">
        <v>547775</v>
      </c>
      <c r="CH354" s="54">
        <v>41422</v>
      </c>
      <c r="CI354" s="54">
        <v>2280</v>
      </c>
      <c r="CJ354" s="54">
        <v>1770</v>
      </c>
      <c r="CK354" s="54">
        <v>122447</v>
      </c>
      <c r="CL354" s="54">
        <v>851617</v>
      </c>
      <c r="CM354" s="54">
        <v>690325</v>
      </c>
      <c r="CN354" s="54">
        <v>287423</v>
      </c>
      <c r="CO354" s="54">
        <v>402902</v>
      </c>
      <c r="CP354" s="54">
        <v>0</v>
      </c>
      <c r="CQ354" s="54">
        <v>149226</v>
      </c>
      <c r="CR354" s="54">
        <v>0</v>
      </c>
      <c r="CS354" s="54">
        <v>6507</v>
      </c>
      <c r="CT354" s="54">
        <v>142719</v>
      </c>
      <c r="CU354" s="54">
        <v>12066</v>
      </c>
      <c r="CV354" s="54">
        <v>20722</v>
      </c>
      <c r="CW354" s="54">
        <v>1104</v>
      </c>
      <c r="CX354" s="54">
        <v>17930</v>
      </c>
      <c r="CY354" s="54">
        <v>1688</v>
      </c>
      <c r="CZ354" s="54">
        <v>516208</v>
      </c>
      <c r="DA354" s="54">
        <v>3392</v>
      </c>
      <c r="DB354" s="54">
        <v>2775</v>
      </c>
      <c r="DC354" s="54">
        <v>0</v>
      </c>
      <c r="DD354" s="54">
        <v>435</v>
      </c>
      <c r="DE354" s="54">
        <v>139</v>
      </c>
      <c r="DF354" s="54">
        <v>43</v>
      </c>
      <c r="DG354" s="54">
        <v>213584</v>
      </c>
      <c r="DH354" s="54">
        <v>47647</v>
      </c>
      <c r="DI354" s="54">
        <v>5304</v>
      </c>
      <c r="DJ354" s="54">
        <v>30045</v>
      </c>
      <c r="DK354" s="54">
        <v>11553</v>
      </c>
      <c r="DL354" s="54">
        <v>745</v>
      </c>
      <c r="DM354" s="54">
        <v>165937</v>
      </c>
      <c r="DN354" s="54">
        <v>75280</v>
      </c>
      <c r="DO354" s="54">
        <v>7471</v>
      </c>
      <c r="DP354" s="54">
        <v>46930</v>
      </c>
      <c r="DQ354" s="54">
        <v>36256</v>
      </c>
      <c r="DR354" s="54">
        <v>144186</v>
      </c>
      <c r="DS354" s="54">
        <v>13931</v>
      </c>
      <c r="DT354" s="54">
        <v>76401</v>
      </c>
      <c r="DU354" s="54">
        <v>16757</v>
      </c>
      <c r="DV354" s="54">
        <v>37097</v>
      </c>
      <c r="DW354" s="54">
        <v>155046</v>
      </c>
      <c r="DX354" s="54">
        <v>4287994</v>
      </c>
      <c r="DY354" s="54">
        <v>2187952</v>
      </c>
      <c r="DZ354" s="54">
        <v>1599764</v>
      </c>
      <c r="EA354" s="54">
        <v>35494</v>
      </c>
      <c r="EB354" s="54">
        <v>70571</v>
      </c>
      <c r="EC354" s="54">
        <v>448563</v>
      </c>
      <c r="ED354" s="54">
        <v>33560</v>
      </c>
      <c r="EE354" s="54">
        <v>97884</v>
      </c>
      <c r="EF354" s="54">
        <v>75529</v>
      </c>
      <c r="EG354" s="54">
        <v>22355</v>
      </c>
      <c r="EH354" s="54">
        <v>13862</v>
      </c>
      <c r="EI354" s="54">
        <v>163</v>
      </c>
      <c r="EJ354" s="54">
        <v>13699</v>
      </c>
      <c r="EK354" s="54">
        <v>33734</v>
      </c>
      <c r="EL354" s="54">
        <v>1180</v>
      </c>
      <c r="EM354" s="54">
        <v>28554</v>
      </c>
      <c r="EN354" s="54">
        <v>4000</v>
      </c>
      <c r="EO354" s="54">
        <v>1954567</v>
      </c>
      <c r="EP354" s="54">
        <v>959850</v>
      </c>
      <c r="EQ354" s="54">
        <v>3120</v>
      </c>
      <c r="ER354" s="54">
        <v>870007</v>
      </c>
      <c r="ES354" s="54">
        <v>178684</v>
      </c>
      <c r="ET354" s="54">
        <v>671923</v>
      </c>
      <c r="EU354" s="54">
        <v>19400</v>
      </c>
      <c r="EV354" s="54">
        <v>0</v>
      </c>
      <c r="EW354" s="54">
        <v>32918</v>
      </c>
      <c r="EX354" s="54">
        <v>3215</v>
      </c>
      <c r="EY354" s="54">
        <v>4423</v>
      </c>
      <c r="EZ354" s="54">
        <v>494</v>
      </c>
      <c r="FA354" s="54">
        <v>44624</v>
      </c>
      <c r="FB354" s="54">
        <v>0</v>
      </c>
      <c r="FC354" s="54">
        <v>1049</v>
      </c>
      <c r="FD354" s="54">
        <v>994717</v>
      </c>
      <c r="FE354" s="54">
        <v>20950</v>
      </c>
      <c r="FF354" s="54">
        <v>547140</v>
      </c>
      <c r="FG354" s="54">
        <v>179543</v>
      </c>
      <c r="FH354" s="54">
        <v>362765</v>
      </c>
      <c r="FI354" s="54">
        <v>4832</v>
      </c>
      <c r="FJ354" s="54">
        <v>0</v>
      </c>
      <c r="FK354" s="54">
        <v>8017</v>
      </c>
      <c r="FL354" s="54">
        <v>2330</v>
      </c>
      <c r="FM354" s="54">
        <v>4814</v>
      </c>
      <c r="FN354" s="54">
        <v>177143</v>
      </c>
      <c r="FO354" s="54">
        <v>38040</v>
      </c>
      <c r="FP354" s="54">
        <v>196283</v>
      </c>
      <c r="FQ354" s="54">
        <v>4287999</v>
      </c>
      <c r="FR354" s="54">
        <v>461014</v>
      </c>
      <c r="FS354" s="54">
        <v>137240</v>
      </c>
      <c r="FT354" s="54"/>
    </row>
    <row r="355" spans="1:176" ht="13.5" customHeight="1" x14ac:dyDescent="0.2">
      <c r="A355" s="63">
        <v>4</v>
      </c>
      <c r="B355" s="43" t="s">
        <v>399</v>
      </c>
      <c r="C355" s="43"/>
      <c r="D355" s="43"/>
      <c r="E355" s="95"/>
      <c r="F355" s="94">
        <f t="shared" si="29"/>
        <v>176</v>
      </c>
      <c r="G355" s="54">
        <v>645935</v>
      </c>
      <c r="H355" s="54">
        <v>903402</v>
      </c>
      <c r="I355" s="54">
        <v>486498</v>
      </c>
      <c r="J355" s="54">
        <v>197645</v>
      </c>
      <c r="K355" s="54">
        <v>69699</v>
      </c>
      <c r="L355" s="54">
        <v>149560</v>
      </c>
      <c r="M355" s="54">
        <v>0</v>
      </c>
      <c r="N355" s="54">
        <v>5362</v>
      </c>
      <c r="O355" s="54">
        <v>4313290</v>
      </c>
      <c r="P355" s="54">
        <v>1775590</v>
      </c>
      <c r="Q355" s="54">
        <v>1352671</v>
      </c>
      <c r="R355" s="54">
        <v>422919</v>
      </c>
      <c r="S355" s="54">
        <v>345958</v>
      </c>
      <c r="T355" s="54">
        <v>76961</v>
      </c>
      <c r="U355" s="54">
        <v>2019526</v>
      </c>
      <c r="V355" s="54">
        <v>235753</v>
      </c>
      <c r="W355" s="54">
        <v>205169</v>
      </c>
      <c r="X355" s="54">
        <v>77252</v>
      </c>
      <c r="Y355" s="54">
        <v>-3404526</v>
      </c>
      <c r="Z355" s="54">
        <v>2339139</v>
      </c>
      <c r="AA355" s="54">
        <v>2036777</v>
      </c>
      <c r="AB355" s="54">
        <v>141170</v>
      </c>
      <c r="AC355" s="54">
        <v>161192</v>
      </c>
      <c r="AD355" s="54">
        <v>1265445</v>
      </c>
      <c r="AE355" s="54">
        <v>11267</v>
      </c>
      <c r="AF355" s="54">
        <v>7480</v>
      </c>
      <c r="AG355" s="54">
        <v>28626</v>
      </c>
      <c r="AH355" s="54">
        <v>11537</v>
      </c>
      <c r="AI355" s="54">
        <v>20554</v>
      </c>
      <c r="AJ355" s="54">
        <v>4285</v>
      </c>
      <c r="AK355" s="54">
        <v>211325</v>
      </c>
      <c r="AL355" s="54">
        <v>197017</v>
      </c>
      <c r="AM355" s="54">
        <v>195783</v>
      </c>
      <c r="AN355" s="54">
        <v>1234</v>
      </c>
      <c r="AO355" s="54">
        <v>19838</v>
      </c>
      <c r="AP355" s="54">
        <v>19993</v>
      </c>
      <c r="AQ355" s="54">
        <v>155</v>
      </c>
      <c r="AR355" s="54">
        <v>34146</v>
      </c>
      <c r="AS355" s="54">
        <v>1790</v>
      </c>
      <c r="AT355" s="54">
        <v>-6649</v>
      </c>
      <c r="AU355" s="54">
        <v>599</v>
      </c>
      <c r="AV355" s="54">
        <v>29886</v>
      </c>
      <c r="AW355" s="54"/>
      <c r="AX355" s="54">
        <v>187522</v>
      </c>
      <c r="AY355" s="54">
        <v>211325</v>
      </c>
      <c r="AZ355" s="54">
        <v>19838</v>
      </c>
      <c r="BA355" s="54">
        <v>-43641</v>
      </c>
      <c r="BB355" s="54">
        <v>-252486</v>
      </c>
      <c r="BC355" s="54">
        <v>354837</v>
      </c>
      <c r="BD355" s="54">
        <v>27925</v>
      </c>
      <c r="BE355" s="54">
        <v>74426</v>
      </c>
      <c r="BF355" s="54">
        <v>-64964</v>
      </c>
      <c r="BG355" s="54">
        <v>25859</v>
      </c>
      <c r="BH355" s="54">
        <v>-27205</v>
      </c>
      <c r="BI355" s="54">
        <v>32593</v>
      </c>
      <c r="BJ355" s="54">
        <v>5388</v>
      </c>
      <c r="BK355" s="54">
        <v>44844</v>
      </c>
      <c r="BL355" s="54">
        <v>241245</v>
      </c>
      <c r="BM355" s="54">
        <v>244951</v>
      </c>
      <c r="BN355" s="54">
        <v>48550</v>
      </c>
      <c r="BO355" s="54">
        <v>-2327</v>
      </c>
      <c r="BP355" s="54">
        <v>10547</v>
      </c>
      <c r="BQ355" s="54">
        <v>162</v>
      </c>
      <c r="BR355" s="54">
        <v>1759</v>
      </c>
      <c r="BS355" s="54">
        <v>20884</v>
      </c>
      <c r="BT355" s="54">
        <v>-12258</v>
      </c>
      <c r="BU355" s="54">
        <v>-39104</v>
      </c>
      <c r="BV355" s="54">
        <v>324447</v>
      </c>
      <c r="BW355" s="54">
        <v>363551</v>
      </c>
      <c r="BX355" s="54"/>
      <c r="BY355" s="54">
        <v>4235185</v>
      </c>
      <c r="BZ355" s="54">
        <v>28492</v>
      </c>
      <c r="CA355" s="54">
        <v>5153</v>
      </c>
      <c r="CB355" s="54">
        <v>22889</v>
      </c>
      <c r="CC355" s="54">
        <v>450</v>
      </c>
      <c r="CD355" s="54">
        <v>3238073</v>
      </c>
      <c r="CE355" s="54">
        <v>544155</v>
      </c>
      <c r="CF355" s="54">
        <v>1794139</v>
      </c>
      <c r="CG355" s="54">
        <v>694327</v>
      </c>
      <c r="CH355" s="54">
        <v>47543</v>
      </c>
      <c r="CI355" s="54">
        <v>3784</v>
      </c>
      <c r="CJ355" s="54">
        <v>3253</v>
      </c>
      <c r="CK355" s="54">
        <v>154125</v>
      </c>
      <c r="CL355" s="54">
        <v>968620</v>
      </c>
      <c r="CM355" s="54">
        <v>759068</v>
      </c>
      <c r="CN355" s="54">
        <v>306681</v>
      </c>
      <c r="CO355" s="54">
        <v>452387</v>
      </c>
      <c r="CP355" s="54">
        <v>0</v>
      </c>
      <c r="CQ355" s="54">
        <v>202797</v>
      </c>
      <c r="CR355" s="54">
        <v>0</v>
      </c>
      <c r="CS355" s="54">
        <v>1437</v>
      </c>
      <c r="CT355" s="54">
        <v>201360</v>
      </c>
      <c r="CU355" s="54">
        <v>6755</v>
      </c>
      <c r="CV355" s="54">
        <v>19380</v>
      </c>
      <c r="CW355" s="54">
        <v>4558</v>
      </c>
      <c r="CX355" s="54">
        <v>13121</v>
      </c>
      <c r="CY355" s="54">
        <v>1701</v>
      </c>
      <c r="CZ355" s="54">
        <v>572676</v>
      </c>
      <c r="DA355" s="54">
        <v>6231</v>
      </c>
      <c r="DB355" s="54">
        <v>4865</v>
      </c>
      <c r="DC355" s="54">
        <v>40</v>
      </c>
      <c r="DD355" s="54">
        <v>610</v>
      </c>
      <c r="DE355" s="54">
        <v>588</v>
      </c>
      <c r="DF355" s="54">
        <v>128</v>
      </c>
      <c r="DG355" s="54">
        <v>241999</v>
      </c>
      <c r="DH355" s="54">
        <v>58100</v>
      </c>
      <c r="DI355" s="54">
        <v>3130</v>
      </c>
      <c r="DJ355" s="54">
        <v>43955</v>
      </c>
      <c r="DK355" s="54">
        <v>8314</v>
      </c>
      <c r="DL355" s="54">
        <v>2701</v>
      </c>
      <c r="DM355" s="54">
        <v>183899</v>
      </c>
      <c r="DN355" s="54">
        <v>91279</v>
      </c>
      <c r="DO355" s="54">
        <v>10268</v>
      </c>
      <c r="DP355" s="54">
        <v>45284</v>
      </c>
      <c r="DQ355" s="54">
        <v>37068</v>
      </c>
      <c r="DR355" s="54">
        <v>154767</v>
      </c>
      <c r="DS355" s="54">
        <v>75350</v>
      </c>
      <c r="DT355" s="54">
        <v>21461</v>
      </c>
      <c r="DU355" s="54">
        <v>13780</v>
      </c>
      <c r="DV355" s="54">
        <v>44176</v>
      </c>
      <c r="DW355" s="54">
        <v>169679</v>
      </c>
      <c r="DX355" s="54">
        <v>4827241</v>
      </c>
      <c r="DY355" s="54">
        <v>2283947</v>
      </c>
      <c r="DZ355" s="54">
        <v>1790045</v>
      </c>
      <c r="EA355" s="54">
        <v>3576</v>
      </c>
      <c r="EB355" s="54">
        <v>42250</v>
      </c>
      <c r="EC355" s="54">
        <v>418193</v>
      </c>
      <c r="ED355" s="54">
        <v>29883</v>
      </c>
      <c r="EE355" s="54">
        <v>118031</v>
      </c>
      <c r="EF355" s="54">
        <v>68594</v>
      </c>
      <c r="EG355" s="54">
        <v>49437</v>
      </c>
      <c r="EH355" s="54">
        <v>16949</v>
      </c>
      <c r="EI355" s="54">
        <v>1685</v>
      </c>
      <c r="EJ355" s="54">
        <v>15264</v>
      </c>
      <c r="EK355" s="54">
        <v>29727</v>
      </c>
      <c r="EL355" s="54">
        <v>4909</v>
      </c>
      <c r="EM355" s="54">
        <v>19459</v>
      </c>
      <c r="EN355" s="54">
        <v>5359</v>
      </c>
      <c r="EO355" s="54">
        <v>2378583</v>
      </c>
      <c r="EP355" s="54">
        <v>1147767</v>
      </c>
      <c r="EQ355" s="54">
        <v>0</v>
      </c>
      <c r="ER355" s="54">
        <v>1028539</v>
      </c>
      <c r="ES355" s="54">
        <v>211919</v>
      </c>
      <c r="ET355" s="54">
        <v>778080</v>
      </c>
      <c r="EU355" s="54">
        <v>38490</v>
      </c>
      <c r="EV355" s="54">
        <v>50</v>
      </c>
      <c r="EW355" s="54">
        <v>31898</v>
      </c>
      <c r="EX355" s="54">
        <v>667</v>
      </c>
      <c r="EY355" s="54">
        <v>3721</v>
      </c>
      <c r="EZ355" s="54">
        <v>277</v>
      </c>
      <c r="FA355" s="54">
        <v>80628</v>
      </c>
      <c r="FB355" s="54">
        <v>0</v>
      </c>
      <c r="FC355" s="54">
        <v>2037</v>
      </c>
      <c r="FD355" s="54">
        <v>1230816</v>
      </c>
      <c r="FE355" s="54">
        <v>25000</v>
      </c>
      <c r="FF355" s="54">
        <v>638308</v>
      </c>
      <c r="FG355" s="54">
        <v>309288</v>
      </c>
      <c r="FH355" s="54">
        <v>277957</v>
      </c>
      <c r="FI355" s="54">
        <v>50713</v>
      </c>
      <c r="FJ355" s="54">
        <v>350</v>
      </c>
      <c r="FK355" s="54">
        <v>21298</v>
      </c>
      <c r="FL355" s="54">
        <v>33620</v>
      </c>
      <c r="FM355" s="54">
        <v>19643</v>
      </c>
      <c r="FN355" s="54">
        <v>195373</v>
      </c>
      <c r="FO355" s="54">
        <v>41041</v>
      </c>
      <c r="FP355" s="54">
        <v>256533</v>
      </c>
      <c r="FQ355" s="54">
        <v>4827237</v>
      </c>
      <c r="FR355" s="54">
        <v>641156</v>
      </c>
      <c r="FS355" s="54">
        <v>151127</v>
      </c>
      <c r="FT355" s="54"/>
    </row>
    <row r="356" spans="1:176" ht="13.5" customHeight="1" x14ac:dyDescent="0.2">
      <c r="A356" s="63">
        <v>5</v>
      </c>
      <c r="B356" s="43" t="s">
        <v>400</v>
      </c>
      <c r="C356" s="43"/>
      <c r="D356" s="43"/>
      <c r="E356" s="95"/>
      <c r="F356" s="94">
        <f t="shared" si="29"/>
        <v>175</v>
      </c>
      <c r="G356" s="54">
        <v>1079597</v>
      </c>
      <c r="H356" s="54">
        <v>1379741</v>
      </c>
      <c r="I356" s="54">
        <v>645575</v>
      </c>
      <c r="J356" s="54">
        <v>332267</v>
      </c>
      <c r="K356" s="54">
        <v>140215</v>
      </c>
      <c r="L356" s="54">
        <v>261684</v>
      </c>
      <c r="M356" s="54">
        <v>0</v>
      </c>
      <c r="N356" s="54">
        <v>47508</v>
      </c>
      <c r="O356" s="54">
        <v>6875069</v>
      </c>
      <c r="P356" s="54">
        <v>2863956</v>
      </c>
      <c r="Q356" s="54">
        <v>2185437</v>
      </c>
      <c r="R356" s="54">
        <v>678519</v>
      </c>
      <c r="S356" s="54">
        <v>554235</v>
      </c>
      <c r="T356" s="54">
        <v>124284</v>
      </c>
      <c r="U356" s="54">
        <v>3055363</v>
      </c>
      <c r="V356" s="54">
        <v>362278</v>
      </c>
      <c r="W356" s="54">
        <v>425210</v>
      </c>
      <c r="X356" s="54">
        <v>168262</v>
      </c>
      <c r="Y356" s="54">
        <v>-5447820</v>
      </c>
      <c r="Z356" s="54">
        <v>4294998</v>
      </c>
      <c r="AA356" s="54">
        <v>3788481</v>
      </c>
      <c r="AB356" s="54">
        <v>235646</v>
      </c>
      <c r="AC356" s="54">
        <v>270871</v>
      </c>
      <c r="AD356" s="54">
        <v>1459972</v>
      </c>
      <c r="AE356" s="54">
        <v>24498</v>
      </c>
      <c r="AF356" s="54">
        <v>17324</v>
      </c>
      <c r="AG356" s="54">
        <v>54421</v>
      </c>
      <c r="AH356" s="54">
        <v>30017</v>
      </c>
      <c r="AI356" s="54">
        <v>35283</v>
      </c>
      <c r="AJ356" s="54">
        <v>11964</v>
      </c>
      <c r="AK356" s="54">
        <v>331648</v>
      </c>
      <c r="AL356" s="54">
        <v>368394</v>
      </c>
      <c r="AM356" s="54">
        <v>367409</v>
      </c>
      <c r="AN356" s="54">
        <v>985</v>
      </c>
      <c r="AO356" s="54">
        <v>1793</v>
      </c>
      <c r="AP356" s="54">
        <v>8033</v>
      </c>
      <c r="AQ356" s="54">
        <v>6240</v>
      </c>
      <c r="AR356" s="54">
        <v>-34953</v>
      </c>
      <c r="AS356" s="54">
        <v>2910</v>
      </c>
      <c r="AT356" s="54">
        <v>-3238</v>
      </c>
      <c r="AU356" s="54">
        <v>4935</v>
      </c>
      <c r="AV356" s="54">
        <v>-30346</v>
      </c>
      <c r="AW356" s="54"/>
      <c r="AX356" s="54">
        <v>264277</v>
      </c>
      <c r="AY356" s="54">
        <v>331648</v>
      </c>
      <c r="AZ356" s="54">
        <v>1792</v>
      </c>
      <c r="BA356" s="54">
        <v>-69163</v>
      </c>
      <c r="BB356" s="54">
        <v>-481516</v>
      </c>
      <c r="BC356" s="54">
        <v>590534</v>
      </c>
      <c r="BD356" s="54">
        <v>16216</v>
      </c>
      <c r="BE356" s="54">
        <v>92802</v>
      </c>
      <c r="BF356" s="54">
        <v>-217239</v>
      </c>
      <c r="BG356" s="54">
        <v>171030</v>
      </c>
      <c r="BH356" s="54">
        <v>-13203</v>
      </c>
      <c r="BI356" s="54">
        <v>23146</v>
      </c>
      <c r="BJ356" s="54">
        <v>9943</v>
      </c>
      <c r="BK356" s="54">
        <v>85704</v>
      </c>
      <c r="BL356" s="54">
        <v>419375</v>
      </c>
      <c r="BM356" s="54">
        <v>385598</v>
      </c>
      <c r="BN356" s="54">
        <v>51927</v>
      </c>
      <c r="BO356" s="54">
        <v>-4285</v>
      </c>
      <c r="BP356" s="54">
        <v>102814</v>
      </c>
      <c r="BQ356" s="54">
        <v>-1452</v>
      </c>
      <c r="BR356" s="54">
        <v>-1927</v>
      </c>
      <c r="BS356" s="54">
        <v>116919</v>
      </c>
      <c r="BT356" s="54">
        <v>-10726</v>
      </c>
      <c r="BU356" s="54">
        <v>-46205</v>
      </c>
      <c r="BV356" s="54">
        <v>440069</v>
      </c>
      <c r="BW356" s="54">
        <v>486274</v>
      </c>
      <c r="BX356" s="54"/>
      <c r="BY356" s="54">
        <v>7282667</v>
      </c>
      <c r="BZ356" s="54">
        <v>43624</v>
      </c>
      <c r="CA356" s="54">
        <v>10305</v>
      </c>
      <c r="CB356" s="54">
        <v>33058</v>
      </c>
      <c r="CC356" s="54">
        <v>261</v>
      </c>
      <c r="CD356" s="54">
        <v>5354813</v>
      </c>
      <c r="CE356" s="54">
        <v>1019407</v>
      </c>
      <c r="CF356" s="54">
        <v>2504444</v>
      </c>
      <c r="CG356" s="54">
        <v>1583721</v>
      </c>
      <c r="CH356" s="54">
        <v>76701</v>
      </c>
      <c r="CI356" s="54">
        <v>8837</v>
      </c>
      <c r="CJ356" s="54">
        <v>8637</v>
      </c>
      <c r="CK356" s="54">
        <v>161703</v>
      </c>
      <c r="CL356" s="54">
        <v>1884230</v>
      </c>
      <c r="CM356" s="54">
        <v>1523552</v>
      </c>
      <c r="CN356" s="54">
        <v>475738</v>
      </c>
      <c r="CO356" s="54">
        <v>1047814</v>
      </c>
      <c r="CP356" s="54">
        <v>0</v>
      </c>
      <c r="CQ356" s="54">
        <v>347838</v>
      </c>
      <c r="CR356" s="54">
        <v>0</v>
      </c>
      <c r="CS356" s="54">
        <v>375</v>
      </c>
      <c r="CT356" s="54">
        <v>347463</v>
      </c>
      <c r="CU356" s="54">
        <v>12840</v>
      </c>
      <c r="CV356" s="54">
        <v>45623</v>
      </c>
      <c r="CW356" s="54">
        <v>18221</v>
      </c>
      <c r="CX356" s="54">
        <v>25547</v>
      </c>
      <c r="CY356" s="54">
        <v>1855</v>
      </c>
      <c r="CZ356" s="54">
        <v>807402</v>
      </c>
      <c r="DA356" s="54">
        <v>10434</v>
      </c>
      <c r="DB356" s="54">
        <v>7734</v>
      </c>
      <c r="DC356" s="54">
        <v>1575</v>
      </c>
      <c r="DD356" s="54">
        <v>1046</v>
      </c>
      <c r="DE356" s="54">
        <v>73</v>
      </c>
      <c r="DF356" s="54">
        <v>6</v>
      </c>
      <c r="DG356" s="54">
        <v>356726</v>
      </c>
      <c r="DH356" s="54">
        <v>77938</v>
      </c>
      <c r="DI356" s="54">
        <v>12507</v>
      </c>
      <c r="DJ356" s="54">
        <v>43839</v>
      </c>
      <c r="DK356" s="54">
        <v>20575</v>
      </c>
      <c r="DL356" s="54">
        <v>1017</v>
      </c>
      <c r="DM356" s="54">
        <v>278788</v>
      </c>
      <c r="DN356" s="54">
        <v>132717</v>
      </c>
      <c r="DO356" s="54">
        <v>17275</v>
      </c>
      <c r="DP356" s="54">
        <v>77155</v>
      </c>
      <c r="DQ356" s="54">
        <v>51641</v>
      </c>
      <c r="DR356" s="54">
        <v>137948</v>
      </c>
      <c r="DS356" s="54">
        <v>41146</v>
      </c>
      <c r="DT356" s="54">
        <v>19491</v>
      </c>
      <c r="DU356" s="54">
        <v>23188</v>
      </c>
      <c r="DV356" s="54">
        <v>54123</v>
      </c>
      <c r="DW356" s="54">
        <v>302294</v>
      </c>
      <c r="DX356" s="54">
        <v>8135692</v>
      </c>
      <c r="DY356" s="54">
        <v>4121452</v>
      </c>
      <c r="DZ356" s="54">
        <v>3066831</v>
      </c>
      <c r="EA356" s="54">
        <v>61331</v>
      </c>
      <c r="EB356" s="54">
        <v>67324</v>
      </c>
      <c r="EC356" s="54">
        <v>956306</v>
      </c>
      <c r="ED356" s="54">
        <v>-30340</v>
      </c>
      <c r="EE356" s="54">
        <v>84652</v>
      </c>
      <c r="EF356" s="54">
        <v>52820</v>
      </c>
      <c r="EG356" s="54">
        <v>31832</v>
      </c>
      <c r="EH356" s="54">
        <v>39447</v>
      </c>
      <c r="EI356" s="54">
        <v>2877</v>
      </c>
      <c r="EJ356" s="54">
        <v>36570</v>
      </c>
      <c r="EK356" s="54">
        <v>61722</v>
      </c>
      <c r="EL356" s="54">
        <v>18952</v>
      </c>
      <c r="EM356" s="54">
        <v>36112</v>
      </c>
      <c r="EN356" s="54">
        <v>6658</v>
      </c>
      <c r="EO356" s="54">
        <v>3828428</v>
      </c>
      <c r="EP356" s="54">
        <v>2104847</v>
      </c>
      <c r="EQ356" s="54">
        <v>0</v>
      </c>
      <c r="ER356" s="54">
        <v>1900398</v>
      </c>
      <c r="ES356" s="54">
        <v>401136</v>
      </c>
      <c r="ET356" s="54">
        <v>1455007</v>
      </c>
      <c r="EU356" s="54">
        <v>29820</v>
      </c>
      <c r="EV356" s="54">
        <v>14435</v>
      </c>
      <c r="EW356" s="54">
        <v>27723</v>
      </c>
      <c r="EX356" s="54">
        <v>96</v>
      </c>
      <c r="EY356" s="54">
        <v>13572</v>
      </c>
      <c r="EZ356" s="54">
        <v>2</v>
      </c>
      <c r="FA356" s="54">
        <v>160626</v>
      </c>
      <c r="FB356" s="54">
        <v>0</v>
      </c>
      <c r="FC356" s="54">
        <v>2430</v>
      </c>
      <c r="FD356" s="54">
        <v>1723581</v>
      </c>
      <c r="FE356" s="54">
        <v>94500</v>
      </c>
      <c r="FF356" s="54">
        <v>718107</v>
      </c>
      <c r="FG356" s="54">
        <v>270150</v>
      </c>
      <c r="FH356" s="54">
        <v>420835</v>
      </c>
      <c r="FI356" s="54">
        <v>18599</v>
      </c>
      <c r="FJ356" s="54">
        <v>8523</v>
      </c>
      <c r="FK356" s="54">
        <v>13639</v>
      </c>
      <c r="FL356" s="54">
        <v>47810</v>
      </c>
      <c r="FM356" s="54">
        <v>12278</v>
      </c>
      <c r="FN356" s="54">
        <v>291117</v>
      </c>
      <c r="FO356" s="54">
        <v>97773</v>
      </c>
      <c r="FP356" s="54">
        <v>448357</v>
      </c>
      <c r="FQ356" s="54">
        <v>8135701</v>
      </c>
      <c r="FR356" s="54">
        <v>1437060</v>
      </c>
      <c r="FS356" s="54">
        <v>220527</v>
      </c>
      <c r="FT356" s="54"/>
    </row>
    <row r="357" spans="1:176" ht="13.5" customHeight="1" x14ac:dyDescent="0.2">
      <c r="A357" s="63">
        <v>6</v>
      </c>
      <c r="B357" s="43" t="s">
        <v>401</v>
      </c>
      <c r="C357" s="43"/>
      <c r="D357" s="43"/>
      <c r="E357" s="95"/>
      <c r="F357" s="94">
        <f t="shared" si="29"/>
        <v>66</v>
      </c>
      <c r="G357" s="54">
        <v>741479</v>
      </c>
      <c r="H357" s="54">
        <v>1056616</v>
      </c>
      <c r="I357" s="54">
        <v>493949</v>
      </c>
      <c r="J357" s="54">
        <v>243698</v>
      </c>
      <c r="K357" s="54">
        <v>124423</v>
      </c>
      <c r="L357" s="54">
        <v>194546</v>
      </c>
      <c r="M357" s="54">
        <v>61</v>
      </c>
      <c r="N357" s="54">
        <v>61649</v>
      </c>
      <c r="O357" s="54">
        <v>5055021</v>
      </c>
      <c r="P357" s="54">
        <v>2089894</v>
      </c>
      <c r="Q357" s="54">
        <v>1592931</v>
      </c>
      <c r="R357" s="54">
        <v>496963</v>
      </c>
      <c r="S357" s="54">
        <v>404277</v>
      </c>
      <c r="T357" s="54">
        <v>92686</v>
      </c>
      <c r="U357" s="54">
        <v>2198522</v>
      </c>
      <c r="V357" s="54">
        <v>270995</v>
      </c>
      <c r="W357" s="54">
        <v>355102</v>
      </c>
      <c r="X357" s="54">
        <v>140508</v>
      </c>
      <c r="Y357" s="54">
        <v>-3936695</v>
      </c>
      <c r="Z357" s="54">
        <v>2846459</v>
      </c>
      <c r="AA357" s="54">
        <v>2432792</v>
      </c>
      <c r="AB357" s="54">
        <v>191963</v>
      </c>
      <c r="AC357" s="54">
        <v>221704</v>
      </c>
      <c r="AD357" s="54">
        <v>1199415</v>
      </c>
      <c r="AE357" s="54">
        <v>65493</v>
      </c>
      <c r="AF357" s="54">
        <v>35868</v>
      </c>
      <c r="AG357" s="54">
        <v>66894</v>
      </c>
      <c r="AH357" s="54">
        <v>44953</v>
      </c>
      <c r="AI357" s="54">
        <v>28072</v>
      </c>
      <c r="AJ357" s="54">
        <v>9197</v>
      </c>
      <c r="AK357" s="54">
        <v>174672</v>
      </c>
      <c r="AL357" s="54">
        <v>235925</v>
      </c>
      <c r="AM357" s="54">
        <v>232980</v>
      </c>
      <c r="AN357" s="54">
        <v>2945</v>
      </c>
      <c r="AO357" s="54">
        <v>56602</v>
      </c>
      <c r="AP357" s="54">
        <v>60951</v>
      </c>
      <c r="AQ357" s="54">
        <v>4349</v>
      </c>
      <c r="AR357" s="54">
        <v>-4651</v>
      </c>
      <c r="AS357" s="54">
        <v>-2236</v>
      </c>
      <c r="AT357" s="54">
        <v>7991</v>
      </c>
      <c r="AU357" s="54">
        <v>-5514</v>
      </c>
      <c r="AV357" s="54">
        <v>-4410</v>
      </c>
      <c r="AW357" s="54"/>
      <c r="AX357" s="54">
        <v>153129</v>
      </c>
      <c r="AY357" s="54">
        <v>174672</v>
      </c>
      <c r="AZ357" s="54">
        <v>56601</v>
      </c>
      <c r="BA357" s="54">
        <v>-78144</v>
      </c>
      <c r="BB357" s="54">
        <v>-188682</v>
      </c>
      <c r="BC357" s="54">
        <v>374879</v>
      </c>
      <c r="BD357" s="54">
        <v>15664</v>
      </c>
      <c r="BE357" s="54">
        <v>170533</v>
      </c>
      <c r="BF357" s="54">
        <v>-35553</v>
      </c>
      <c r="BG357" s="54">
        <v>45129</v>
      </c>
      <c r="BH357" s="54">
        <v>-77651</v>
      </c>
      <c r="BI357" s="54">
        <v>82828</v>
      </c>
      <c r="BJ357" s="54">
        <v>5177</v>
      </c>
      <c r="BK357" s="54">
        <v>117288</v>
      </c>
      <c r="BL357" s="54">
        <v>342929</v>
      </c>
      <c r="BM357" s="54">
        <v>305310</v>
      </c>
      <c r="BN357" s="54">
        <v>79669</v>
      </c>
      <c r="BO357" s="54">
        <v>-10121</v>
      </c>
      <c r="BP357" s="54">
        <v>15613</v>
      </c>
      <c r="BQ357" s="54">
        <v>8487</v>
      </c>
      <c r="BR357" s="54">
        <v>24006</v>
      </c>
      <c r="BS357" s="54">
        <v>29107</v>
      </c>
      <c r="BT357" s="54">
        <v>-45987</v>
      </c>
      <c r="BU357" s="54">
        <v>9602</v>
      </c>
      <c r="BV357" s="54">
        <v>335512</v>
      </c>
      <c r="BW357" s="54">
        <v>325910</v>
      </c>
      <c r="BX357" s="54"/>
      <c r="BY357" s="54">
        <v>5762086</v>
      </c>
      <c r="BZ357" s="54">
        <v>33860</v>
      </c>
      <c r="CA357" s="54">
        <v>4024</v>
      </c>
      <c r="CB357" s="54">
        <v>28841</v>
      </c>
      <c r="CC357" s="54">
        <v>995</v>
      </c>
      <c r="CD357" s="54">
        <v>3617273</v>
      </c>
      <c r="CE357" s="54">
        <v>959261</v>
      </c>
      <c r="CF357" s="54">
        <v>1564999</v>
      </c>
      <c r="CG357" s="54">
        <v>874342</v>
      </c>
      <c r="CH357" s="54">
        <v>74407</v>
      </c>
      <c r="CI357" s="54">
        <v>13278</v>
      </c>
      <c r="CJ357" s="54">
        <v>12839</v>
      </c>
      <c r="CK357" s="54">
        <v>130986</v>
      </c>
      <c r="CL357" s="54">
        <v>2110953</v>
      </c>
      <c r="CM357" s="54">
        <v>1445170</v>
      </c>
      <c r="CN357" s="54">
        <v>342345</v>
      </c>
      <c r="CO357" s="54">
        <v>1102825</v>
      </c>
      <c r="CP357" s="54">
        <v>0</v>
      </c>
      <c r="CQ357" s="54">
        <v>660405</v>
      </c>
      <c r="CR357" s="54">
        <v>6</v>
      </c>
      <c r="CS357" s="54">
        <v>630</v>
      </c>
      <c r="CT357" s="54">
        <v>659769</v>
      </c>
      <c r="CU357" s="54">
        <v>5378</v>
      </c>
      <c r="CV357" s="54">
        <v>40243</v>
      </c>
      <c r="CW357" s="54">
        <v>9205</v>
      </c>
      <c r="CX357" s="54">
        <v>30713</v>
      </c>
      <c r="CY357" s="54">
        <v>325</v>
      </c>
      <c r="CZ357" s="54">
        <v>609841</v>
      </c>
      <c r="DA357" s="54">
        <v>6537</v>
      </c>
      <c r="DB357" s="54">
        <v>4018</v>
      </c>
      <c r="DC357" s="54">
        <v>2283</v>
      </c>
      <c r="DD357" s="54">
        <v>9</v>
      </c>
      <c r="DE357" s="54">
        <v>227</v>
      </c>
      <c r="DF357" s="54">
        <v>0</v>
      </c>
      <c r="DG357" s="54">
        <v>267792</v>
      </c>
      <c r="DH357" s="54">
        <v>50512</v>
      </c>
      <c r="DI357" s="54">
        <v>7277</v>
      </c>
      <c r="DJ357" s="54">
        <v>24390</v>
      </c>
      <c r="DK357" s="54">
        <v>5334</v>
      </c>
      <c r="DL357" s="54">
        <v>13511</v>
      </c>
      <c r="DM357" s="54">
        <v>217280</v>
      </c>
      <c r="DN357" s="54">
        <v>90863</v>
      </c>
      <c r="DO357" s="54">
        <v>14318</v>
      </c>
      <c r="DP357" s="54">
        <v>54057</v>
      </c>
      <c r="DQ357" s="54">
        <v>58042</v>
      </c>
      <c r="DR357" s="54">
        <v>206718</v>
      </c>
      <c r="DS357" s="54">
        <v>9337</v>
      </c>
      <c r="DT357" s="54">
        <v>10657</v>
      </c>
      <c r="DU357" s="54">
        <v>35127</v>
      </c>
      <c r="DV357" s="54">
        <v>151597</v>
      </c>
      <c r="DW357" s="54">
        <v>128794</v>
      </c>
      <c r="DX357" s="54">
        <v>6412170</v>
      </c>
      <c r="DY357" s="54">
        <v>3310876</v>
      </c>
      <c r="DZ357" s="54">
        <v>2706744</v>
      </c>
      <c r="EA357" s="54">
        <v>198050</v>
      </c>
      <c r="EB357" s="54">
        <v>212377</v>
      </c>
      <c r="EC357" s="54">
        <v>198115</v>
      </c>
      <c r="ED357" s="54">
        <v>-4410</v>
      </c>
      <c r="EE357" s="54">
        <v>88179</v>
      </c>
      <c r="EF357" s="54">
        <v>76229</v>
      </c>
      <c r="EG357" s="54">
        <v>11950</v>
      </c>
      <c r="EH357" s="54">
        <v>37258</v>
      </c>
      <c r="EI357" s="54">
        <v>7788</v>
      </c>
      <c r="EJ357" s="54">
        <v>29470</v>
      </c>
      <c r="EK357" s="54">
        <v>84583</v>
      </c>
      <c r="EL357" s="54">
        <v>9467</v>
      </c>
      <c r="EM357" s="54">
        <v>33806</v>
      </c>
      <c r="EN357" s="54">
        <v>41310</v>
      </c>
      <c r="EO357" s="54">
        <v>2891273</v>
      </c>
      <c r="EP357" s="54">
        <v>1682761</v>
      </c>
      <c r="EQ357" s="54">
        <v>115000</v>
      </c>
      <c r="ER357" s="54">
        <v>1436112</v>
      </c>
      <c r="ES357" s="54">
        <v>245445</v>
      </c>
      <c r="ET357" s="54">
        <v>1118365</v>
      </c>
      <c r="EU357" s="54">
        <v>40202</v>
      </c>
      <c r="EV357" s="54">
        <v>32100</v>
      </c>
      <c r="EW357" s="54">
        <v>44156</v>
      </c>
      <c r="EX357" s="54">
        <v>19908</v>
      </c>
      <c r="EY357" s="54">
        <v>911</v>
      </c>
      <c r="EZ357" s="54">
        <v>0</v>
      </c>
      <c r="FA357" s="54">
        <v>58013</v>
      </c>
      <c r="FB357" s="54">
        <v>44</v>
      </c>
      <c r="FC357" s="54">
        <v>8661</v>
      </c>
      <c r="FD357" s="54">
        <v>1208512</v>
      </c>
      <c r="FE357" s="54">
        <v>0</v>
      </c>
      <c r="FF357" s="54">
        <v>469192</v>
      </c>
      <c r="FG357" s="54">
        <v>186272</v>
      </c>
      <c r="FH357" s="54">
        <v>263726</v>
      </c>
      <c r="FI357" s="54">
        <v>13241</v>
      </c>
      <c r="FJ357" s="54">
        <v>5953</v>
      </c>
      <c r="FK357" s="54">
        <v>11453</v>
      </c>
      <c r="FL357" s="54">
        <v>93959</v>
      </c>
      <c r="FM357" s="54">
        <v>12651</v>
      </c>
      <c r="FN357" s="54">
        <v>225327</v>
      </c>
      <c r="FO357" s="54">
        <v>75712</v>
      </c>
      <c r="FP357" s="54">
        <v>320218</v>
      </c>
      <c r="FQ357" s="54">
        <v>6412169</v>
      </c>
      <c r="FR357" s="54">
        <v>1414406</v>
      </c>
      <c r="FS357" s="54">
        <v>153151</v>
      </c>
      <c r="FT357" s="54"/>
    </row>
    <row r="358" spans="1:176" ht="13.5" customHeight="1" x14ac:dyDescent="0.2">
      <c r="A358" s="63">
        <v>7</v>
      </c>
      <c r="B358" s="43" t="s">
        <v>402</v>
      </c>
      <c r="C358" s="43"/>
      <c r="D358" s="43"/>
      <c r="E358" s="95"/>
      <c r="F358" s="94">
        <f t="shared" si="29"/>
        <v>63</v>
      </c>
      <c r="G358" s="54">
        <v>2090394</v>
      </c>
      <c r="H358" s="54">
        <v>3090473</v>
      </c>
      <c r="I358" s="54">
        <v>1085421</v>
      </c>
      <c r="J358" s="54">
        <v>771059</v>
      </c>
      <c r="K358" s="54">
        <v>386709</v>
      </c>
      <c r="L358" s="54">
        <v>847284</v>
      </c>
      <c r="M358" s="54">
        <v>0</v>
      </c>
      <c r="N358" s="54">
        <v>392293</v>
      </c>
      <c r="O358" s="54">
        <v>13753392</v>
      </c>
      <c r="P358" s="54">
        <v>5611880</v>
      </c>
      <c r="Q358" s="54">
        <v>4253794</v>
      </c>
      <c r="R358" s="54">
        <v>1358086</v>
      </c>
      <c r="S358" s="54">
        <v>1108507</v>
      </c>
      <c r="T358" s="54">
        <v>249579</v>
      </c>
      <c r="U358" s="54">
        <v>5723927</v>
      </c>
      <c r="V358" s="54">
        <v>633216</v>
      </c>
      <c r="W358" s="54">
        <v>1276442</v>
      </c>
      <c r="X358" s="54">
        <v>507927</v>
      </c>
      <c r="Y358" s="54">
        <v>-10270626</v>
      </c>
      <c r="Z358" s="54">
        <v>9114776</v>
      </c>
      <c r="AA358" s="54">
        <v>7613337</v>
      </c>
      <c r="AB358" s="54">
        <v>845109</v>
      </c>
      <c r="AC358" s="54">
        <v>656330</v>
      </c>
      <c r="AD358" s="54">
        <v>1770276</v>
      </c>
      <c r="AE358" s="54">
        <v>224761</v>
      </c>
      <c r="AF358" s="54">
        <v>181490</v>
      </c>
      <c r="AG358" s="54">
        <v>168654</v>
      </c>
      <c r="AH358" s="54">
        <v>96836</v>
      </c>
      <c r="AI358" s="54">
        <v>84276</v>
      </c>
      <c r="AJ358" s="54">
        <v>41107</v>
      </c>
      <c r="AK358" s="54">
        <v>839187</v>
      </c>
      <c r="AL358" s="54">
        <v>1003992</v>
      </c>
      <c r="AM358" s="54">
        <v>933482</v>
      </c>
      <c r="AN358" s="54">
        <v>70510</v>
      </c>
      <c r="AO358" s="54">
        <v>239692</v>
      </c>
      <c r="AP358" s="54">
        <v>240931</v>
      </c>
      <c r="AQ358" s="54">
        <v>1239</v>
      </c>
      <c r="AR358" s="54">
        <v>74887</v>
      </c>
      <c r="AS358" s="54">
        <v>-21473</v>
      </c>
      <c r="AT358" s="54">
        <v>-5660</v>
      </c>
      <c r="AU358" s="54">
        <v>51163</v>
      </c>
      <c r="AV358" s="54">
        <v>98917</v>
      </c>
      <c r="AW358" s="54"/>
      <c r="AX358" s="54">
        <v>692808</v>
      </c>
      <c r="AY358" s="54">
        <v>839187</v>
      </c>
      <c r="AZ358" s="54">
        <v>239692</v>
      </c>
      <c r="BA358" s="54">
        <v>-386071</v>
      </c>
      <c r="BB358" s="54">
        <v>-1162441</v>
      </c>
      <c r="BC358" s="54">
        <v>1738065</v>
      </c>
      <c r="BD358" s="54">
        <v>72928</v>
      </c>
      <c r="BE358" s="54">
        <v>502696</v>
      </c>
      <c r="BF358" s="54">
        <v>-469633</v>
      </c>
      <c r="BG358" s="54">
        <v>351556</v>
      </c>
      <c r="BH358" s="54">
        <v>-73470</v>
      </c>
      <c r="BI358" s="54">
        <v>347377</v>
      </c>
      <c r="BJ358" s="54">
        <v>273907</v>
      </c>
      <c r="BK358" s="54">
        <v>461056</v>
      </c>
      <c r="BL358" s="54">
        <v>951228</v>
      </c>
      <c r="BM358" s="54">
        <v>600852</v>
      </c>
      <c r="BN358" s="54">
        <v>110680</v>
      </c>
      <c r="BO358" s="54">
        <v>10751</v>
      </c>
      <c r="BP358" s="54">
        <v>-46781</v>
      </c>
      <c r="BQ358" s="54">
        <v>-12785</v>
      </c>
      <c r="BR358" s="54">
        <v>-10468</v>
      </c>
      <c r="BS358" s="54">
        <v>-85067</v>
      </c>
      <c r="BT358" s="54">
        <v>61539</v>
      </c>
      <c r="BU358" s="54">
        <v>-118080</v>
      </c>
      <c r="BV358" s="54">
        <v>2438145</v>
      </c>
      <c r="BW358" s="54">
        <v>2556225</v>
      </c>
      <c r="BX358" s="54"/>
      <c r="BY358" s="54">
        <v>24559191</v>
      </c>
      <c r="BZ358" s="54">
        <v>424390</v>
      </c>
      <c r="CA358" s="54">
        <v>49826</v>
      </c>
      <c r="CB358" s="54">
        <v>366906</v>
      </c>
      <c r="CC358" s="54">
        <v>7658</v>
      </c>
      <c r="CD358" s="54">
        <v>14150453</v>
      </c>
      <c r="CE358" s="54">
        <v>4537445</v>
      </c>
      <c r="CF358" s="54">
        <v>4721409</v>
      </c>
      <c r="CG358" s="54">
        <v>3907193</v>
      </c>
      <c r="CH358" s="54">
        <v>324095</v>
      </c>
      <c r="CI358" s="54">
        <v>28437</v>
      </c>
      <c r="CJ358" s="54">
        <v>20959</v>
      </c>
      <c r="CK358" s="54">
        <v>631874</v>
      </c>
      <c r="CL358" s="54">
        <v>9984348</v>
      </c>
      <c r="CM358" s="54">
        <v>5856880</v>
      </c>
      <c r="CN358" s="54">
        <v>1183552</v>
      </c>
      <c r="CO358" s="54">
        <v>4673328</v>
      </c>
      <c r="CP358" s="54">
        <v>150000</v>
      </c>
      <c r="CQ358" s="54">
        <v>3968514</v>
      </c>
      <c r="CR358" s="54">
        <v>0</v>
      </c>
      <c r="CS358" s="54">
        <v>1184154</v>
      </c>
      <c r="CT358" s="54">
        <v>2784360</v>
      </c>
      <c r="CU358" s="54">
        <v>8954</v>
      </c>
      <c r="CV358" s="54">
        <v>655793</v>
      </c>
      <c r="CW358" s="54">
        <v>184611</v>
      </c>
      <c r="CX358" s="54">
        <v>29379</v>
      </c>
      <c r="CY358" s="54">
        <v>441803</v>
      </c>
      <c r="CZ358" s="54">
        <v>3473156</v>
      </c>
      <c r="DA358" s="54">
        <v>65216</v>
      </c>
      <c r="DB358" s="54">
        <v>18411</v>
      </c>
      <c r="DC358" s="54">
        <v>7576</v>
      </c>
      <c r="DD358" s="54">
        <v>258</v>
      </c>
      <c r="DE358" s="54">
        <v>38971</v>
      </c>
      <c r="DF358" s="54">
        <v>0</v>
      </c>
      <c r="DG358" s="54">
        <v>969792</v>
      </c>
      <c r="DH358" s="54">
        <v>136155</v>
      </c>
      <c r="DI358" s="54">
        <v>1934</v>
      </c>
      <c r="DJ358" s="54">
        <v>40623</v>
      </c>
      <c r="DK358" s="54">
        <v>47966</v>
      </c>
      <c r="DL358" s="54">
        <v>45632</v>
      </c>
      <c r="DM358" s="54">
        <v>833637</v>
      </c>
      <c r="DN358" s="54">
        <v>238214</v>
      </c>
      <c r="DO358" s="54">
        <v>157595</v>
      </c>
      <c r="DP358" s="54">
        <v>167478</v>
      </c>
      <c r="DQ358" s="54">
        <v>270350</v>
      </c>
      <c r="DR358" s="54">
        <v>1273987</v>
      </c>
      <c r="DS358" s="54">
        <v>56733</v>
      </c>
      <c r="DT358" s="54">
        <v>477608</v>
      </c>
      <c r="DU358" s="54">
        <v>179655</v>
      </c>
      <c r="DV358" s="54">
        <v>559991</v>
      </c>
      <c r="DW358" s="54">
        <v>1164161</v>
      </c>
      <c r="DX358" s="54">
        <v>28688140</v>
      </c>
      <c r="DY358" s="54">
        <v>18802001</v>
      </c>
      <c r="DZ358" s="54">
        <v>7888456</v>
      </c>
      <c r="EA358" s="54">
        <v>1808518</v>
      </c>
      <c r="EB358" s="54">
        <v>2006604</v>
      </c>
      <c r="EC358" s="54">
        <v>6999506</v>
      </c>
      <c r="ED358" s="54">
        <v>98917</v>
      </c>
      <c r="EE358" s="54">
        <v>409534</v>
      </c>
      <c r="EF358" s="54">
        <v>352032</v>
      </c>
      <c r="EG358" s="54">
        <v>57502</v>
      </c>
      <c r="EH358" s="54">
        <v>191590</v>
      </c>
      <c r="EI358" s="54">
        <v>160975</v>
      </c>
      <c r="EJ358" s="54">
        <v>30615</v>
      </c>
      <c r="EK358" s="54">
        <v>660970</v>
      </c>
      <c r="EL358" s="54">
        <v>185666</v>
      </c>
      <c r="EM358" s="54">
        <v>42962</v>
      </c>
      <c r="EN358" s="54">
        <v>432342</v>
      </c>
      <c r="EO358" s="54">
        <v>8624046</v>
      </c>
      <c r="EP358" s="54">
        <v>5122317</v>
      </c>
      <c r="EQ358" s="54">
        <v>531567</v>
      </c>
      <c r="ER358" s="54">
        <v>4413236</v>
      </c>
      <c r="ES358" s="54">
        <v>215387</v>
      </c>
      <c r="ET358" s="54">
        <v>2229118</v>
      </c>
      <c r="EU358" s="54">
        <v>4041</v>
      </c>
      <c r="EV358" s="54">
        <v>1964690</v>
      </c>
      <c r="EW358" s="54">
        <v>10007</v>
      </c>
      <c r="EX358" s="54">
        <v>7492</v>
      </c>
      <c r="EY358" s="54">
        <v>27596</v>
      </c>
      <c r="EZ358" s="54">
        <v>3960</v>
      </c>
      <c r="FA358" s="54">
        <v>91383</v>
      </c>
      <c r="FB358" s="54">
        <v>17</v>
      </c>
      <c r="FC358" s="54">
        <v>37076</v>
      </c>
      <c r="FD358" s="54">
        <v>3501729</v>
      </c>
      <c r="FE358" s="54">
        <v>5733</v>
      </c>
      <c r="FF358" s="54">
        <v>703572</v>
      </c>
      <c r="FG358" s="54">
        <v>101287</v>
      </c>
      <c r="FH358" s="54">
        <v>489593</v>
      </c>
      <c r="FI358" s="54">
        <v>1101</v>
      </c>
      <c r="FJ358" s="54">
        <v>111591</v>
      </c>
      <c r="FK358" s="54">
        <v>1299</v>
      </c>
      <c r="FL358" s="54">
        <v>767407</v>
      </c>
      <c r="FM358" s="54">
        <v>149771</v>
      </c>
      <c r="FN358" s="54">
        <v>546969</v>
      </c>
      <c r="FO358" s="54">
        <v>272552</v>
      </c>
      <c r="FP358" s="54">
        <v>1054426</v>
      </c>
      <c r="FQ358" s="54">
        <v>28688141</v>
      </c>
      <c r="FR358" s="54">
        <v>3588314</v>
      </c>
      <c r="FS358" s="54">
        <v>402486</v>
      </c>
      <c r="FT358" s="54"/>
    </row>
    <row r="359" spans="1:176" ht="13.5" customHeight="1" x14ac:dyDescent="0.2">
      <c r="A359" s="63"/>
      <c r="B359" s="43"/>
      <c r="C359" s="43"/>
      <c r="D359" s="43"/>
      <c r="E359" s="95"/>
      <c r="F359" s="9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54"/>
      <c r="BJ359" s="54"/>
      <c r="BK359" s="54"/>
      <c r="BL359" s="54"/>
      <c r="BM359" s="54"/>
      <c r="BN359" s="54"/>
      <c r="BO359" s="54"/>
      <c r="BP359" s="54"/>
      <c r="BQ359" s="54"/>
      <c r="BR359" s="54"/>
      <c r="BS359" s="54"/>
      <c r="BT359" s="54"/>
      <c r="BU359" s="54"/>
      <c r="BV359" s="54"/>
      <c r="BW359" s="54"/>
      <c r="BX359" s="54"/>
      <c r="BY359" s="54"/>
      <c r="BZ359" s="54"/>
      <c r="CA359" s="54"/>
      <c r="CB359" s="54"/>
      <c r="CC359" s="54"/>
      <c r="CD359" s="54"/>
      <c r="CE359" s="54"/>
      <c r="CF359" s="54"/>
      <c r="CG359" s="54"/>
      <c r="CH359" s="54"/>
      <c r="CI359" s="54"/>
      <c r="CJ359" s="54"/>
      <c r="CK359" s="54"/>
      <c r="CL359" s="54"/>
      <c r="CM359" s="54"/>
      <c r="CN359" s="54"/>
      <c r="CO359" s="54"/>
      <c r="CP359" s="54"/>
      <c r="CQ359" s="54"/>
      <c r="CR359" s="54"/>
      <c r="CS359" s="54"/>
      <c r="CT359" s="54"/>
      <c r="CU359" s="54"/>
      <c r="CV359" s="54"/>
      <c r="CW359" s="54"/>
      <c r="CX359" s="54"/>
      <c r="CY359" s="54"/>
      <c r="CZ359" s="54"/>
      <c r="DA359" s="54"/>
      <c r="DB359" s="54"/>
      <c r="DC359" s="54"/>
      <c r="DD359" s="54"/>
      <c r="DE359" s="54"/>
      <c r="DF359" s="54"/>
      <c r="DG359" s="54"/>
      <c r="DH359" s="54"/>
      <c r="DI359" s="54"/>
      <c r="DJ359" s="54"/>
      <c r="DK359" s="54"/>
      <c r="DL359" s="54"/>
      <c r="DM359" s="54"/>
      <c r="DN359" s="54"/>
      <c r="DO359" s="54"/>
      <c r="DP359" s="54"/>
      <c r="DQ359" s="54"/>
      <c r="DR359" s="54"/>
      <c r="DS359" s="54"/>
      <c r="DT359" s="54"/>
      <c r="DU359" s="54"/>
      <c r="DV359" s="54"/>
      <c r="DW359" s="54"/>
      <c r="DX359" s="54"/>
      <c r="DY359" s="54"/>
      <c r="DZ359" s="54"/>
      <c r="EA359" s="54"/>
      <c r="EB359" s="54"/>
      <c r="EC359" s="54"/>
      <c r="ED359" s="54"/>
      <c r="EE359" s="54"/>
      <c r="EF359" s="54"/>
      <c r="EG359" s="54"/>
      <c r="EH359" s="54"/>
      <c r="EI359" s="54"/>
      <c r="EJ359" s="54"/>
      <c r="EK359" s="54"/>
      <c r="EL359" s="54"/>
      <c r="EM359" s="54"/>
      <c r="EN359" s="54"/>
      <c r="EO359" s="54"/>
      <c r="EP359" s="54"/>
      <c r="EQ359" s="54"/>
      <c r="ER359" s="54"/>
      <c r="ES359" s="54"/>
      <c r="ET359" s="54"/>
      <c r="EU359" s="54"/>
      <c r="EV359" s="54"/>
      <c r="EW359" s="54"/>
      <c r="EX359" s="54"/>
      <c r="EY359" s="54"/>
      <c r="EZ359" s="54"/>
      <c r="FA359" s="54"/>
      <c r="FB359" s="54"/>
      <c r="FC359" s="54"/>
      <c r="FD359" s="54"/>
      <c r="FE359" s="54"/>
      <c r="FF359" s="54"/>
      <c r="FG359" s="54"/>
      <c r="FH359" s="54"/>
      <c r="FI359" s="54"/>
      <c r="FJ359" s="54"/>
      <c r="FK359" s="54"/>
      <c r="FL359" s="54"/>
      <c r="FM359" s="54"/>
      <c r="FN359" s="54"/>
      <c r="FO359" s="54"/>
      <c r="FP359" s="54"/>
      <c r="FQ359" s="54"/>
      <c r="FR359" s="54"/>
      <c r="FS359" s="54"/>
      <c r="FT359" s="54"/>
    </row>
    <row r="360" spans="1:176" ht="13.5" customHeight="1" x14ac:dyDescent="0.2">
      <c r="B360" s="43" t="s">
        <v>213</v>
      </c>
      <c r="C360" s="43"/>
      <c r="D360" s="43"/>
      <c r="E360" s="95"/>
      <c r="F360" s="94">
        <f>SUM(F352:F358)</f>
        <v>944</v>
      </c>
      <c r="G360" s="54">
        <v>5487308</v>
      </c>
      <c r="H360" s="54">
        <v>7551113</v>
      </c>
      <c r="I360" s="54">
        <v>3245037</v>
      </c>
      <c r="J360" s="54">
        <v>1776323</v>
      </c>
      <c r="K360" s="54">
        <v>814182</v>
      </c>
      <c r="L360" s="54">
        <v>1715571</v>
      </c>
      <c r="M360" s="54">
        <v>148</v>
      </c>
      <c r="N360" s="54">
        <v>509422</v>
      </c>
      <c r="O360" s="54">
        <v>36491515</v>
      </c>
      <c r="P360" s="54">
        <v>14700996</v>
      </c>
      <c r="Q360" s="54">
        <v>11161853</v>
      </c>
      <c r="R360" s="54">
        <v>3539143</v>
      </c>
      <c r="S360" s="54">
        <v>2899666</v>
      </c>
      <c r="T360" s="54">
        <v>639477</v>
      </c>
      <c r="U360" s="54">
        <v>16447109</v>
      </c>
      <c r="V360" s="54">
        <v>1853508</v>
      </c>
      <c r="W360" s="54">
        <v>2503117</v>
      </c>
      <c r="X360" s="54">
        <v>986785</v>
      </c>
      <c r="Y360" s="54">
        <v>-28430832</v>
      </c>
      <c r="Z360" s="54">
        <v>21768090</v>
      </c>
      <c r="AA360" s="54">
        <v>18536259</v>
      </c>
      <c r="AB360" s="54">
        <v>1646631</v>
      </c>
      <c r="AC360" s="54">
        <v>1585200</v>
      </c>
      <c r="AD360" s="54">
        <v>8233200</v>
      </c>
      <c r="AE360" s="54">
        <v>341412</v>
      </c>
      <c r="AF360" s="54">
        <v>251406</v>
      </c>
      <c r="AG360" s="54">
        <v>360147</v>
      </c>
      <c r="AH360" s="54">
        <v>198660</v>
      </c>
      <c r="AI360" s="54">
        <v>194452</v>
      </c>
      <c r="AJ360" s="54">
        <v>75689</v>
      </c>
      <c r="AK360" s="54">
        <v>1911870</v>
      </c>
      <c r="AL360" s="54">
        <v>2091948</v>
      </c>
      <c r="AM360" s="54">
        <v>2011057</v>
      </c>
      <c r="AN360" s="54">
        <v>80891</v>
      </c>
      <c r="AO360" s="54">
        <v>330831</v>
      </c>
      <c r="AP360" s="54">
        <v>346561</v>
      </c>
      <c r="AQ360" s="54">
        <v>15730</v>
      </c>
      <c r="AR360" s="54">
        <v>150753</v>
      </c>
      <c r="AS360" s="54">
        <v>-17771</v>
      </c>
      <c r="AT360" s="54">
        <v>-15765</v>
      </c>
      <c r="AU360" s="54">
        <v>52927</v>
      </c>
      <c r="AV360" s="54">
        <v>170144</v>
      </c>
      <c r="AW360" s="54"/>
      <c r="AX360" s="54">
        <v>1627327</v>
      </c>
      <c r="AY360" s="54">
        <v>1911870</v>
      </c>
      <c r="AZ360" s="54">
        <v>330857</v>
      </c>
      <c r="BA360" s="54">
        <v>-615400</v>
      </c>
      <c r="BB360" s="54">
        <v>-2511833</v>
      </c>
      <c r="BC360" s="54">
        <v>3627452</v>
      </c>
      <c r="BD360" s="54">
        <v>197074</v>
      </c>
      <c r="BE360" s="54">
        <v>918545</v>
      </c>
      <c r="BF360" s="54">
        <v>-884506</v>
      </c>
      <c r="BG360" s="54">
        <v>699846</v>
      </c>
      <c r="BH360" s="54">
        <v>-198919</v>
      </c>
      <c r="BI360" s="54">
        <v>512647</v>
      </c>
      <c r="BJ360" s="54">
        <v>313728</v>
      </c>
      <c r="BK360" s="54">
        <v>810903</v>
      </c>
      <c r="BL360" s="54">
        <v>2268920</v>
      </c>
      <c r="BM360" s="54">
        <v>1792289</v>
      </c>
      <c r="BN360" s="54">
        <v>334272</v>
      </c>
      <c r="BO360" s="54">
        <v>-8488</v>
      </c>
      <c r="BP360" s="54">
        <v>96350</v>
      </c>
      <c r="BQ360" s="54">
        <v>-1916</v>
      </c>
      <c r="BR360" s="54">
        <v>13571</v>
      </c>
      <c r="BS360" s="54">
        <v>94250</v>
      </c>
      <c r="BT360" s="54">
        <v>-9555</v>
      </c>
      <c r="BU360" s="54">
        <v>-184597</v>
      </c>
      <c r="BV360" s="54">
        <v>4148718</v>
      </c>
      <c r="BW360" s="54">
        <v>4333315</v>
      </c>
      <c r="BX360" s="54"/>
      <c r="BY360" s="54">
        <v>47864394</v>
      </c>
      <c r="BZ360" s="54">
        <v>601730</v>
      </c>
      <c r="CA360" s="54">
        <v>81578</v>
      </c>
      <c r="CB360" s="54">
        <v>510736</v>
      </c>
      <c r="CC360" s="54">
        <v>9416</v>
      </c>
      <c r="CD360" s="54">
        <v>30977887</v>
      </c>
      <c r="CE360" s="54">
        <v>7724224</v>
      </c>
      <c r="CF360" s="54">
        <v>13380229</v>
      </c>
      <c r="CG360" s="54">
        <v>7945195</v>
      </c>
      <c r="CH360" s="54">
        <v>587257</v>
      </c>
      <c r="CI360" s="54">
        <v>59547</v>
      </c>
      <c r="CJ360" s="54">
        <v>48766</v>
      </c>
      <c r="CK360" s="54">
        <v>1281435</v>
      </c>
      <c r="CL360" s="54">
        <v>16284777</v>
      </c>
      <c r="CM360" s="54">
        <v>10679851</v>
      </c>
      <c r="CN360" s="54">
        <v>2750170</v>
      </c>
      <c r="CO360" s="54">
        <v>7929681</v>
      </c>
      <c r="CP360" s="54">
        <v>150000</v>
      </c>
      <c r="CQ360" s="54">
        <v>5402639</v>
      </c>
      <c r="CR360" s="54">
        <v>6</v>
      </c>
      <c r="CS360" s="54">
        <v>1193259</v>
      </c>
      <c r="CT360" s="54">
        <v>4209374</v>
      </c>
      <c r="CU360" s="54">
        <v>52287</v>
      </c>
      <c r="CV360" s="54">
        <v>796796</v>
      </c>
      <c r="CW360" s="54">
        <v>218931</v>
      </c>
      <c r="CX360" s="54">
        <v>128789</v>
      </c>
      <c r="CY360" s="54">
        <v>449076</v>
      </c>
      <c r="CZ360" s="54">
        <v>6424194</v>
      </c>
      <c r="DA360" s="54">
        <v>94740</v>
      </c>
      <c r="DB360" s="54">
        <v>39141</v>
      </c>
      <c r="DC360" s="54">
        <v>11571</v>
      </c>
      <c r="DD360" s="54">
        <v>2634</v>
      </c>
      <c r="DE360" s="54">
        <v>41215</v>
      </c>
      <c r="DF360" s="54">
        <v>179</v>
      </c>
      <c r="DG360" s="54">
        <v>2180991</v>
      </c>
      <c r="DH360" s="54">
        <v>390424</v>
      </c>
      <c r="DI360" s="54">
        <v>32295</v>
      </c>
      <c r="DJ360" s="54">
        <v>196243</v>
      </c>
      <c r="DK360" s="54">
        <v>97638</v>
      </c>
      <c r="DL360" s="54">
        <v>64248</v>
      </c>
      <c r="DM360" s="54">
        <v>1790567</v>
      </c>
      <c r="DN360" s="54">
        <v>681704</v>
      </c>
      <c r="DO360" s="54">
        <v>211577</v>
      </c>
      <c r="DP360" s="54">
        <v>415768</v>
      </c>
      <c r="DQ360" s="54">
        <v>481518</v>
      </c>
      <c r="DR360" s="54">
        <v>2040836</v>
      </c>
      <c r="DS360" s="54">
        <v>226453</v>
      </c>
      <c r="DT360" s="54">
        <v>657373</v>
      </c>
      <c r="DU360" s="54">
        <v>281247</v>
      </c>
      <c r="DV360" s="54">
        <v>875763</v>
      </c>
      <c r="DW360" s="54">
        <v>2107627</v>
      </c>
      <c r="DX360" s="54">
        <v>55085384</v>
      </c>
      <c r="DY360" s="54">
        <v>32135320</v>
      </c>
      <c r="DZ360" s="54">
        <v>18059713</v>
      </c>
      <c r="EA360" s="54">
        <v>2126233</v>
      </c>
      <c r="EB360" s="54">
        <v>2426239</v>
      </c>
      <c r="EC360" s="54">
        <v>9352617</v>
      </c>
      <c r="ED360" s="54">
        <v>170518</v>
      </c>
      <c r="EE360" s="54">
        <v>893929</v>
      </c>
      <c r="EF360" s="54">
        <v>686854</v>
      </c>
      <c r="EG360" s="54">
        <v>207075</v>
      </c>
      <c r="EH360" s="54">
        <v>307377</v>
      </c>
      <c r="EI360" s="54">
        <v>173488</v>
      </c>
      <c r="EJ360" s="54">
        <v>133889</v>
      </c>
      <c r="EK360" s="54">
        <v>896360</v>
      </c>
      <c r="EL360" s="54">
        <v>221288</v>
      </c>
      <c r="EM360" s="54">
        <v>180805</v>
      </c>
      <c r="EN360" s="54">
        <v>494267</v>
      </c>
      <c r="EO360" s="54">
        <v>20852406</v>
      </c>
      <c r="EP360" s="54">
        <v>11630736</v>
      </c>
      <c r="EQ360" s="54">
        <v>649687</v>
      </c>
      <c r="ER360" s="54">
        <v>10186480</v>
      </c>
      <c r="ES360" s="54">
        <v>1345880</v>
      </c>
      <c r="ET360" s="54">
        <v>6690593</v>
      </c>
      <c r="EU360" s="54">
        <v>138732</v>
      </c>
      <c r="EV360" s="54">
        <v>2011275</v>
      </c>
      <c r="EW360" s="54">
        <v>182678</v>
      </c>
      <c r="EX360" s="54">
        <v>32439</v>
      </c>
      <c r="EY360" s="54">
        <v>52433</v>
      </c>
      <c r="EZ360" s="54">
        <v>4796</v>
      </c>
      <c r="FA360" s="54">
        <v>468111</v>
      </c>
      <c r="FB360" s="54">
        <v>61</v>
      </c>
      <c r="FC360" s="54">
        <v>54112</v>
      </c>
      <c r="FD360" s="54">
        <v>9221670</v>
      </c>
      <c r="FE360" s="54">
        <v>170083</v>
      </c>
      <c r="FF360" s="54">
        <v>3326966</v>
      </c>
      <c r="FG360" s="54">
        <v>1114670</v>
      </c>
      <c r="FH360" s="54">
        <v>1987135</v>
      </c>
      <c r="FI360" s="54">
        <v>98569</v>
      </c>
      <c r="FJ360" s="54">
        <v>126592</v>
      </c>
      <c r="FK360" s="54">
        <v>62033</v>
      </c>
      <c r="FL360" s="54">
        <v>948138</v>
      </c>
      <c r="FM360" s="54">
        <v>203064</v>
      </c>
      <c r="FN360" s="54">
        <v>1561600</v>
      </c>
      <c r="FO360" s="54">
        <v>547154</v>
      </c>
      <c r="FP360" s="54">
        <v>2402632</v>
      </c>
      <c r="FQ360" s="54">
        <v>55085392</v>
      </c>
      <c r="FR360" s="54">
        <v>7813697</v>
      </c>
      <c r="FS360" s="54">
        <v>1192781</v>
      </c>
      <c r="FT360" s="54"/>
    </row>
    <row r="361" spans="1:176" ht="13.5" customHeight="1" x14ac:dyDescent="0.2">
      <c r="E361" s="95"/>
      <c r="F361" s="95"/>
      <c r="G361" s="41"/>
    </row>
    <row r="364" spans="1:176" x14ac:dyDescent="0.2">
      <c r="B364" s="41" t="s">
        <v>821</v>
      </c>
    </row>
    <row r="365" spans="1:176" x14ac:dyDescent="0.2">
      <c r="B365" s="41" t="s">
        <v>822</v>
      </c>
    </row>
  </sheetData>
  <sortState ref="A11:GJ307">
    <sortCondition ref="B11:B307"/>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KN2 Dokumentti" ma:contentTypeID="0x010100FB67A0028CB54352919050D117ADD9610007ECE5AD2599A0408008A2978D7804EF" ma:contentTypeVersion="8" ma:contentTypeDescription="KN2 Dokumentti sisältölaji." ma:contentTypeScope="" ma:versionID="83429cf12d4e2c6f45cf4575f1609a1f">
  <xsd:schema xmlns:xsd="http://www.w3.org/2001/XMLSchema" xmlns:xs="http://www.w3.org/2001/XMLSchema" xmlns:p="http://schemas.microsoft.com/office/2006/metadata/properties" xmlns:ns2="a86a36f1-5a8f-416f-bf33-cf6bc51d313a" xmlns:ns3="2ca64109-ff74-4a3f-8df8-1404b228dfda" xmlns:ns4="f674653e-f7ee-4492-bd39-da975c8607c5" targetNamespace="http://schemas.microsoft.com/office/2006/metadata/properties" ma:root="true" ma:fieldsID="ab970d08098c6e790d73cef3fc0fd32f" ns2:_="" ns3:_="" ns4:_="">
    <xsd:import namespace="a86a36f1-5a8f-416f-bf33-cf6bc51d313a"/>
    <xsd:import namespace="2ca64109-ff74-4a3f-8df8-1404b228dfda"/>
    <xsd:import namespace="f674653e-f7ee-4492-bd39-da975c8607c5"/>
    <xsd:element name="properties">
      <xsd:complexType>
        <xsd:sequence>
          <xsd:element name="documentManagement">
            <xsd:complexType>
              <xsd:all>
                <xsd:element ref="ns2:KN2Description" minOccurs="0"/>
                <xsd:element ref="ns3:ExpertServiceTaxHTField0" minOccurs="0"/>
                <xsd:element ref="ns3:ThemeTaxHTField0" minOccurs="0"/>
                <xsd:element ref="ns3:KN2KeywordsTaxHTField0" minOccurs="0"/>
                <xsd:element ref="ns3:MunicipalityTaxHTField0" minOccurs="0"/>
                <xsd:element ref="ns3:KN2LanguageTaxHTField0" minOccurs="0"/>
                <xsd:element ref="ns4:KN2ArticleDateTime" minOccurs="0"/>
                <xsd:element ref="ns3:_dlc_DocId" minOccurs="0"/>
                <xsd:element ref="ns3:_dlc_DocIdUrl" minOccurs="0"/>
                <xsd:element ref="ns3:_dlc_DocIdPersistId"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a36f1-5a8f-416f-bf33-cf6bc51d313a" elementFormDefault="qualified">
    <xsd:import namespace="http://schemas.microsoft.com/office/2006/documentManagement/types"/>
    <xsd:import namespace="http://schemas.microsoft.com/office/infopath/2007/PartnerControls"/>
    <xsd:element name="KN2Description" ma:index="8" nillable="true" ma:displayName="Kuvausteksti" ma:internalName="KN2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64109-ff74-4a3f-8df8-1404b228dfda" elementFormDefault="qualified">
    <xsd:import namespace="http://schemas.microsoft.com/office/2006/documentManagement/types"/>
    <xsd:import namespace="http://schemas.microsoft.com/office/infopath/2007/PartnerControls"/>
    <xsd:element name="ExpertServiceTaxHTField0" ma:index="9" ma:taxonomy="true" ma:internalName="ExpertServiceTaxHTField0" ma:taxonomyFieldName="ExpertService" ma:displayName="Asiantuntijapalvelut" ma:default="" ma:fieldId="{969cb6fd-1f4d-4c41-ae54-a504ad3b65cf}" ma:taxonomyMulti="true" ma:sspId="af6aced0-8844-4989-b18d-bf2834524db8" ma:termSetId="0f91e407-31c2-4981-adcd-3a992993f5f0" ma:anchorId="00000000-0000-0000-0000-000000000000" ma:open="false" ma:isKeyword="false">
      <xsd:complexType>
        <xsd:sequence>
          <xsd:element ref="pc:Terms" minOccurs="0" maxOccurs="1"/>
        </xsd:sequence>
      </xsd:complexType>
    </xsd:element>
    <xsd:element name="ThemeTaxHTField0" ma:index="11" nillable="true" ma:taxonomy="true" ma:internalName="ThemeTaxHTField0" ma:taxonomyFieldName="Theme" ma:displayName="Teemat" ma:fieldId="{040ee926-e7cf-4076-a1f3-29b285211891}" ma:taxonomyMulti="true" ma:sspId="af6aced0-8844-4989-b18d-bf2834524db8" ma:termSetId="75b7cd61-4408-4d77-8374-d2cb507445cc" ma:anchorId="00000000-0000-0000-0000-000000000000" ma:open="false" ma:isKeyword="false">
      <xsd:complexType>
        <xsd:sequence>
          <xsd:element ref="pc:Terms" minOccurs="0" maxOccurs="1"/>
        </xsd:sequence>
      </xsd:complexType>
    </xsd:element>
    <xsd:element name="KN2KeywordsTaxHTField0" ma:index="13" nillable="true" ma:taxonomy="true" ma:internalName="KN2KeywordsTaxHTField0" ma:taxonomyFieldName="KN2Keywords" ma:displayName="Asiasanat" ma:fieldId="{11851b79-a7e3-4a1d-bd9d-944d2d87b293}" ma:taxonomyMulti="true" ma:sspId="af6aced0-8844-4989-b18d-bf2834524db8" ma:termSetId="1b86b395-74cd-4831-bbe4-19296048be4b" ma:anchorId="00000000-0000-0000-0000-000000000000" ma:open="false" ma:isKeyword="false">
      <xsd:complexType>
        <xsd:sequence>
          <xsd:element ref="pc:Terms" minOccurs="0" maxOccurs="1"/>
        </xsd:sequence>
      </xsd:complexType>
    </xsd:element>
    <xsd:element name="MunicipalityTaxHTField0" ma:index="15" nillable="true" ma:taxonomy="true" ma:internalName="MunicipalityTaxHTField0" ma:taxonomyFieldName="Municipality" ma:displayName="Kunta" ma:fieldId="{4e88d9db-f7ea-4b86-8eef-f1494b580dd0}" ma:taxonomyMulti="true" ma:sspId="af6aced0-8844-4989-b18d-bf2834524db8" ma:termSetId="788596fa-2187-4349-9e27-21ebbd15ae24" ma:anchorId="00000000-0000-0000-0000-000000000000" ma:open="false" ma:isKeyword="false">
      <xsd:complexType>
        <xsd:sequence>
          <xsd:element ref="pc:Terms" minOccurs="0" maxOccurs="1"/>
        </xsd:sequence>
      </xsd:complexType>
    </xsd:element>
    <xsd:element name="KN2LanguageTaxHTField0" ma:index="17" nillable="true" ma:taxonomy="true" ma:internalName="KN2LanguageTaxHTField0" ma:taxonomyFieldName="KN2Language" ma:displayName="Kieli" ma:fieldId="{c18774ba-aa5a-42e7-a16a-d0ce5e6458ba}" ma:sspId="af6aced0-8844-4989-b18d-bf2834524db8" ma:termSetId="8851a166-5db3-4141-857a-f8e0095ce3d9" ma:anchorId="00000000-0000-0000-0000-000000000000" ma:open="false" ma:isKeyword="false">
      <xsd:complexType>
        <xsd:sequence>
          <xsd:element ref="pc:Terms" minOccurs="0" maxOccurs="1"/>
        </xsd:sequence>
      </xsd:complexType>
    </xsd:element>
    <xsd:element name="_dlc_DocId" ma:index="20" nillable="true" ma:displayName="Dokument-ID-värde" ma:description="Värdet för dokument-ID som tilldelats till det här objektet." ma:internalName="_dlc_DocId" ma:readOnly="true">
      <xsd:simpleType>
        <xsd:restriction base="dms:Text"/>
      </xsd:simpleType>
    </xsd:element>
    <xsd:element name="_dlc_DocIdUrl" ma:index="21"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3" nillable="true" ma:displayName="Luokituksen Kaikki-sarake" ma:description="" ma:hidden="true" ma:list="{04c7fbc9-91a9-4b02-980f-703bf088685b}" ma:internalName="TaxCatchAll" ma:showField="CatchAllData" ma:web="2ca64109-ff74-4a3f-8df8-1404b228df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74653e-f7ee-4492-bd39-da975c8607c5" elementFormDefault="qualified">
    <xsd:import namespace="http://schemas.microsoft.com/office/2006/documentManagement/types"/>
    <xsd:import namespace="http://schemas.microsoft.com/office/infopath/2007/PartnerControls"/>
    <xsd:element name="KN2ArticleDateTime" ma:index="19" nillable="true" ma:displayName="Aika" ma:default="[today]" ma:format="DateTime" ma:internalName="KN2Article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unicipalityTaxHTField0 xmlns="2ca64109-ff74-4a3f-8df8-1404b228dfda">
      <Terms xmlns="http://schemas.microsoft.com/office/infopath/2007/PartnerControls"/>
    </MunicipalityTaxHTField0>
    <ExpertServiceTaxHTField0 xmlns="2ca64109-ff74-4a3f-8df8-1404b228dfda">
      <Terms xmlns="http://schemas.microsoft.com/office/infopath/2007/PartnerControls">
        <TermInfo xmlns="http://schemas.microsoft.com/office/infopath/2007/PartnerControls">
          <TermName xmlns="http://schemas.microsoft.com/office/infopath/2007/PartnerControls">Kommunalekonomi</TermName>
          <TermId xmlns="http://schemas.microsoft.com/office/infopath/2007/PartnerControls">f60f4e25-53fd-466c-b326-d92406949689</TermId>
        </TermInfo>
      </Terms>
    </ExpertServiceTaxHTField0>
    <KN2KeywordsTaxHTField0 xmlns="2ca64109-ff74-4a3f-8df8-1404b228dfda">
      <Terms xmlns="http://schemas.microsoft.com/office/infopath/2007/PartnerControls"/>
    </KN2KeywordsTaxHTField0>
    <KN2LanguageTaxHTField0 xmlns="2ca64109-ff74-4a3f-8df8-1404b228dfda">
      <Terms xmlns="http://schemas.microsoft.com/office/infopath/2007/PartnerControls"/>
    </KN2LanguageTaxHTField0>
    <KN2ArticleDateTime xmlns="f674653e-f7ee-4492-bd39-da975c8607c5">2017-02-16T13:40:00+00:00</KN2ArticleDateTime>
    <KN2Description xmlns="a86a36f1-5a8f-416f-bf33-cf6bc51d313a">Excel 2007 *.xlsx-version </KN2Description>
    <ThemeTaxHTField0 xmlns="2ca64109-ff74-4a3f-8df8-1404b228dfda">
      <Terms xmlns="http://schemas.microsoft.com/office/infopath/2007/PartnerControls"/>
    </ThemeTaxHTField0>
    <TaxCatchAll xmlns="2ca64109-ff74-4a3f-8df8-1404b228dfda">
      <Value>7</Value>
    </TaxCatchAll>
    <_dlc_DocId xmlns="2ca64109-ff74-4a3f-8df8-1404b228dfda">G94TWSLYV3F3-13219-19</_dlc_DocId>
    <_dlc_DocIdUrl xmlns="2ca64109-ff74-4a3f-8df8-1404b228dfda">
      <Url>http://www.kommunerna.net/sv/sakkunnigtjanster/ekonomi/budgetering-ekonomiplanering/ekonominyckeln/_layouts/DocIdRedir.aspx?ID=G94TWSLYV3F3-13219-19</Url>
      <Description>G94TWSLYV3F3-13219-19</Description>
    </_dlc_DocIdUrl>
  </documentManagement>
</p:properties>
</file>

<file path=customXml/itemProps1.xml><?xml version="1.0" encoding="utf-8"?>
<ds:datastoreItem xmlns:ds="http://schemas.openxmlformats.org/officeDocument/2006/customXml" ds:itemID="{4D2A3A3C-2F4C-42A0-BBAD-D6CE0A801971}"/>
</file>

<file path=customXml/itemProps2.xml><?xml version="1.0" encoding="utf-8"?>
<ds:datastoreItem xmlns:ds="http://schemas.openxmlformats.org/officeDocument/2006/customXml" ds:itemID="{335FAC83-9647-4A01-A0D5-B2933F63685C}"/>
</file>

<file path=customXml/itemProps3.xml><?xml version="1.0" encoding="utf-8"?>
<ds:datastoreItem xmlns:ds="http://schemas.openxmlformats.org/officeDocument/2006/customXml" ds:itemID="{08A37CE5-F8AB-4559-82A4-E2DD26B516AD}"/>
</file>

<file path=customXml/itemProps4.xml><?xml version="1.0" encoding="utf-8"?>
<ds:datastoreItem xmlns:ds="http://schemas.openxmlformats.org/officeDocument/2006/customXml" ds:itemID="{D5CE4800-AC32-4139-85EC-30E893D076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4</vt:i4>
      </vt:variant>
    </vt:vector>
  </HeadingPairs>
  <TitlesOfParts>
    <vt:vector size="11" baseType="lpstr">
      <vt:lpstr>Resultaträkning</vt:lpstr>
      <vt:lpstr>Finansieringsanalys</vt:lpstr>
      <vt:lpstr>Balansräkning</vt:lpstr>
      <vt:lpstr>Inkomststruktur</vt:lpstr>
      <vt:lpstr>FMs uppgifter (februari 2017)</vt:lpstr>
      <vt:lpstr>FMs uppgifter (december 2016)</vt:lpstr>
      <vt:lpstr>Kommunvisa uppgifter (BS 2015)</vt:lpstr>
      <vt:lpstr>Kunnat</vt:lpstr>
      <vt:lpstr>Kunnat2</vt:lpstr>
      <vt:lpstr>Lähtötaso</vt:lpstr>
      <vt:lpstr>Resultaträkning!Tulostusalue</vt:lpstr>
    </vt:vector>
  </TitlesOfParts>
  <Company>Pukin perhe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Ekonominyckeln: nytt redskap för beräkning av landskapsreformens verkningar</dc:title>
  <dc:creator>Mehtonen Mikko;PUKKI HEIKKI</dc:creator>
  <cp:lastModifiedBy>Valkeinen Tuija</cp:lastModifiedBy>
  <cp:lastPrinted>2017-02-18T08:33:37Z</cp:lastPrinted>
  <dcterms:created xsi:type="dcterms:W3CDTF">1999-06-12T09:52:58Z</dcterms:created>
  <dcterms:modified xsi:type="dcterms:W3CDTF">2017-02-20T13:35:50Z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0x010100FB67A0028CB54352919050D117ADD9610007ECE5AD2599A0408008A2978D7804EF</vt:lpwstr>
  </property>
  <property fmtid="{D5CDD505-2E9C-101B-9397-08002B2CF9AE}" pid="3" name="_dlc_DocIdItemGuid">
    <vt:lpwstr>90de2456-734f-4cd4-8f36-efa40fa030ff</vt:lpwstr>
  </property>
  <property fmtid="{D5CDD505-2E9C-101B-9397-08002B2CF9AE}" pid="4" name="KN2Keywords">
    <vt:lpwstr/>
  </property>
  <property fmtid="{D5CDD505-2E9C-101B-9397-08002B2CF9AE}" pid="5" name="Theme">
    <vt:lpwstr/>
  </property>
  <property fmtid="{D5CDD505-2E9C-101B-9397-08002B2CF9AE}" pid="6" name="KN2Language">
    <vt:lpwstr/>
  </property>
  <property fmtid="{D5CDD505-2E9C-101B-9397-08002B2CF9AE}" pid="7" name="Municipality">
    <vt:lpwstr/>
  </property>
  <property fmtid="{D5CDD505-2E9C-101B-9397-08002B2CF9AE}" pid="8" name="ExpertService">
    <vt:lpwstr>7;#Kommunalekonomi|f60f4e25-53fd-466c-b326-d92406949689</vt:lpwstr>
  </property>
</Properties>
</file>