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1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0_Tilastoexcelit ja kalvosetit/Svenska valmiit/"/>
    </mc:Choice>
  </mc:AlternateContent>
  <xr:revisionPtr revIDLastSave="0" documentId="8_{8BCCF24B-3D84-465C-97DA-B89D15443424}" xr6:coauthVersionLast="47" xr6:coauthVersionMax="47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Kunnat" sheetId="1" state="hidden" r:id="rId1"/>
    <sheet name="kuntayhtymät" sheetId="5" state="hidden" r:id="rId2"/>
    <sheet name="Kommuner och samkommuner" sheetId="4" r:id="rId3"/>
  </sheets>
  <definedNames>
    <definedName name="_xlnm.Print_Area" localSheetId="2">'Kommuner och samkommuner'!$A$1:$AK$24</definedName>
    <definedName name="_xlnm.Print_Area" localSheetId="0">Kunnat!$A$1:$M$25</definedName>
    <definedName name="_xlnm.Print_Area" localSheetId="1">kuntayhtymät!$A$1:$M$24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12" i="4" l="1"/>
  <c r="AR21" i="4" l="1"/>
  <c r="AR16" i="4"/>
  <c r="AR11" i="4"/>
  <c r="AR8" i="4"/>
  <c r="AN21" i="4"/>
  <c r="AP21" i="4"/>
  <c r="AN16" i="4"/>
  <c r="AP16" i="4"/>
  <c r="AP11" i="4"/>
  <c r="AN11" i="4"/>
  <c r="AP8" i="4"/>
  <c r="AN8" i="4"/>
  <c r="AR24" i="4" l="1"/>
  <c r="AS24" i="4" s="1"/>
  <c r="AN24" i="4"/>
  <c r="AO8" i="4" s="1"/>
  <c r="AP24" i="4"/>
  <c r="AQ14" i="4" s="1"/>
  <c r="N23" i="5"/>
  <c r="N22" i="5"/>
  <c r="N19" i="5"/>
  <c r="N18" i="5"/>
  <c r="N17" i="5"/>
  <c r="N16" i="5" s="1"/>
  <c r="N15" i="5"/>
  <c r="N14" i="5"/>
  <c r="N12" i="5"/>
  <c r="N13" i="5"/>
  <c r="N21" i="5"/>
  <c r="AL20" i="4"/>
  <c r="N9" i="1"/>
  <c r="AL9" i="4" s="1"/>
  <c r="AL8" i="4" s="1"/>
  <c r="N22" i="1"/>
  <c r="AL22" i="4" s="1"/>
  <c r="N23" i="1"/>
  <c r="AL23" i="4" s="1"/>
  <c r="N19" i="1"/>
  <c r="AL19" i="4" s="1"/>
  <c r="N18" i="1"/>
  <c r="N17" i="1"/>
  <c r="AL17" i="4" s="1"/>
  <c r="N15" i="1"/>
  <c r="N14" i="1"/>
  <c r="N12" i="1"/>
  <c r="AS19" i="4" l="1"/>
  <c r="AS14" i="4"/>
  <c r="AS13" i="4"/>
  <c r="AS20" i="4"/>
  <c r="AS10" i="4"/>
  <c r="AS23" i="4"/>
  <c r="AS16" i="4"/>
  <c r="AS8" i="4"/>
  <c r="AS15" i="4"/>
  <c r="AS17" i="4"/>
  <c r="AS9" i="4"/>
  <c r="AS11" i="4"/>
  <c r="AS18" i="4"/>
  <c r="AS22" i="4"/>
  <c r="AS21" i="4"/>
  <c r="AS12" i="4"/>
  <c r="AQ13" i="4"/>
  <c r="AO9" i="4"/>
  <c r="AO21" i="4"/>
  <c r="AO17" i="4"/>
  <c r="AO22" i="4"/>
  <c r="AO13" i="4"/>
  <c r="AO20" i="4"/>
  <c r="AO19" i="4"/>
  <c r="AO10" i="4"/>
  <c r="AO15" i="4"/>
  <c r="AO14" i="4"/>
  <c r="AO16" i="4"/>
  <c r="AO24" i="4"/>
  <c r="AO12" i="4"/>
  <c r="AO23" i="4"/>
  <c r="AO18" i="4"/>
  <c r="AO11" i="4"/>
  <c r="AQ19" i="4"/>
  <c r="AQ12" i="4"/>
  <c r="AQ11" i="4"/>
  <c r="AQ21" i="4"/>
  <c r="AQ20" i="4"/>
  <c r="AQ18" i="4"/>
  <c r="AQ8" i="4"/>
  <c r="AQ17" i="4"/>
  <c r="AQ16" i="4"/>
  <c r="AQ24" i="4"/>
  <c r="AQ10" i="4"/>
  <c r="AQ22" i="4"/>
  <c r="AQ23" i="4"/>
  <c r="AQ15" i="4"/>
  <c r="AQ9" i="4"/>
  <c r="AL15" i="4"/>
  <c r="AL18" i="4"/>
  <c r="AL16" i="4" s="1"/>
  <c r="N11" i="5"/>
  <c r="AL14" i="4"/>
  <c r="N8" i="5"/>
  <c r="AL21" i="4"/>
  <c r="N21" i="1"/>
  <c r="N16" i="1"/>
  <c r="N8" i="1"/>
  <c r="N13" i="1"/>
  <c r="AL13" i="4" s="1"/>
  <c r="AL11" i="4" l="1"/>
  <c r="N11" i="1"/>
  <c r="AL24" i="4"/>
  <c r="AM23" i="4" s="1"/>
  <c r="N24" i="5"/>
  <c r="O8" i="5" s="1"/>
  <c r="N24" i="1"/>
  <c r="O9" i="1" s="1"/>
  <c r="AM20" i="4" l="1"/>
  <c r="AM16" i="4"/>
  <c r="AM21" i="4"/>
  <c r="AM11" i="4"/>
  <c r="AM15" i="4"/>
  <c r="AM12" i="4"/>
  <c r="AM24" i="4"/>
  <c r="AM22" i="4"/>
  <c r="AM13" i="4"/>
  <c r="AM18" i="4"/>
  <c r="AM9" i="4"/>
  <c r="AM14" i="4"/>
  <c r="AM19" i="4"/>
  <c r="AM8" i="4"/>
  <c r="AM10" i="4"/>
  <c r="AM17" i="4"/>
  <c r="O23" i="5"/>
  <c r="O17" i="5"/>
  <c r="O13" i="5"/>
  <c r="O9" i="5"/>
  <c r="O24" i="5"/>
  <c r="O19" i="5"/>
  <c r="O15" i="5"/>
  <c r="O11" i="5"/>
  <c r="O10" i="5"/>
  <c r="O12" i="5"/>
  <c r="O14" i="5"/>
  <c r="O21" i="5"/>
  <c r="O20" i="5"/>
  <c r="O18" i="5"/>
  <c r="O22" i="5"/>
  <c r="O16" i="5"/>
  <c r="O24" i="1"/>
  <c r="O16" i="1"/>
  <c r="O22" i="1"/>
  <c r="O12" i="1"/>
  <c r="O20" i="1"/>
  <c r="O11" i="1"/>
  <c r="O21" i="1"/>
  <c r="O17" i="1"/>
  <c r="O23" i="1"/>
  <c r="O18" i="1"/>
  <c r="O19" i="1"/>
  <c r="O13" i="1"/>
  <c r="O10" i="1"/>
  <c r="O15" i="1"/>
  <c r="O14" i="1"/>
  <c r="O8" i="1"/>
  <c r="L13" i="1" l="1"/>
  <c r="L12" i="1"/>
  <c r="L9" i="1"/>
  <c r="AJ9" i="4" l="1"/>
  <c r="L22" i="5"/>
  <c r="L21" i="5" s="1"/>
  <c r="L19" i="5"/>
  <c r="AJ19" i="4" s="1"/>
  <c r="L18" i="5"/>
  <c r="L17" i="5"/>
  <c r="AJ17" i="4" s="1"/>
  <c r="L15" i="5"/>
  <c r="L14" i="5"/>
  <c r="L13" i="5"/>
  <c r="AJ13" i="4" s="1"/>
  <c r="L12" i="5"/>
  <c r="AJ12" i="4" s="1"/>
  <c r="L20" i="5"/>
  <c r="L10" i="5"/>
  <c r="L23" i="1"/>
  <c r="AJ23" i="4" s="1"/>
  <c r="L22" i="1"/>
  <c r="L20" i="1"/>
  <c r="L19" i="1"/>
  <c r="L18" i="1"/>
  <c r="L17" i="1"/>
  <c r="L15" i="1"/>
  <c r="AJ15" i="4" s="1"/>
  <c r="L14" i="1"/>
  <c r="J13" i="1"/>
  <c r="J12" i="1"/>
  <c r="L8" i="1"/>
  <c r="AJ18" i="4" l="1"/>
  <c r="AJ20" i="4"/>
  <c r="AJ22" i="4"/>
  <c r="AJ21" i="4" s="1"/>
  <c r="AJ14" i="4"/>
  <c r="AJ11" i="4"/>
  <c r="AJ8" i="4"/>
  <c r="L16" i="5"/>
  <c r="L8" i="5"/>
  <c r="L11" i="5"/>
  <c r="L21" i="1"/>
  <c r="L16" i="1"/>
  <c r="L11" i="1"/>
  <c r="H22" i="1"/>
  <c r="H18" i="1"/>
  <c r="H12" i="1"/>
  <c r="AH23" i="4"/>
  <c r="J14" i="5"/>
  <c r="J22" i="5"/>
  <c r="J19" i="5"/>
  <c r="J18" i="5"/>
  <c r="AH18" i="4" s="1"/>
  <c r="J17" i="5"/>
  <c r="J15" i="5"/>
  <c r="J13" i="5"/>
  <c r="AH13" i="4" s="1"/>
  <c r="J12" i="5"/>
  <c r="AH12" i="4" s="1"/>
  <c r="J20" i="5"/>
  <c r="J10" i="5"/>
  <c r="J22" i="1"/>
  <c r="J21" i="1" s="1"/>
  <c r="J20" i="1"/>
  <c r="J19" i="1"/>
  <c r="J18" i="1"/>
  <c r="J17" i="1"/>
  <c r="J15" i="1"/>
  <c r="J14" i="1"/>
  <c r="J9" i="1"/>
  <c r="J8" i="1" s="1"/>
  <c r="AJ16" i="4" l="1"/>
  <c r="AJ24" i="4" s="1"/>
  <c r="AK21" i="4" s="1"/>
  <c r="AH14" i="4"/>
  <c r="AH11" i="4" s="1"/>
  <c r="AH24" i="4" s="1"/>
  <c r="AH17" i="4"/>
  <c r="AH16" i="4" s="1"/>
  <c r="AH20" i="4"/>
  <c r="AH22" i="4"/>
  <c r="AH21" i="4" s="1"/>
  <c r="AH19" i="4"/>
  <c r="AH9" i="4"/>
  <c r="AH8" i="4" s="1"/>
  <c r="AH15" i="4"/>
  <c r="L24" i="5"/>
  <c r="M11" i="5" s="1"/>
  <c r="L24" i="1"/>
  <c r="M22" i="1" s="1"/>
  <c r="J16" i="5"/>
  <c r="J11" i="5"/>
  <c r="J8" i="5"/>
  <c r="J21" i="5"/>
  <c r="J16" i="1"/>
  <c r="J11" i="1"/>
  <c r="AF23" i="4"/>
  <c r="H22" i="5"/>
  <c r="H21" i="5" s="1"/>
  <c r="H19" i="5"/>
  <c r="H18" i="5"/>
  <c r="AF18" i="4" s="1"/>
  <c r="H17" i="5"/>
  <c r="H15" i="5"/>
  <c r="H14" i="5"/>
  <c r="H13" i="5"/>
  <c r="H12" i="5"/>
  <c r="AF12" i="4" s="1"/>
  <c r="H20" i="5"/>
  <c r="H10" i="5"/>
  <c r="H21" i="1"/>
  <c r="H20" i="1"/>
  <c r="H19" i="1"/>
  <c r="H17" i="1"/>
  <c r="H15" i="1"/>
  <c r="H14" i="1"/>
  <c r="H13" i="1"/>
  <c r="H9" i="1"/>
  <c r="H8" i="1" s="1"/>
  <c r="AF14" i="4" l="1"/>
  <c r="AF15" i="4"/>
  <c r="AF17" i="4"/>
  <c r="AF16" i="4" s="1"/>
  <c r="AF13" i="4"/>
  <c r="AF11" i="4" s="1"/>
  <c r="AF19" i="4"/>
  <c r="AF20" i="4"/>
  <c r="AK8" i="4"/>
  <c r="AK10" i="4"/>
  <c r="AK13" i="4"/>
  <c r="AK17" i="4"/>
  <c r="AK24" i="4"/>
  <c r="AK15" i="4"/>
  <c r="AK9" i="4"/>
  <c r="AK16" i="4"/>
  <c r="AK12" i="4"/>
  <c r="AK18" i="4"/>
  <c r="AK22" i="4"/>
  <c r="AK19" i="4"/>
  <c r="AK14" i="4"/>
  <c r="AK11" i="4"/>
  <c r="AK23" i="4"/>
  <c r="AK20" i="4"/>
  <c r="M8" i="5"/>
  <c r="M24" i="5"/>
  <c r="M9" i="5"/>
  <c r="M23" i="5"/>
  <c r="M12" i="5"/>
  <c r="M22" i="5"/>
  <c r="M21" i="5"/>
  <c r="M19" i="5"/>
  <c r="M10" i="5"/>
  <c r="M14" i="5"/>
  <c r="M17" i="5"/>
  <c r="M18" i="5"/>
  <c r="M16" i="5"/>
  <c r="M20" i="5"/>
  <c r="M13" i="5"/>
  <c r="M15" i="5"/>
  <c r="M17" i="1"/>
  <c r="M10" i="1"/>
  <c r="M15" i="1"/>
  <c r="M14" i="1"/>
  <c r="M19" i="1"/>
  <c r="M24" i="1"/>
  <c r="M18" i="1"/>
  <c r="M21" i="1"/>
  <c r="M8" i="1"/>
  <c r="M20" i="1"/>
  <c r="M13" i="1"/>
  <c r="M11" i="1"/>
  <c r="M23" i="1"/>
  <c r="M16" i="1"/>
  <c r="M12" i="1"/>
  <c r="M9" i="1"/>
  <c r="AI19" i="4"/>
  <c r="AI23" i="4"/>
  <c r="AI21" i="4"/>
  <c r="AI12" i="4"/>
  <c r="AI13" i="4"/>
  <c r="AI20" i="4"/>
  <c r="AI8" i="4"/>
  <c r="AI11" i="4"/>
  <c r="AI24" i="4"/>
  <c r="AI22" i="4"/>
  <c r="AI10" i="4"/>
  <c r="AI18" i="4"/>
  <c r="AI14" i="4"/>
  <c r="AI16" i="4"/>
  <c r="AI17" i="4"/>
  <c r="AI9" i="4"/>
  <c r="AI15" i="4"/>
  <c r="J24" i="5"/>
  <c r="J24" i="1"/>
  <c r="K18" i="1" s="1"/>
  <c r="AF9" i="4"/>
  <c r="AF8" i="4" s="1"/>
  <c r="AF22" i="4"/>
  <c r="AF21" i="4" s="1"/>
  <c r="H16" i="5"/>
  <c r="H11" i="5"/>
  <c r="H8" i="5"/>
  <c r="H16" i="1"/>
  <c r="H11" i="1"/>
  <c r="F22" i="5"/>
  <c r="F19" i="5"/>
  <c r="F18" i="5"/>
  <c r="F17" i="5"/>
  <c r="F15" i="5"/>
  <c r="K24" i="1" l="1"/>
  <c r="K14" i="1"/>
  <c r="K22" i="1"/>
  <c r="K8" i="1"/>
  <c r="AF24" i="4"/>
  <c r="AG8" i="4" s="1"/>
  <c r="K23" i="5"/>
  <c r="K17" i="5"/>
  <c r="K13" i="5"/>
  <c r="K9" i="5"/>
  <c r="K24" i="5"/>
  <c r="K19" i="5"/>
  <c r="K15" i="5"/>
  <c r="K22" i="5"/>
  <c r="K18" i="5"/>
  <c r="K16" i="5"/>
  <c r="K14" i="5"/>
  <c r="K12" i="5"/>
  <c r="K10" i="5"/>
  <c r="K11" i="5"/>
  <c r="K20" i="5"/>
  <c r="K8" i="5"/>
  <c r="K21" i="5"/>
  <c r="K17" i="1"/>
  <c r="K19" i="1"/>
  <c r="K16" i="1"/>
  <c r="K12" i="1"/>
  <c r="K9" i="1"/>
  <c r="K21" i="1"/>
  <c r="K15" i="1"/>
  <c r="K23" i="1"/>
  <c r="K13" i="1"/>
  <c r="K10" i="1"/>
  <c r="K20" i="1"/>
  <c r="K11" i="1"/>
  <c r="H24" i="5"/>
  <c r="I8" i="5" s="1"/>
  <c r="H24" i="1"/>
  <c r="I18" i="1" s="1"/>
  <c r="F14" i="5"/>
  <c r="F13" i="5"/>
  <c r="F12" i="5"/>
  <c r="F21" i="5"/>
  <c r="F20" i="5"/>
  <c r="F16" i="5" s="1"/>
  <c r="F10" i="5"/>
  <c r="F8" i="5" s="1"/>
  <c r="F22" i="1"/>
  <c r="F21" i="1" s="1"/>
  <c r="F20" i="1"/>
  <c r="F19" i="1"/>
  <c r="F18" i="1"/>
  <c r="AD18" i="4" s="1"/>
  <c r="F17" i="1"/>
  <c r="AD17" i="4" s="1"/>
  <c r="F15" i="1"/>
  <c r="AD15" i="4" s="1"/>
  <c r="F14" i="1"/>
  <c r="F13" i="1"/>
  <c r="F12" i="1"/>
  <c r="F11" i="1" s="1"/>
  <c r="F9" i="1"/>
  <c r="F8" i="1" s="1"/>
  <c r="AD23" i="4"/>
  <c r="AB23" i="4"/>
  <c r="D22" i="5"/>
  <c r="D20" i="5"/>
  <c r="D19" i="5"/>
  <c r="D18" i="5"/>
  <c r="D17" i="5"/>
  <c r="D15" i="5"/>
  <c r="D14" i="5"/>
  <c r="D13" i="5"/>
  <c r="D12" i="5"/>
  <c r="D22" i="1"/>
  <c r="D21" i="1" s="1"/>
  <c r="D20" i="1"/>
  <c r="D19" i="1"/>
  <c r="D18" i="1"/>
  <c r="D17" i="1"/>
  <c r="D15" i="1"/>
  <c r="D14" i="1"/>
  <c r="D13" i="1"/>
  <c r="D12" i="1"/>
  <c r="D9" i="1"/>
  <c r="D8" i="1" s="1"/>
  <c r="AG21" i="4" l="1"/>
  <c r="AG9" i="4"/>
  <c r="AG22" i="4"/>
  <c r="AG14" i="4"/>
  <c r="AB22" i="4"/>
  <c r="AB21" i="4" s="1"/>
  <c r="AG23" i="4"/>
  <c r="D11" i="1"/>
  <c r="AG18" i="4"/>
  <c r="AG11" i="4"/>
  <c r="AG15" i="4"/>
  <c r="AG12" i="4"/>
  <c r="AG10" i="4"/>
  <c r="AG17" i="4"/>
  <c r="AG24" i="4"/>
  <c r="AG19" i="4"/>
  <c r="AG20" i="4"/>
  <c r="AG16" i="4"/>
  <c r="AG13" i="4"/>
  <c r="AB19" i="4"/>
  <c r="AB14" i="4"/>
  <c r="AB17" i="4"/>
  <c r="AD20" i="4"/>
  <c r="I24" i="5"/>
  <c r="I9" i="5"/>
  <c r="I23" i="5"/>
  <c r="I22" i="5"/>
  <c r="I20" i="5"/>
  <c r="I18" i="5"/>
  <c r="I16" i="5"/>
  <c r="I14" i="5"/>
  <c r="I12" i="5"/>
  <c r="I17" i="5"/>
  <c r="I19" i="5"/>
  <c r="I21" i="5"/>
  <c r="I11" i="5"/>
  <c r="I10" i="5"/>
  <c r="I13" i="5"/>
  <c r="I15" i="5"/>
  <c r="D11" i="5"/>
  <c r="F11" i="5"/>
  <c r="F24" i="5" s="1"/>
  <c r="G8" i="5" s="1"/>
  <c r="AB15" i="4"/>
  <c r="AB20" i="4"/>
  <c r="I21" i="1"/>
  <c r="I16" i="1"/>
  <c r="I15" i="1"/>
  <c r="I19" i="1"/>
  <c r="I22" i="1"/>
  <c r="I10" i="1"/>
  <c r="I23" i="1"/>
  <c r="I8" i="1"/>
  <c r="I17" i="1"/>
  <c r="I12" i="1"/>
  <c r="I20" i="1"/>
  <c r="I13" i="1"/>
  <c r="I24" i="1"/>
  <c r="I14" i="1"/>
  <c r="I9" i="1"/>
  <c r="I11" i="1"/>
  <c r="AD14" i="4"/>
  <c r="AD22" i="4"/>
  <c r="AD21" i="4" s="1"/>
  <c r="AB13" i="4"/>
  <c r="AB18" i="4"/>
  <c r="AB9" i="4"/>
  <c r="AB12" i="4"/>
  <c r="F16" i="1"/>
  <c r="F24" i="1" s="1"/>
  <c r="AD12" i="4"/>
  <c r="AD13" i="4"/>
  <c r="AD19" i="4"/>
  <c r="AD16" i="4" s="1"/>
  <c r="AD9" i="4"/>
  <c r="AD8" i="4" s="1"/>
  <c r="D16" i="5"/>
  <c r="D21" i="5"/>
  <c r="D16" i="1"/>
  <c r="AB16" i="4" l="1"/>
  <c r="AB11" i="4"/>
  <c r="G21" i="5"/>
  <c r="G11" i="5"/>
  <c r="G24" i="5"/>
  <c r="G19" i="5"/>
  <c r="G17" i="5"/>
  <c r="G15" i="5"/>
  <c r="G13" i="5"/>
  <c r="G9" i="5"/>
  <c r="G23" i="5"/>
  <c r="G22" i="5"/>
  <c r="G20" i="5"/>
  <c r="G18" i="5"/>
  <c r="G16" i="5"/>
  <c r="G14" i="5"/>
  <c r="G12" i="5"/>
  <c r="G10" i="5"/>
  <c r="AD11" i="4"/>
  <c r="AD24" i="4" s="1"/>
  <c r="G11" i="1"/>
  <c r="G9" i="1"/>
  <c r="G19" i="1"/>
  <c r="G21" i="1"/>
  <c r="G16" i="1"/>
  <c r="G8" i="1"/>
  <c r="G17" i="1"/>
  <c r="G12" i="1"/>
  <c r="G15" i="1"/>
  <c r="G13" i="1"/>
  <c r="G24" i="1"/>
  <c r="G10" i="1"/>
  <c r="G23" i="1"/>
  <c r="G22" i="1"/>
  <c r="G20" i="1"/>
  <c r="G18" i="1"/>
  <c r="G14" i="1"/>
  <c r="D24" i="1"/>
  <c r="AE12" i="4" l="1"/>
  <c r="AE19" i="4"/>
  <c r="AE11" i="4"/>
  <c r="AE21" i="4"/>
  <c r="AE17" i="4"/>
  <c r="AE8" i="4"/>
  <c r="AE16" i="4"/>
  <c r="AE23" i="4"/>
  <c r="AE13" i="4"/>
  <c r="AE20" i="4"/>
  <c r="AE22" i="4"/>
  <c r="AE10" i="4"/>
  <c r="AE18" i="4"/>
  <c r="AE9" i="4"/>
  <c r="AE24" i="4"/>
  <c r="AE14" i="4"/>
  <c r="AE15" i="4"/>
  <c r="E23" i="1"/>
  <c r="E13" i="1"/>
  <c r="E10" i="1"/>
  <c r="E17" i="1"/>
  <c r="E24" i="1"/>
  <c r="E19" i="1"/>
  <c r="E15" i="1"/>
  <c r="E9" i="1"/>
  <c r="E21" i="1"/>
  <c r="E16" i="1"/>
  <c r="E22" i="1"/>
  <c r="E18" i="1"/>
  <c r="E8" i="1"/>
  <c r="E12" i="1"/>
  <c r="E14" i="1"/>
  <c r="E20" i="1"/>
  <c r="E11" i="1"/>
  <c r="Z23" i="4" l="1"/>
  <c r="B23" i="5" s="1"/>
  <c r="Z10" i="4"/>
  <c r="B10" i="5" s="1"/>
  <c r="B22" i="1"/>
  <c r="Z22" i="4" s="1"/>
  <c r="B20" i="1"/>
  <c r="Z20" i="4" s="1"/>
  <c r="B20" i="5" s="1"/>
  <c r="B19" i="1"/>
  <c r="Z19" i="4" s="1"/>
  <c r="B19" i="5" s="1"/>
  <c r="B18" i="1"/>
  <c r="Z18" i="4" s="1"/>
  <c r="B18" i="5" s="1"/>
  <c r="B17" i="1"/>
  <c r="Z17" i="4" s="1"/>
  <c r="B17" i="5" s="1"/>
  <c r="B15" i="1"/>
  <c r="Z15" i="4" s="1"/>
  <c r="B15" i="5" s="1"/>
  <c r="B14" i="1"/>
  <c r="Z14" i="4" s="1"/>
  <c r="B14" i="5" s="1"/>
  <c r="B13" i="1"/>
  <c r="Z13" i="4" s="1"/>
  <c r="B13" i="5" s="1"/>
  <c r="B12" i="1"/>
  <c r="Z12" i="4" s="1"/>
  <c r="B9" i="1"/>
  <c r="B8" i="1" s="1"/>
  <c r="V19" i="4"/>
  <c r="V23" i="4"/>
  <c r="V10" i="4"/>
  <c r="V20" i="4"/>
  <c r="V18" i="4"/>
  <c r="V15" i="4"/>
  <c r="V14" i="4"/>
  <c r="V13" i="4"/>
  <c r="V9" i="4"/>
  <c r="T10" i="4"/>
  <c r="T23" i="4"/>
  <c r="T22" i="4"/>
  <c r="T20" i="4"/>
  <c r="T17" i="4"/>
  <c r="T15" i="4"/>
  <c r="T14" i="4"/>
  <c r="T13" i="4"/>
  <c r="T12" i="4"/>
  <c r="R22" i="4"/>
  <c r="R17" i="4"/>
  <c r="R14" i="4"/>
  <c r="R19" i="4"/>
  <c r="R23" i="4"/>
  <c r="R10" i="4"/>
  <c r="R18" i="4"/>
  <c r="R15" i="4"/>
  <c r="R13" i="4"/>
  <c r="R9" i="4"/>
  <c r="P22" i="4"/>
  <c r="P20" i="4"/>
  <c r="P19" i="4"/>
  <c r="P18" i="4"/>
  <c r="P17" i="4"/>
  <c r="P15" i="4"/>
  <c r="P14" i="4"/>
  <c r="P13" i="4"/>
  <c r="P12" i="4"/>
  <c r="P9" i="4"/>
  <c r="P8" i="4" s="1"/>
  <c r="N22" i="4"/>
  <c r="N20" i="4"/>
  <c r="N19" i="4"/>
  <c r="N18" i="4"/>
  <c r="N17" i="4"/>
  <c r="N15" i="4"/>
  <c r="N14" i="4"/>
  <c r="N13" i="4"/>
  <c r="N12" i="4"/>
  <c r="N9" i="4"/>
  <c r="L22" i="4"/>
  <c r="L20" i="4"/>
  <c r="L19" i="4"/>
  <c r="L18" i="4"/>
  <c r="L17" i="4"/>
  <c r="L15" i="4"/>
  <c r="L14" i="4"/>
  <c r="L13" i="4"/>
  <c r="L12" i="4"/>
  <c r="L9" i="4"/>
  <c r="L8" i="4" s="1"/>
  <c r="J22" i="4"/>
  <c r="J20" i="4"/>
  <c r="J19" i="4"/>
  <c r="J18" i="4"/>
  <c r="J17" i="4"/>
  <c r="J15" i="4"/>
  <c r="J14" i="4"/>
  <c r="J13" i="4"/>
  <c r="J12" i="4"/>
  <c r="J9" i="4"/>
  <c r="H22" i="4"/>
  <c r="F22" i="4"/>
  <c r="H20" i="4"/>
  <c r="F20" i="4"/>
  <c r="H19" i="4"/>
  <c r="F19" i="4"/>
  <c r="H18" i="4"/>
  <c r="F18" i="4"/>
  <c r="H17" i="4"/>
  <c r="F17" i="4"/>
  <c r="H15" i="4"/>
  <c r="F15" i="4"/>
  <c r="H14" i="4"/>
  <c r="F14" i="4"/>
  <c r="H13" i="4"/>
  <c r="H12" i="4"/>
  <c r="H9" i="4"/>
  <c r="F13" i="4"/>
  <c r="F12" i="4"/>
  <c r="F9" i="4"/>
  <c r="D22" i="4"/>
  <c r="D20" i="4"/>
  <c r="D19" i="4"/>
  <c r="D18" i="4"/>
  <c r="D17" i="4"/>
  <c r="D14" i="4"/>
  <c r="D13" i="4"/>
  <c r="D12" i="4"/>
  <c r="D9" i="4"/>
  <c r="B22" i="4"/>
  <c r="B20" i="4"/>
  <c r="B19" i="4"/>
  <c r="B18" i="4"/>
  <c r="B17" i="4"/>
  <c r="B15" i="4"/>
  <c r="B14" i="4"/>
  <c r="B12" i="4"/>
  <c r="B9" i="4"/>
  <c r="J10" i="4"/>
  <c r="H10" i="4"/>
  <c r="R20" i="4"/>
  <c r="R12" i="4"/>
  <c r="T9" i="4"/>
  <c r="B21" i="4"/>
  <c r="T18" i="4"/>
  <c r="T19" i="4"/>
  <c r="H16" i="4" l="1"/>
  <c r="D11" i="4"/>
  <c r="X16" i="4"/>
  <c r="B21" i="1"/>
  <c r="V12" i="4"/>
  <c r="V17" i="4"/>
  <c r="V22" i="4"/>
  <c r="B11" i="1"/>
  <c r="Z9" i="4"/>
  <c r="B9" i="5" s="1"/>
  <c r="B8" i="5" s="1"/>
  <c r="L16" i="4"/>
  <c r="J21" i="4"/>
  <c r="T11" i="4"/>
  <c r="Z11" i="4"/>
  <c r="B11" i="4"/>
  <c r="N16" i="4"/>
  <c r="X11" i="4"/>
  <c r="L11" i="4"/>
  <c r="F11" i="4"/>
  <c r="H11" i="4"/>
  <c r="P11" i="4"/>
  <c r="V11" i="4"/>
  <c r="F21" i="4"/>
  <c r="R11" i="4"/>
  <c r="D8" i="4"/>
  <c r="J11" i="4"/>
  <c r="N11" i="4"/>
  <c r="B8" i="4"/>
  <c r="H8" i="4"/>
  <c r="H21" i="4"/>
  <c r="N8" i="4"/>
  <c r="R8" i="4"/>
  <c r="D16" i="4"/>
  <c r="N21" i="4"/>
  <c r="P16" i="4"/>
  <c r="L21" i="4"/>
  <c r="J16" i="4"/>
  <c r="F8" i="4"/>
  <c r="B16" i="4"/>
  <c r="D21" i="4"/>
  <c r="J8" i="4"/>
  <c r="F16" i="4"/>
  <c r="P21" i="4"/>
  <c r="R21" i="4"/>
  <c r="T16" i="4"/>
  <c r="T21" i="4"/>
  <c r="X8" i="4"/>
  <c r="R16" i="4"/>
  <c r="T8" i="4"/>
  <c r="X21" i="4"/>
  <c r="V8" i="4"/>
  <c r="Z16" i="4"/>
  <c r="B12" i="5"/>
  <c r="B11" i="5" s="1"/>
  <c r="B16" i="5"/>
  <c r="Z21" i="4"/>
  <c r="B22" i="5"/>
  <c r="B21" i="5" s="1"/>
  <c r="B16" i="1"/>
  <c r="Z8" i="4" l="1"/>
  <c r="V16" i="4"/>
  <c r="V21" i="4"/>
  <c r="H24" i="4"/>
  <c r="I18" i="4" s="1"/>
  <c r="P24" i="4"/>
  <c r="Q10" i="4" s="1"/>
  <c r="Q14" i="4"/>
  <c r="F24" i="4"/>
  <c r="D24" i="4"/>
  <c r="N24" i="4"/>
  <c r="L24" i="4"/>
  <c r="Q21" i="4"/>
  <c r="J24" i="4"/>
  <c r="B24" i="4"/>
  <c r="X24" i="4"/>
  <c r="Y21" i="4" s="1"/>
  <c r="Z24" i="4"/>
  <c r="B24" i="5"/>
  <c r="C16" i="5" s="1"/>
  <c r="T24" i="4"/>
  <c r="R24" i="4"/>
  <c r="B24" i="1"/>
  <c r="C11" i="1" s="1"/>
  <c r="V24" i="4" l="1"/>
  <c r="I14" i="4"/>
  <c r="I24" i="4"/>
  <c r="I16" i="4"/>
  <c r="I19" i="4"/>
  <c r="I12" i="4"/>
  <c r="I13" i="4"/>
  <c r="I17" i="4"/>
  <c r="I9" i="4"/>
  <c r="I11" i="4"/>
  <c r="Y22" i="4"/>
  <c r="Q16" i="4"/>
  <c r="AA13" i="4"/>
  <c r="AA8" i="4"/>
  <c r="I23" i="4"/>
  <c r="I8" i="4"/>
  <c r="I10" i="4"/>
  <c r="Q22" i="4"/>
  <c r="Y10" i="4"/>
  <c r="E21" i="4"/>
  <c r="C9" i="5"/>
  <c r="Y19" i="4"/>
  <c r="I15" i="4"/>
  <c r="I20" i="4"/>
  <c r="I22" i="4"/>
  <c r="I21" i="4"/>
  <c r="AA17" i="4"/>
  <c r="AA23" i="4"/>
  <c r="AA10" i="4"/>
  <c r="Q8" i="4"/>
  <c r="Q18" i="4"/>
  <c r="Q19" i="4"/>
  <c r="AA15" i="4"/>
  <c r="AA24" i="4"/>
  <c r="AA21" i="4"/>
  <c r="AA18" i="4"/>
  <c r="Y14" i="4"/>
  <c r="Y13" i="4"/>
  <c r="Y8" i="4"/>
  <c r="Y17" i="4"/>
  <c r="Q17" i="4"/>
  <c r="W8" i="4"/>
  <c r="AA19" i="4"/>
  <c r="AA20" i="4"/>
  <c r="AA22" i="4"/>
  <c r="S11" i="4"/>
  <c r="Y18" i="4"/>
  <c r="Q11" i="4"/>
  <c r="E16" i="4"/>
  <c r="Q20" i="4"/>
  <c r="Q13" i="4"/>
  <c r="Q23" i="4"/>
  <c r="Q24" i="4"/>
  <c r="AA16" i="4"/>
  <c r="M11" i="4"/>
  <c r="O21" i="4"/>
  <c r="AA9" i="4"/>
  <c r="AA11" i="4"/>
  <c r="AA14" i="4"/>
  <c r="AA12" i="4"/>
  <c r="U8" i="4"/>
  <c r="M21" i="4"/>
  <c r="G8" i="4"/>
  <c r="Q15" i="4"/>
  <c r="Q12" i="4"/>
  <c r="Q9" i="4"/>
  <c r="K9" i="4"/>
  <c r="K14" i="4"/>
  <c r="K24" i="4"/>
  <c r="K19" i="4"/>
  <c r="K18" i="4"/>
  <c r="K23" i="4"/>
  <c r="K13" i="4"/>
  <c r="K10" i="4"/>
  <c r="K17" i="4"/>
  <c r="K22" i="4"/>
  <c r="K21" i="4"/>
  <c r="K15" i="4"/>
  <c r="K12" i="4"/>
  <c r="K20" i="4"/>
  <c r="Y20" i="4"/>
  <c r="K8" i="4"/>
  <c r="E15" i="4"/>
  <c r="E18" i="4"/>
  <c r="E24" i="4"/>
  <c r="E22" i="4"/>
  <c r="E10" i="4"/>
  <c r="E13" i="4"/>
  <c r="E12" i="4"/>
  <c r="E23" i="4"/>
  <c r="E9" i="4"/>
  <c r="E19" i="4"/>
  <c r="E14" i="4"/>
  <c r="E8" i="4"/>
  <c r="E20" i="4"/>
  <c r="E17" i="4"/>
  <c r="G16" i="4"/>
  <c r="E11" i="4"/>
  <c r="G18" i="4"/>
  <c r="G10" i="4"/>
  <c r="G15" i="4"/>
  <c r="G13" i="4"/>
  <c r="G23" i="4"/>
  <c r="G9" i="4"/>
  <c r="G24" i="4"/>
  <c r="G22" i="4"/>
  <c r="G21" i="4"/>
  <c r="G14" i="4"/>
  <c r="G12" i="4"/>
  <c r="G20" i="4"/>
  <c r="G11" i="4"/>
  <c r="G17" i="4"/>
  <c r="G19" i="4"/>
  <c r="K16" i="4"/>
  <c r="K11" i="4"/>
  <c r="M10" i="4"/>
  <c r="M19" i="4"/>
  <c r="M23" i="4"/>
  <c r="M9" i="4"/>
  <c r="M8" i="4"/>
  <c r="M20" i="4"/>
  <c r="M24" i="4"/>
  <c r="M12" i="4"/>
  <c r="M15" i="4"/>
  <c r="M14" i="4"/>
  <c r="M22" i="4"/>
  <c r="M18" i="4"/>
  <c r="M16" i="4"/>
  <c r="M17" i="4"/>
  <c r="M13" i="4"/>
  <c r="O23" i="4"/>
  <c r="O20" i="4"/>
  <c r="O10" i="4"/>
  <c r="O18" i="4"/>
  <c r="O9" i="4"/>
  <c r="O12" i="4"/>
  <c r="O8" i="4"/>
  <c r="O17" i="4"/>
  <c r="O24" i="4"/>
  <c r="O19" i="4"/>
  <c r="O16" i="4"/>
  <c r="O15" i="4"/>
  <c r="O22" i="4"/>
  <c r="O13" i="4"/>
  <c r="O14" i="4"/>
  <c r="W16" i="4"/>
  <c r="C14" i="4"/>
  <c r="C22" i="4"/>
  <c r="C16" i="4"/>
  <c r="C20" i="4"/>
  <c r="C19" i="4"/>
  <c r="C8" i="4"/>
  <c r="C17" i="4"/>
  <c r="C23" i="4"/>
  <c r="C15" i="4"/>
  <c r="C10" i="4"/>
  <c r="C12" i="4"/>
  <c r="C9" i="4"/>
  <c r="C11" i="4"/>
  <c r="C21" i="4"/>
  <c r="C24" i="4"/>
  <c r="C18" i="4"/>
  <c r="C13" i="4"/>
  <c r="O11" i="4"/>
  <c r="C22" i="5"/>
  <c r="C21" i="5"/>
  <c r="Y16" i="4"/>
  <c r="Y12" i="4"/>
  <c r="Y24" i="4"/>
  <c r="Y11" i="4"/>
  <c r="C11" i="5"/>
  <c r="Y23" i="4"/>
  <c r="Y15" i="4"/>
  <c r="Y9" i="4"/>
  <c r="U11" i="4"/>
  <c r="C8" i="5"/>
  <c r="W24" i="4"/>
  <c r="W13" i="4"/>
  <c r="W18" i="4"/>
  <c r="W10" i="4"/>
  <c r="W17" i="4"/>
  <c r="W12" i="4"/>
  <c r="W14" i="4"/>
  <c r="W19" i="4"/>
  <c r="W23" i="4"/>
  <c r="W9" i="4"/>
  <c r="W20" i="4"/>
  <c r="W15" i="4"/>
  <c r="W22" i="4"/>
  <c r="W11" i="4"/>
  <c r="W21" i="4"/>
  <c r="S18" i="4"/>
  <c r="S20" i="4"/>
  <c r="S17" i="4"/>
  <c r="S9" i="4"/>
  <c r="S23" i="4"/>
  <c r="S24" i="4"/>
  <c r="S19" i="4"/>
  <c r="S8" i="4"/>
  <c r="S12" i="4"/>
  <c r="S13" i="4"/>
  <c r="S16" i="4"/>
  <c r="S21" i="4"/>
  <c r="S14" i="4"/>
  <c r="S15" i="4"/>
  <c r="S22" i="4"/>
  <c r="S10" i="4"/>
  <c r="U10" i="4"/>
  <c r="U14" i="4"/>
  <c r="U23" i="4"/>
  <c r="U19" i="4"/>
  <c r="U24" i="4"/>
  <c r="U13" i="4"/>
  <c r="U18" i="4"/>
  <c r="U15" i="4"/>
  <c r="U17" i="4"/>
  <c r="U21" i="4"/>
  <c r="U9" i="4"/>
  <c r="U20" i="4"/>
  <c r="U12" i="4"/>
  <c r="U22" i="4"/>
  <c r="U16" i="4"/>
  <c r="C19" i="5"/>
  <c r="C17" i="5"/>
  <c r="C13" i="5"/>
  <c r="C15" i="5"/>
  <c r="C20" i="5"/>
  <c r="C23" i="5"/>
  <c r="C18" i="5"/>
  <c r="C12" i="5"/>
  <c r="C24" i="5"/>
  <c r="C14" i="5"/>
  <c r="C10" i="5"/>
  <c r="C19" i="1"/>
  <c r="C17" i="1"/>
  <c r="C15" i="1"/>
  <c r="C9" i="1"/>
  <c r="C24" i="1"/>
  <c r="C12" i="1"/>
  <c r="C10" i="1"/>
  <c r="C23" i="1"/>
  <c r="C16" i="1"/>
  <c r="C20" i="1"/>
  <c r="C13" i="1"/>
  <c r="C14" i="1"/>
  <c r="C21" i="1"/>
  <c r="C18" i="1"/>
  <c r="C8" i="1"/>
  <c r="C22" i="1"/>
  <c r="D10" i="5" l="1"/>
  <c r="D8" i="5" s="1"/>
  <c r="AB8" i="4"/>
  <c r="AB24" i="4" l="1"/>
  <c r="AC9" i="4" s="1"/>
  <c r="D24" i="5"/>
  <c r="AC12" i="4" l="1"/>
  <c r="AC10" i="4"/>
  <c r="AC17" i="4"/>
  <c r="AC8" i="4"/>
  <c r="AC19" i="4"/>
  <c r="AC16" i="4"/>
  <c r="AC23" i="4"/>
  <c r="AC13" i="4"/>
  <c r="AC20" i="4"/>
  <c r="AC11" i="4"/>
  <c r="AC18" i="4"/>
  <c r="AC22" i="4"/>
  <c r="AC21" i="4"/>
  <c r="AC15" i="4"/>
  <c r="AC24" i="4"/>
  <c r="AC14" i="4"/>
  <c r="E12" i="5"/>
  <c r="E9" i="5"/>
  <c r="E23" i="5"/>
  <c r="E22" i="5"/>
  <c r="E18" i="5"/>
  <c r="E17" i="5"/>
  <c r="E16" i="5"/>
  <c r="E24" i="5"/>
  <c r="E11" i="5"/>
  <c r="E20" i="5"/>
  <c r="E13" i="5"/>
  <c r="E15" i="5"/>
  <c r="E21" i="5"/>
  <c r="E14" i="5"/>
  <c r="E19" i="5"/>
  <c r="E10" i="5"/>
  <c r="E8" i="5"/>
</calcChain>
</file>

<file path=xl/sharedStrings.xml><?xml version="1.0" encoding="utf-8"?>
<sst xmlns="http://schemas.openxmlformats.org/spreadsheetml/2006/main" count="171" uniqueCount="78">
  <si>
    <t>KUNTIEN LAINANANTAJAOSUUDET 1997 - 2017</t>
  </si>
  <si>
    <t>Sisältää kuntasektorin sisäiset lainat</t>
  </si>
  <si>
    <t>Lähde: Tilastokeskus</t>
  </si>
  <si>
    <t>Lainanantaja</t>
  </si>
  <si>
    <t xml:space="preserve">       2011</t>
  </si>
  <si>
    <t xml:space="preserve">       2012</t>
  </si>
  <si>
    <t xml:space="preserve">       2013</t>
  </si>
  <si>
    <t xml:space="preserve">       2014</t>
  </si>
  <si>
    <t xml:space="preserve">       2015</t>
  </si>
  <si>
    <t xml:space="preserve">       2016</t>
  </si>
  <si>
    <t>2017</t>
  </si>
  <si>
    <t>milj. €</t>
  </si>
  <si>
    <t>%</t>
  </si>
  <si>
    <t xml:space="preserve"> Joukkovelkakirjalainat</t>
  </si>
  <si>
    <t xml:space="preserve">     Euromääräiset</t>
  </si>
  <si>
    <t xml:space="preserve">     Valuuttamääräiset</t>
  </si>
  <si>
    <t xml:space="preserve"> Lainat rahoitus- ja vakuutuslaitoks.</t>
  </si>
  <si>
    <t xml:space="preserve">     Kotimaisilta talletuspankeilta</t>
  </si>
  <si>
    <t xml:space="preserve">     Kuntarahoitukselta</t>
  </si>
  <si>
    <t xml:space="preserve">     Muilta kotim.rah.- ja vak.laitoksilta</t>
  </si>
  <si>
    <t xml:space="preserve">     Ulkom.rahoitus- ja vakuutuslaitoks.</t>
  </si>
  <si>
    <t xml:space="preserve"> Lainat julkisyhteisöiltä</t>
  </si>
  <si>
    <t xml:space="preserve">     Valtiolta</t>
  </si>
  <si>
    <t xml:space="preserve">     Kunnilta ja kuntayhtymiltä</t>
  </si>
  <si>
    <t xml:space="preserve">     Kevalta</t>
  </si>
  <si>
    <t xml:space="preserve">     Muilta sosiaaliturvarahastoilta</t>
  </si>
  <si>
    <t xml:space="preserve"> Lainat muilta luotonantajilta</t>
  </si>
  <si>
    <t xml:space="preserve">     Kotimaisilta</t>
  </si>
  <si>
    <t xml:space="preserve">     Ulkomaisilta</t>
  </si>
  <si>
    <t>Yhteensä</t>
  </si>
  <si>
    <t>KUNTAYHTYMIEN LAINANANTAJAOSUUDET 1997 - 2016</t>
  </si>
  <si>
    <t xml:space="preserve">        2011</t>
  </si>
  <si>
    <t xml:space="preserve">        2012</t>
  </si>
  <si>
    <t xml:space="preserve">        2013</t>
  </si>
  <si>
    <t xml:space="preserve">        2014</t>
  </si>
  <si>
    <t xml:space="preserve">        2015</t>
  </si>
  <si>
    <t xml:space="preserve">        2016</t>
  </si>
  <si>
    <t xml:space="preserve">    Euromääräiset</t>
  </si>
  <si>
    <t xml:space="preserve">    Valuuttamääräiset</t>
  </si>
  <si>
    <t xml:space="preserve">    Kotimaisilta talletuspankeilta</t>
  </si>
  <si>
    <t xml:space="preserve">    Kuntarahoitukselta</t>
  </si>
  <si>
    <t xml:space="preserve">    Muilta kotim.rah.- ja vak.laitoksilta</t>
  </si>
  <si>
    <t xml:space="preserve">    Ulkom.rahoitus- ja vakuutuslaitoks.</t>
  </si>
  <si>
    <t>KUNTASEKTORIN  (KUNNAT JA KUNTAYHTYMÄT) LAINANANTAJAOSUUDET 1997 - 2019</t>
  </si>
  <si>
    <t>Långivare</t>
  </si>
  <si>
    <t xml:space="preserve">        1997</t>
  </si>
  <si>
    <t xml:space="preserve">        2000</t>
  </si>
  <si>
    <t xml:space="preserve">         2001</t>
  </si>
  <si>
    <t xml:space="preserve">        2002</t>
  </si>
  <si>
    <t xml:space="preserve">        2003</t>
  </si>
  <si>
    <t xml:space="preserve">         2004</t>
  </si>
  <si>
    <t xml:space="preserve">         2005</t>
  </si>
  <si>
    <t xml:space="preserve">        2006</t>
  </si>
  <si>
    <t xml:space="preserve">        2007</t>
  </si>
  <si>
    <t xml:space="preserve">        2008</t>
  </si>
  <si>
    <t xml:space="preserve">        2009</t>
  </si>
  <si>
    <t xml:space="preserve">        2010</t>
  </si>
  <si>
    <t>2018</t>
  </si>
  <si>
    <t>2019</t>
  </si>
  <si>
    <t>2020</t>
  </si>
  <si>
    <t>mn. €</t>
  </si>
  <si>
    <t>Masskuldebrevslån</t>
  </si>
  <si>
    <t xml:space="preserve">    I euro</t>
  </si>
  <si>
    <t xml:space="preserve">    I utländsk valuta</t>
  </si>
  <si>
    <t xml:space="preserve"> Lån från finaniserings- och försäkringsanstalter</t>
  </si>
  <si>
    <t xml:space="preserve">     Inhemska depositionsbanker</t>
  </si>
  <si>
    <t xml:space="preserve">    Kommunfinans Abp</t>
  </si>
  <si>
    <t xml:space="preserve">    Övriga inhemska fin. Inst. och försäkringsanst.</t>
  </si>
  <si>
    <t xml:space="preserve">    Utländska fin. Inst. och försäkringsanst.</t>
  </si>
  <si>
    <t>Lån från offentliga samfund</t>
  </si>
  <si>
    <t xml:space="preserve">     Staten</t>
  </si>
  <si>
    <t xml:space="preserve">     Kommuner och samkommuner</t>
  </si>
  <si>
    <t xml:space="preserve">     Keva</t>
  </si>
  <si>
    <t xml:space="preserve">     Övriga socialskyddsfonder</t>
  </si>
  <si>
    <t>Lån från övriga kreditgivare</t>
  </si>
  <si>
    <t xml:space="preserve">     Inhemska</t>
  </si>
  <si>
    <t xml:space="preserve">    Utländska</t>
  </si>
  <si>
    <t>Sammanlagt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</si>
</sst>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_-* #,##0.00\ [$€]_-;\-* #,##0.00\ [$€]_-;_-* &quot;-&quot;??\ [$€]_-;_-@_-"/>
  </numFmts>
  <fonts count="22">
    <font>
      <sz val="12"/>
      <name val="Times New Roman"/>
    </font>
    <font>
      <sz val="12"/>
      <name val="Times New Roman"/>
      <family val="1"/>
    </font>
    <font>
      <sz val="10"/>
      <name val="Arial Narrow"/>
      <family val="2"/>
    </font>
    <font>
      <sz val="8"/>
      <name val="Times New Roman"/>
      <family val="1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8"/>
      <name val="Arial Narrow"/>
      <family val="2"/>
    </font>
    <font>
      <b/>
      <sz val="14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i/>
      <sz val="10"/>
      <name val="Arial Narrow"/>
      <family val="2"/>
    </font>
    <font>
      <i/>
      <sz val="8"/>
      <color indexed="12"/>
      <name val="Arial"/>
      <family val="2"/>
    </font>
    <font>
      <b/>
      <i/>
      <sz val="8"/>
      <color indexed="12"/>
      <name val="Arial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b/>
      <i/>
      <sz val="9"/>
      <name val="Arial"/>
      <family val="2"/>
    </font>
    <font>
      <i/>
      <sz val="8"/>
      <name val="Arial"/>
      <family val="2"/>
    </font>
    <font>
      <b/>
      <sz val="12"/>
      <color rgb="FFFF000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4" fillId="0" borderId="0" xfId="0" applyFont="1"/>
    <xf numFmtId="0" fontId="6" fillId="0" borderId="0" xfId="0" applyFont="1"/>
    <xf numFmtId="3" fontId="6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164" fontId="12" fillId="0" borderId="4" xfId="2" applyNumberFormat="1" applyFont="1" applyFill="1" applyBorder="1"/>
    <xf numFmtId="164" fontId="11" fillId="0" borderId="4" xfId="2" applyNumberFormat="1" applyFont="1" applyFill="1" applyBorder="1"/>
    <xf numFmtId="0" fontId="6" fillId="0" borderId="6" xfId="0" applyFont="1" applyBorder="1"/>
    <xf numFmtId="49" fontId="5" fillId="0" borderId="7" xfId="0" applyNumberFormat="1" applyFont="1" applyBorder="1" applyAlignment="1">
      <alignment horizontal="left"/>
    </xf>
    <xf numFmtId="49" fontId="5" fillId="0" borderId="8" xfId="0" applyNumberFormat="1" applyFont="1" applyBorder="1" applyAlignment="1">
      <alignment horizontal="left"/>
    </xf>
    <xf numFmtId="49" fontId="5" fillId="0" borderId="9" xfId="0" applyNumberFormat="1" applyFont="1" applyBorder="1" applyAlignment="1">
      <alignment horizontal="left"/>
    </xf>
    <xf numFmtId="49" fontId="6" fillId="0" borderId="8" xfId="0" applyNumberFormat="1" applyFont="1" applyBorder="1" applyAlignment="1">
      <alignment horizontal="left"/>
    </xf>
    <xf numFmtId="0" fontId="6" fillId="0" borderId="5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5" xfId="0" applyFont="1" applyBorder="1"/>
    <xf numFmtId="3" fontId="5" fillId="0" borderId="0" xfId="0" applyNumberFormat="1" applyFont="1"/>
    <xf numFmtId="0" fontId="5" fillId="0" borderId="1" xfId="0" applyFont="1" applyBorder="1"/>
    <xf numFmtId="164" fontId="12" fillId="0" borderId="2" xfId="2" applyNumberFormat="1" applyFont="1" applyFill="1" applyBorder="1"/>
    <xf numFmtId="3" fontId="5" fillId="0" borderId="3" xfId="0" applyNumberFormat="1" applyFont="1" applyBorder="1"/>
    <xf numFmtId="0" fontId="13" fillId="0" borderId="0" xfId="0" applyFont="1"/>
    <xf numFmtId="49" fontId="7" fillId="0" borderId="8" xfId="0" applyNumberFormat="1" applyFont="1" applyBorder="1" applyAlignment="1">
      <alignment horizontal="left"/>
    </xf>
    <xf numFmtId="0" fontId="14" fillId="0" borderId="4" xfId="0" applyFont="1" applyBorder="1" applyAlignment="1">
      <alignment horizontal="center"/>
    </xf>
    <xf numFmtId="164" fontId="15" fillId="0" borderId="4" xfId="2" applyNumberFormat="1" applyFont="1" applyFill="1" applyBorder="1"/>
    <xf numFmtId="164" fontId="14" fillId="0" borderId="4" xfId="2" applyNumberFormat="1" applyFont="1" applyFill="1" applyBorder="1"/>
    <xf numFmtId="164" fontId="15" fillId="0" borderId="2" xfId="2" applyNumberFormat="1" applyFont="1" applyFill="1" applyBorder="1"/>
    <xf numFmtId="0" fontId="16" fillId="0" borderId="0" xfId="0" applyFont="1"/>
    <xf numFmtId="0" fontId="17" fillId="0" borderId="0" xfId="0" applyFont="1"/>
    <xf numFmtId="49" fontId="18" fillId="0" borderId="8" xfId="0" applyNumberFormat="1" applyFont="1" applyBorder="1" applyAlignment="1">
      <alignment horizontal="left"/>
    </xf>
    <xf numFmtId="0" fontId="20" fillId="0" borderId="0" xfId="0" applyFont="1"/>
    <xf numFmtId="0" fontId="6" fillId="0" borderId="10" xfId="0" applyFont="1" applyBorder="1"/>
    <xf numFmtId="0" fontId="5" fillId="0" borderId="10" xfId="0" applyFont="1" applyBorder="1"/>
    <xf numFmtId="0" fontId="5" fillId="0" borderId="11" xfId="0" applyFont="1" applyBorder="1"/>
    <xf numFmtId="0" fontId="21" fillId="0" borderId="0" xfId="0" applyFont="1"/>
    <xf numFmtId="0" fontId="19" fillId="0" borderId="0" xfId="0" applyFont="1"/>
    <xf numFmtId="3" fontId="16" fillId="0" borderId="0" xfId="0" applyNumberFormat="1" applyFont="1"/>
    <xf numFmtId="0" fontId="6" fillId="0" borderId="11" xfId="0" applyFont="1" applyBorder="1"/>
    <xf numFmtId="0" fontId="6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/>
  </cellXfs>
  <cellStyles count="3">
    <cellStyle name="Euro" xfId="1" xr:uid="{00000000-0005-0000-0000-000000000000}"/>
    <cellStyle name="Normaali" xfId="0" builtinId="0"/>
    <cellStyle name="Prosenttia" xfId="2" builtinId="5"/>
  </cellStyles>
  <dxfs count="0"/>
  <tableStyles count="1" defaultTableStyle="TableStyleMedium2" defaultPivotStyle="PivotStyleLight16">
    <tableStyle name="Invisible" pivot="0" table="0" count="0" xr9:uid="{39E878D5-24DB-4F63-9EDA-E9823F82E17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zoomScale="115" zoomScaleNormal="115" workbookViewId="0">
      <pane xSplit="1" ySplit="6" topLeftCell="B12" activePane="bottomRight" state="frozen"/>
      <selection pane="bottomRight" activeCell="C8" sqref="C8"/>
      <selection pane="bottomLeft" activeCell="C8" sqref="C8"/>
      <selection pane="topRight" activeCell="C8" sqref="C8"/>
    </sheetView>
  </sheetViews>
  <sheetFormatPr defaultColWidth="9" defaultRowHeight="12.95"/>
  <cols>
    <col min="1" max="1" width="27.5" style="1" customWidth="1"/>
    <col min="2" max="2" width="5.625" style="1" customWidth="1"/>
    <col min="3" max="3" width="5.125" style="25" customWidth="1"/>
    <col min="4" max="4" width="6.125" style="1" customWidth="1"/>
    <col min="5" max="5" width="5.25" style="25" customWidth="1"/>
    <col min="6" max="6" width="5.625" style="1" customWidth="1"/>
    <col min="7" max="7" width="5.125" style="25" customWidth="1"/>
    <col min="8" max="8" width="5.625" style="1" customWidth="1"/>
    <col min="9" max="9" width="5" style="25" customWidth="1"/>
    <col min="10" max="10" width="5.625" style="1" customWidth="1"/>
    <col min="11" max="11" width="5" style="1" customWidth="1"/>
    <col min="12" max="12" width="5.625" style="1" customWidth="1"/>
    <col min="13" max="13" width="5" style="1" customWidth="1"/>
    <col min="14" max="14" width="6.25" style="1" customWidth="1"/>
    <col min="15" max="15" width="5" style="1" customWidth="1"/>
    <col min="16" max="16384" width="9" style="1"/>
  </cols>
  <sheetData>
    <row r="1" spans="1:15" ht="18">
      <c r="A1" s="8" t="s">
        <v>0</v>
      </c>
    </row>
    <row r="2" spans="1:15" ht="15.6">
      <c r="A2" s="34" t="s">
        <v>1</v>
      </c>
    </row>
    <row r="3" spans="1:15">
      <c r="A3" s="3" t="s">
        <v>2</v>
      </c>
    </row>
    <row r="4" spans="1:15">
      <c r="A4" s="3"/>
    </row>
    <row r="5" spans="1:15" ht="14.25" customHeight="1">
      <c r="A5" s="12" t="s">
        <v>3</v>
      </c>
      <c r="B5" s="15" t="s">
        <v>4</v>
      </c>
      <c r="C5" s="26"/>
      <c r="D5" s="15" t="s">
        <v>5</v>
      </c>
      <c r="E5" s="26"/>
      <c r="F5" s="15" t="s">
        <v>6</v>
      </c>
      <c r="G5" s="26"/>
      <c r="H5" s="15" t="s">
        <v>7</v>
      </c>
      <c r="I5" s="26"/>
      <c r="J5" s="15" t="s">
        <v>8</v>
      </c>
      <c r="K5" s="26"/>
      <c r="L5" s="15" t="s">
        <v>9</v>
      </c>
      <c r="M5" s="26"/>
      <c r="N5" s="44" t="s">
        <v>10</v>
      </c>
      <c r="O5" s="46"/>
    </row>
    <row r="6" spans="1:15" ht="14.25" customHeight="1">
      <c r="A6" s="17"/>
      <c r="B6" s="18" t="s">
        <v>11</v>
      </c>
      <c r="C6" s="27" t="s">
        <v>12</v>
      </c>
      <c r="D6" s="18" t="s">
        <v>11</v>
      </c>
      <c r="E6" s="27" t="s">
        <v>12</v>
      </c>
      <c r="F6" s="18" t="s">
        <v>11</v>
      </c>
      <c r="G6" s="27" t="s">
        <v>12</v>
      </c>
      <c r="H6" s="18" t="s">
        <v>11</v>
      </c>
      <c r="I6" s="27" t="s">
        <v>12</v>
      </c>
      <c r="J6" s="18" t="s">
        <v>11</v>
      </c>
      <c r="K6" s="27" t="s">
        <v>12</v>
      </c>
      <c r="L6" s="18" t="s">
        <v>11</v>
      </c>
      <c r="M6" s="27" t="s">
        <v>12</v>
      </c>
      <c r="N6" s="18" t="s">
        <v>11</v>
      </c>
      <c r="O6" s="27" t="s">
        <v>12</v>
      </c>
    </row>
    <row r="7" spans="1:15">
      <c r="A7" s="17"/>
      <c r="B7" s="19"/>
      <c r="C7" s="27"/>
      <c r="D7" s="19"/>
      <c r="E7" s="27"/>
      <c r="F7" s="19"/>
      <c r="G7" s="27"/>
      <c r="H7" s="19"/>
      <c r="I7" s="27"/>
      <c r="J7" s="19"/>
      <c r="K7" s="27"/>
      <c r="L7" s="19"/>
      <c r="M7" s="27"/>
      <c r="N7" s="19"/>
      <c r="O7" s="27"/>
    </row>
    <row r="8" spans="1:15" ht="18" customHeight="1">
      <c r="A8" s="20" t="s">
        <v>13</v>
      </c>
      <c r="B8" s="21">
        <f>B9+B10</f>
        <v>534.20399999999995</v>
      </c>
      <c r="C8" s="28">
        <f t="shared" ref="C8:C24" si="0">100*B8/B$24</f>
        <v>4.8551729653778413</v>
      </c>
      <c r="D8" s="21">
        <f>D9+D10</f>
        <v>675.005</v>
      </c>
      <c r="E8" s="28">
        <f t="shared" ref="E8:E24" si="1">100*D8/D$24</f>
        <v>5.5010000744055683</v>
      </c>
      <c r="F8" s="21">
        <f>F9+F10</f>
        <v>609.26600000000008</v>
      </c>
      <c r="G8" s="28">
        <f t="shared" ref="G8:I24" si="2">100*F8/F$24</f>
        <v>4.4000980454039196</v>
      </c>
      <c r="H8" s="21">
        <f>H9+H10</f>
        <v>757.23299999999995</v>
      </c>
      <c r="I8" s="28">
        <f t="shared" si="2"/>
        <v>5.1371240970483374</v>
      </c>
      <c r="J8" s="21">
        <f>J9+J10</f>
        <v>819.77</v>
      </c>
      <c r="K8" s="28">
        <f t="shared" ref="K8:K24" si="3">100*J8/J$24</f>
        <v>5.2689513079149526</v>
      </c>
      <c r="L8" s="21">
        <f>L9+L10</f>
        <v>1352.346</v>
      </c>
      <c r="M8" s="28">
        <f t="shared" ref="M8:M24" si="4">100*L8/L$24</f>
        <v>8.378447868348287</v>
      </c>
      <c r="N8" s="21">
        <f>N9+N10</f>
        <v>1831</v>
      </c>
      <c r="O8" s="28">
        <f>100*N8/N$24</f>
        <v>11.324138784093018</v>
      </c>
    </row>
    <row r="9" spans="1:15" ht="18" customHeight="1">
      <c r="A9" s="17" t="s">
        <v>14</v>
      </c>
      <c r="B9" s="5">
        <f>374.5+159.704</f>
        <v>534.20399999999995</v>
      </c>
      <c r="C9" s="29">
        <f t="shared" si="0"/>
        <v>4.8551729653778413</v>
      </c>
      <c r="D9" s="5">
        <f>358.767+316.238</f>
        <v>675.005</v>
      </c>
      <c r="E9" s="29">
        <f t="shared" si="1"/>
        <v>5.5010000744055683</v>
      </c>
      <c r="F9" s="5">
        <f>353.033+256.233</f>
        <v>609.26600000000008</v>
      </c>
      <c r="G9" s="29">
        <f t="shared" si="2"/>
        <v>4.4000980454039196</v>
      </c>
      <c r="H9" s="5">
        <f>557.3+199.933</f>
        <v>757.23299999999995</v>
      </c>
      <c r="I9" s="29">
        <f t="shared" si="2"/>
        <v>5.1371240970483374</v>
      </c>
      <c r="J9" s="5">
        <f>649.687+170.083</f>
        <v>819.77</v>
      </c>
      <c r="K9" s="29">
        <f t="shared" si="3"/>
        <v>5.2689513079149526</v>
      </c>
      <c r="L9" s="5">
        <f>683.473+668.873</f>
        <v>1352.346</v>
      </c>
      <c r="M9" s="29">
        <f t="shared" si="4"/>
        <v>8.378447868348287</v>
      </c>
      <c r="N9" s="5">
        <f>1215+616</f>
        <v>1831</v>
      </c>
      <c r="O9" s="29">
        <f t="shared" ref="O9:O24" si="5">100*N9/N$24</f>
        <v>11.324138784093018</v>
      </c>
    </row>
    <row r="10" spans="1:15" ht="18" customHeight="1">
      <c r="A10" s="17" t="s">
        <v>15</v>
      </c>
      <c r="B10" s="5">
        <v>0</v>
      </c>
      <c r="C10" s="29">
        <f t="shared" si="0"/>
        <v>0</v>
      </c>
      <c r="D10" s="5">
        <v>0</v>
      </c>
      <c r="E10" s="29">
        <f t="shared" si="1"/>
        <v>0</v>
      </c>
      <c r="F10" s="5">
        <v>0</v>
      </c>
      <c r="G10" s="29">
        <f t="shared" si="2"/>
        <v>0</v>
      </c>
      <c r="H10" s="5">
        <v>0</v>
      </c>
      <c r="I10" s="29">
        <f t="shared" si="2"/>
        <v>0</v>
      </c>
      <c r="J10" s="5">
        <v>0</v>
      </c>
      <c r="K10" s="29">
        <f t="shared" si="3"/>
        <v>0</v>
      </c>
      <c r="L10" s="5">
        <v>0</v>
      </c>
      <c r="M10" s="29">
        <f t="shared" si="4"/>
        <v>0</v>
      </c>
      <c r="N10" s="5">
        <v>0</v>
      </c>
      <c r="O10" s="29">
        <f t="shared" si="5"/>
        <v>0</v>
      </c>
    </row>
    <row r="11" spans="1:15" ht="18" customHeight="1">
      <c r="A11" s="20" t="s">
        <v>16</v>
      </c>
      <c r="B11" s="21">
        <f>B12+B13+B14+B15</f>
        <v>9497.66</v>
      </c>
      <c r="C11" s="28">
        <f t="shared" si="0"/>
        <v>86.320548079667148</v>
      </c>
      <c r="D11" s="21">
        <f>D12+D13+D14+D15</f>
        <v>10610.858</v>
      </c>
      <c r="E11" s="28">
        <f t="shared" si="1"/>
        <v>86.473923374651932</v>
      </c>
      <c r="F11" s="21">
        <f>F12+F13+F14+F15</f>
        <v>12132.165000000001</v>
      </c>
      <c r="G11" s="28">
        <f t="shared" si="2"/>
        <v>87.618077330784644</v>
      </c>
      <c r="H11" s="21">
        <f>H12+H13+H14+H15</f>
        <v>12881.761999999999</v>
      </c>
      <c r="I11" s="28">
        <f t="shared" si="2"/>
        <v>87.390816278003726</v>
      </c>
      <c r="J11" s="21">
        <f>J12+J13+J14+J15</f>
        <v>13513.445999999998</v>
      </c>
      <c r="K11" s="28">
        <f t="shared" si="3"/>
        <v>86.855689981504653</v>
      </c>
      <c r="L11" s="21">
        <f>L12+L13+L14+L15</f>
        <v>13551.151000000002</v>
      </c>
      <c r="M11" s="28">
        <f t="shared" si="4"/>
        <v>83.956038032881949</v>
      </c>
      <c r="N11" s="21">
        <f>N12+N13+N14+N15</f>
        <v>13032</v>
      </c>
      <c r="O11" s="28">
        <f t="shared" si="5"/>
        <v>80.598676479683348</v>
      </c>
    </row>
    <row r="12" spans="1:15" ht="18" customHeight="1">
      <c r="A12" s="17" t="s">
        <v>17</v>
      </c>
      <c r="B12" s="5">
        <f>1159.07+651.964</f>
        <v>1811.0340000000001</v>
      </c>
      <c r="C12" s="29">
        <f t="shared" si="0"/>
        <v>16.459785617816593</v>
      </c>
      <c r="D12" s="5">
        <f>1225.79+803.83</f>
        <v>2029.62</v>
      </c>
      <c r="E12" s="29">
        <f t="shared" si="1"/>
        <v>16.540528990177894</v>
      </c>
      <c r="F12" s="5">
        <f>1283.906+1096.354</f>
        <v>2380.2600000000002</v>
      </c>
      <c r="G12" s="29">
        <f t="shared" si="2"/>
        <v>17.190155652134099</v>
      </c>
      <c r="H12" s="5">
        <f>1342.393+1019.417</f>
        <v>2361.81</v>
      </c>
      <c r="I12" s="29">
        <f t="shared" si="2"/>
        <v>16.022691910745749</v>
      </c>
      <c r="J12" s="5">
        <f>1345.88+1114.67</f>
        <v>2460.5500000000002</v>
      </c>
      <c r="K12" s="29">
        <f t="shared" si="3"/>
        <v>15.81482384167527</v>
      </c>
      <c r="L12" s="5">
        <f>1390.15+1130.488</f>
        <v>2520.6379999999999</v>
      </c>
      <c r="M12" s="29">
        <f t="shared" si="4"/>
        <v>15.616590782224142</v>
      </c>
      <c r="N12" s="5">
        <f>1512+1052</f>
        <v>2564</v>
      </c>
      <c r="O12" s="29">
        <f t="shared" si="5"/>
        <v>15.857505102356361</v>
      </c>
    </row>
    <row r="13" spans="1:15" ht="18" customHeight="1">
      <c r="A13" s="17" t="s">
        <v>18</v>
      </c>
      <c r="B13" s="5">
        <f>4820.433+1167.86</f>
        <v>5988.2929999999997</v>
      </c>
      <c r="C13" s="29">
        <f t="shared" si="0"/>
        <v>54.425272522035343</v>
      </c>
      <c r="D13" s="5">
        <f>5504.536+1432.289</f>
        <v>6936.8249999999998</v>
      </c>
      <c r="E13" s="29">
        <f t="shared" si="1"/>
        <v>56.532136563637913</v>
      </c>
      <c r="F13" s="5">
        <f>6261.402+1448.27</f>
        <v>7709.6720000000005</v>
      </c>
      <c r="G13" s="29">
        <f t="shared" si="2"/>
        <v>55.678985365842387</v>
      </c>
      <c r="H13" s="5">
        <f>6626.809+1618.793</f>
        <v>8245.6020000000008</v>
      </c>
      <c r="I13" s="29">
        <f t="shared" si="2"/>
        <v>55.938767498075194</v>
      </c>
      <c r="J13" s="5">
        <f>6690.593+1987.135</f>
        <v>8677.7279999999992</v>
      </c>
      <c r="K13" s="29">
        <f t="shared" si="3"/>
        <v>55.774822566488403</v>
      </c>
      <c r="L13" s="5">
        <f>6770.215+1587.241</f>
        <v>8357.4560000000001</v>
      </c>
      <c r="M13" s="29">
        <f t="shared" si="4"/>
        <v>51.778545881020534</v>
      </c>
      <c r="N13" s="5">
        <f>6502+1172</f>
        <v>7674</v>
      </c>
      <c r="O13" s="29">
        <f t="shared" si="5"/>
        <v>47.461191168284991</v>
      </c>
    </row>
    <row r="14" spans="1:15" ht="18" customHeight="1">
      <c r="A14" s="17" t="s">
        <v>19</v>
      </c>
      <c r="B14" s="5">
        <f>31.382+46.013</f>
        <v>77.394999999999996</v>
      </c>
      <c r="C14" s="29">
        <f t="shared" si="0"/>
        <v>0.70341313740709177</v>
      </c>
      <c r="D14" s="5">
        <f>40.393+70.819</f>
        <v>111.212</v>
      </c>
      <c r="E14" s="29">
        <f t="shared" si="1"/>
        <v>0.90632990907443967</v>
      </c>
      <c r="F14" s="5">
        <f>58.702+153.266</f>
        <v>211.96799999999999</v>
      </c>
      <c r="G14" s="29">
        <f t="shared" si="2"/>
        <v>1.5308255876549453</v>
      </c>
      <c r="H14" s="5">
        <f>93.629+170.617</f>
        <v>264.24599999999998</v>
      </c>
      <c r="I14" s="29">
        <f t="shared" si="2"/>
        <v>1.7926642052692303</v>
      </c>
      <c r="J14" s="5">
        <f>138.732+98.569</f>
        <v>237.30099999999999</v>
      </c>
      <c r="K14" s="29">
        <f t="shared" si="3"/>
        <v>1.5252173345200799</v>
      </c>
      <c r="L14" s="5">
        <f>143.979+94.507</f>
        <v>238.48600000000002</v>
      </c>
      <c r="M14" s="29">
        <f t="shared" si="4"/>
        <v>1.4775379365420609</v>
      </c>
      <c r="N14" s="5">
        <f>137+74</f>
        <v>211</v>
      </c>
      <c r="O14" s="29">
        <f t="shared" si="5"/>
        <v>1.304966293524646</v>
      </c>
    </row>
    <row r="15" spans="1:15" ht="18" customHeight="1">
      <c r="A15" s="17" t="s">
        <v>20</v>
      </c>
      <c r="B15" s="5">
        <f>1437.991+182.947</f>
        <v>1620.9380000000001</v>
      </c>
      <c r="C15" s="29">
        <f t="shared" si="0"/>
        <v>14.732076802408121</v>
      </c>
      <c r="D15" s="5">
        <f>1370.381+162.82</f>
        <v>1533.201</v>
      </c>
      <c r="E15" s="29">
        <f t="shared" si="1"/>
        <v>12.49492791176168</v>
      </c>
      <c r="F15" s="5">
        <f>1659.997+170.268</f>
        <v>1830.2650000000001</v>
      </c>
      <c r="G15" s="29">
        <f t="shared" si="2"/>
        <v>13.218110725153224</v>
      </c>
      <c r="H15" s="5">
        <f>1797.198+212.906</f>
        <v>2010.104</v>
      </c>
      <c r="I15" s="29">
        <f t="shared" si="2"/>
        <v>13.636692663913554</v>
      </c>
      <c r="J15" s="5">
        <f>2011.275+126.592</f>
        <v>2137.8670000000002</v>
      </c>
      <c r="K15" s="29">
        <f t="shared" si="3"/>
        <v>13.740826238820908</v>
      </c>
      <c r="L15" s="5">
        <f>2302.092+132.479</f>
        <v>2434.5709999999999</v>
      </c>
      <c r="M15" s="29">
        <f t="shared" si="4"/>
        <v>15.083363433095196</v>
      </c>
      <c r="N15" s="5">
        <f>2381+202</f>
        <v>2583</v>
      </c>
      <c r="O15" s="29">
        <f t="shared" si="5"/>
        <v>15.975013915517348</v>
      </c>
    </row>
    <row r="16" spans="1:15" ht="18" customHeight="1">
      <c r="A16" s="20" t="s">
        <v>21</v>
      </c>
      <c r="B16" s="21">
        <f>B17+B18+B19+B20</f>
        <v>510.11200000000002</v>
      </c>
      <c r="C16" s="28">
        <f t="shared" si="0"/>
        <v>4.6362101214420361</v>
      </c>
      <c r="D16" s="21">
        <f>D17+D18+D19+D20</f>
        <v>432.73899999999998</v>
      </c>
      <c r="E16" s="28">
        <f t="shared" si="1"/>
        <v>3.5266365007639808</v>
      </c>
      <c r="F16" s="21">
        <f>F17+F18+F19+F20</f>
        <v>368.096</v>
      </c>
      <c r="G16" s="28">
        <f t="shared" si="2"/>
        <v>2.658376620591008</v>
      </c>
      <c r="H16" s="21">
        <f>H17+H18+H19+H20</f>
        <v>306.33099999999996</v>
      </c>
      <c r="I16" s="28">
        <f t="shared" si="2"/>
        <v>2.0781719256462861</v>
      </c>
      <c r="J16" s="21">
        <f>J17+J18+J19+J20</f>
        <v>244.71100000000001</v>
      </c>
      <c r="K16" s="28">
        <f t="shared" si="3"/>
        <v>1.5728440215074666</v>
      </c>
      <c r="L16" s="21">
        <f>L17+L18+L19+L20</f>
        <v>198.27</v>
      </c>
      <c r="M16" s="28">
        <f t="shared" si="4"/>
        <v>1.2283800586960842</v>
      </c>
      <c r="N16" s="21">
        <f>N17+N18+N19+N20</f>
        <v>137</v>
      </c>
      <c r="O16" s="28">
        <f t="shared" si="5"/>
        <v>0.84730038963448573</v>
      </c>
    </row>
    <row r="17" spans="1:15" ht="18" customHeight="1">
      <c r="A17" s="17" t="s">
        <v>22</v>
      </c>
      <c r="B17" s="5">
        <f>68.597+5.715</f>
        <v>74.311999999999998</v>
      </c>
      <c r="C17" s="29">
        <f t="shared" si="0"/>
        <v>0.6753929461463376</v>
      </c>
      <c r="D17" s="5">
        <f>57.949+6.381</f>
        <v>64.33</v>
      </c>
      <c r="E17" s="29">
        <f t="shared" si="1"/>
        <v>0.52426179774447634</v>
      </c>
      <c r="F17" s="5">
        <f>53.575+5.236</f>
        <v>58.811</v>
      </c>
      <c r="G17" s="29">
        <f t="shared" si="2"/>
        <v>0.42473101428317012</v>
      </c>
      <c r="H17" s="5">
        <f>50.361+4.171</f>
        <v>54.531999999999996</v>
      </c>
      <c r="I17" s="29">
        <f t="shared" si="2"/>
        <v>0.36994907942501182</v>
      </c>
      <c r="J17" s="5">
        <f>44.127+3.863</f>
        <v>47.99</v>
      </c>
      <c r="K17" s="29">
        <f t="shared" si="3"/>
        <v>0.3084486786133166</v>
      </c>
      <c r="L17" s="5">
        <f>40.966+3.817</f>
        <v>44.783000000000001</v>
      </c>
      <c r="M17" s="29">
        <f t="shared" si="4"/>
        <v>0.27745268658186689</v>
      </c>
      <c r="N17" s="5">
        <f>28+3</f>
        <v>31</v>
      </c>
      <c r="O17" s="29">
        <f t="shared" si="5"/>
        <v>0.19172490568371575</v>
      </c>
    </row>
    <row r="18" spans="1:15" ht="18" customHeight="1">
      <c r="A18" s="17" t="s">
        <v>23</v>
      </c>
      <c r="B18" s="5">
        <f>1.592+8.793</f>
        <v>10.385</v>
      </c>
      <c r="C18" s="29">
        <f t="shared" si="0"/>
        <v>9.4385237185511311E-2</v>
      </c>
      <c r="D18" s="5">
        <f>2.812+6.16</f>
        <v>8.9719999999999995</v>
      </c>
      <c r="E18" s="29">
        <f t="shared" si="1"/>
        <v>7.3117936411681031E-2</v>
      </c>
      <c r="F18" s="5">
        <f>2.42+8.927</f>
        <v>11.347</v>
      </c>
      <c r="G18" s="29">
        <f t="shared" si="2"/>
        <v>8.1947642772119689E-2</v>
      </c>
      <c r="H18" s="5">
        <f>2.017+10.818</f>
        <v>12.834999999999999</v>
      </c>
      <c r="I18" s="29">
        <f t="shared" si="2"/>
        <v>8.7073579447297489E-2</v>
      </c>
      <c r="J18" s="5">
        <f>1.669+12.434</f>
        <v>14.103</v>
      </c>
      <c r="K18" s="29">
        <f t="shared" si="3"/>
        <v>9.0644961752106776E-2</v>
      </c>
      <c r="L18" s="5">
        <f>1.438+12.774</f>
        <v>14.212</v>
      </c>
      <c r="M18" s="29">
        <f t="shared" si="4"/>
        <v>8.8050322258479599E-2</v>
      </c>
      <c r="N18" s="5">
        <f>1+12</f>
        <v>13</v>
      </c>
      <c r="O18" s="29">
        <f t="shared" si="5"/>
        <v>8.0400766899622736E-2</v>
      </c>
    </row>
    <row r="19" spans="1:15" ht="18" customHeight="1">
      <c r="A19" s="17" t="s">
        <v>24</v>
      </c>
      <c r="B19" s="5">
        <f>352.341+71.123</f>
        <v>423.464</v>
      </c>
      <c r="C19" s="29">
        <f t="shared" si="0"/>
        <v>3.8487000558040791</v>
      </c>
      <c r="D19" s="5">
        <f>292.269+64.968</f>
        <v>357.23700000000002</v>
      </c>
      <c r="E19" s="29">
        <f t="shared" si="1"/>
        <v>2.9113277139879297</v>
      </c>
      <c r="F19" s="5">
        <f>235.946+60.632</f>
        <v>296.57799999999997</v>
      </c>
      <c r="G19" s="29">
        <f t="shared" si="2"/>
        <v>2.1418760904265186</v>
      </c>
      <c r="H19" s="5">
        <f>186.07+51.816</f>
        <v>237.886</v>
      </c>
      <c r="I19" s="29">
        <f t="shared" si="2"/>
        <v>1.6138360358706514</v>
      </c>
      <c r="J19" s="5">
        <f>136.382+45.486</f>
        <v>181.86799999999999</v>
      </c>
      <c r="K19" s="29">
        <f t="shared" si="3"/>
        <v>1.1689298662647774</v>
      </c>
      <c r="L19" s="5">
        <f>98.477+40.298</f>
        <v>138.77500000000001</v>
      </c>
      <c r="M19" s="29">
        <f t="shared" si="4"/>
        <v>0.85977930420915472</v>
      </c>
      <c r="N19" s="5">
        <f>61+32</f>
        <v>93</v>
      </c>
      <c r="O19" s="29">
        <f t="shared" si="5"/>
        <v>0.57517471705114731</v>
      </c>
    </row>
    <row r="20" spans="1:15" ht="18" customHeight="1">
      <c r="A20" s="17" t="s">
        <v>25</v>
      </c>
      <c r="B20" s="5">
        <f>1.7+0.251</f>
        <v>1.9510000000000001</v>
      </c>
      <c r="C20" s="29">
        <f t="shared" si="0"/>
        <v>1.7731882306108095E-2</v>
      </c>
      <c r="D20" s="5">
        <f>1.35+0.85</f>
        <v>2.2000000000000002</v>
      </c>
      <c r="E20" s="29">
        <f t="shared" si="1"/>
        <v>1.7929052619895042E-2</v>
      </c>
      <c r="F20" s="5">
        <f>1.11+0.25</f>
        <v>1.36</v>
      </c>
      <c r="G20" s="29">
        <f t="shared" si="2"/>
        <v>9.8218731091991515E-3</v>
      </c>
      <c r="H20" s="5">
        <f>0.828+0.25</f>
        <v>1.0779999999999998</v>
      </c>
      <c r="I20" s="29">
        <f t="shared" si="2"/>
        <v>7.3132309033258026E-3</v>
      </c>
      <c r="J20" s="5">
        <f>0.5+0.25</f>
        <v>0.75</v>
      </c>
      <c r="K20" s="29">
        <f t="shared" si="3"/>
        <v>4.8205148772658361E-3</v>
      </c>
      <c r="L20" s="5">
        <f>0.45+0.05</f>
        <v>0.5</v>
      </c>
      <c r="M20" s="29">
        <f t="shared" si="4"/>
        <v>3.0977456465831553E-3</v>
      </c>
      <c r="N20" s="5">
        <v>0</v>
      </c>
      <c r="O20" s="29">
        <f t="shared" si="5"/>
        <v>0</v>
      </c>
    </row>
    <row r="21" spans="1:15" ht="18" customHeight="1">
      <c r="A21" s="20" t="s">
        <v>26</v>
      </c>
      <c r="B21" s="21">
        <f>B22+B23</f>
        <v>460.80399999999997</v>
      </c>
      <c r="C21" s="28">
        <f t="shared" si="0"/>
        <v>4.1880688335129852</v>
      </c>
      <c r="D21" s="21">
        <f>D22+D23</f>
        <v>551.98500000000001</v>
      </c>
      <c r="E21" s="28">
        <f t="shared" si="1"/>
        <v>4.4984400501785284</v>
      </c>
      <c r="F21" s="21">
        <f>F22+F23</f>
        <v>737.11900000000003</v>
      </c>
      <c r="G21" s="28">
        <f t="shared" si="2"/>
        <v>5.3234480032204194</v>
      </c>
      <c r="H21" s="21">
        <f>H22+H23</f>
        <v>795.08100000000002</v>
      </c>
      <c r="I21" s="28">
        <f t="shared" si="2"/>
        <v>5.3938876993016551</v>
      </c>
      <c r="J21" s="21">
        <f>J22+J23</f>
        <v>980.577</v>
      </c>
      <c r="K21" s="28">
        <f t="shared" si="3"/>
        <v>6.3025146890729351</v>
      </c>
      <c r="L21" s="21">
        <f>L22+L23</f>
        <v>1039.0029999999999</v>
      </c>
      <c r="M21" s="28">
        <f t="shared" si="4"/>
        <v>6.4371340400736754</v>
      </c>
      <c r="N21" s="21">
        <f>N22+N23</f>
        <v>1169</v>
      </c>
      <c r="O21" s="28">
        <f t="shared" si="5"/>
        <v>7.2298843465891522</v>
      </c>
    </row>
    <row r="22" spans="1:15" ht="18" customHeight="1">
      <c r="A22" s="17" t="s">
        <v>27</v>
      </c>
      <c r="B22" s="5">
        <f>12.465+448.239</f>
        <v>460.70399999999995</v>
      </c>
      <c r="C22" s="29">
        <f t="shared" si="0"/>
        <v>4.18715997229791</v>
      </c>
      <c r="D22" s="5">
        <f>23.31+528.575</f>
        <v>551.88499999999999</v>
      </c>
      <c r="E22" s="29">
        <f t="shared" si="1"/>
        <v>4.4976250932412611</v>
      </c>
      <c r="F22" s="5">
        <f>32.04+704.979</f>
        <v>737.01900000000001</v>
      </c>
      <c r="G22" s="29">
        <f t="shared" si="2"/>
        <v>5.322725806668271</v>
      </c>
      <c r="H22" s="5">
        <f>29.827+765.154</f>
        <v>794.98099999999999</v>
      </c>
      <c r="I22" s="29">
        <f t="shared" si="2"/>
        <v>5.3932092919822372</v>
      </c>
      <c r="J22" s="5">
        <f>32.439+948.032</f>
        <v>980.471</v>
      </c>
      <c r="K22" s="29">
        <f t="shared" si="3"/>
        <v>6.3018333896369487</v>
      </c>
      <c r="L22" s="5">
        <f>29.641+979.312</f>
        <v>1008.953</v>
      </c>
      <c r="M22" s="29">
        <f t="shared" si="4"/>
        <v>6.2509595267140288</v>
      </c>
      <c r="N22" s="5">
        <f>26+1094</f>
        <v>1120</v>
      </c>
      <c r="O22" s="29">
        <f t="shared" si="5"/>
        <v>6.9268353021213436</v>
      </c>
    </row>
    <row r="23" spans="1:15" ht="18" customHeight="1">
      <c r="A23" s="17" t="s">
        <v>28</v>
      </c>
      <c r="B23" s="5">
        <v>0.1</v>
      </c>
      <c r="C23" s="29">
        <f t="shared" si="0"/>
        <v>9.0886121507473576E-4</v>
      </c>
      <c r="D23" s="5">
        <v>0.1</v>
      </c>
      <c r="E23" s="29">
        <f t="shared" si="1"/>
        <v>8.1495693726795632E-4</v>
      </c>
      <c r="F23" s="5">
        <v>0.1</v>
      </c>
      <c r="G23" s="29">
        <f t="shared" si="2"/>
        <v>7.2219655214699645E-4</v>
      </c>
      <c r="H23" s="5">
        <v>0.1</v>
      </c>
      <c r="I23" s="29">
        <f t="shared" si="2"/>
        <v>6.7840731941797808E-4</v>
      </c>
      <c r="J23" s="5">
        <v>0.106</v>
      </c>
      <c r="K23" s="29">
        <f t="shared" si="3"/>
        <v>6.8129943598690479E-4</v>
      </c>
      <c r="L23" s="5">
        <f>30+0.05</f>
        <v>30.05</v>
      </c>
      <c r="M23" s="29">
        <f t="shared" si="4"/>
        <v>0.18617451335964763</v>
      </c>
      <c r="N23" s="5">
        <f>49+0</f>
        <v>49</v>
      </c>
      <c r="O23" s="29">
        <f t="shared" si="5"/>
        <v>0.30304904446780878</v>
      </c>
    </row>
    <row r="24" spans="1:15" ht="20.25" customHeight="1">
      <c r="A24" s="22" t="s">
        <v>29</v>
      </c>
      <c r="B24" s="24">
        <f>B8+B11+B16+B21</f>
        <v>11002.779999999999</v>
      </c>
      <c r="C24" s="30">
        <f t="shared" si="0"/>
        <v>100.00000000000001</v>
      </c>
      <c r="D24" s="24">
        <f>D8+D11+D16+D21</f>
        <v>12270.587</v>
      </c>
      <c r="E24" s="30">
        <f t="shared" si="1"/>
        <v>100</v>
      </c>
      <c r="F24" s="24">
        <f>F8+F11+F16+F21</f>
        <v>13846.646000000001</v>
      </c>
      <c r="G24" s="30">
        <f t="shared" si="2"/>
        <v>100</v>
      </c>
      <c r="H24" s="24">
        <f>H8+H11+H16+H21</f>
        <v>14740.406999999999</v>
      </c>
      <c r="I24" s="30">
        <f t="shared" si="2"/>
        <v>100</v>
      </c>
      <c r="J24" s="24">
        <f>J8+J11+J16+J21</f>
        <v>15558.503999999997</v>
      </c>
      <c r="K24" s="30">
        <f t="shared" si="3"/>
        <v>100</v>
      </c>
      <c r="L24" s="24">
        <f>L8+L11+L16+L21</f>
        <v>16140.770000000002</v>
      </c>
      <c r="M24" s="30">
        <f t="shared" si="4"/>
        <v>100</v>
      </c>
      <c r="N24" s="24">
        <f>N8+N11+N16+N21</f>
        <v>16169</v>
      </c>
      <c r="O24" s="30">
        <f t="shared" si="5"/>
        <v>100</v>
      </c>
    </row>
    <row r="25" spans="1:15">
      <c r="C25" s="31"/>
    </row>
  </sheetData>
  <mergeCells count="1">
    <mergeCell ref="N5:O5"/>
  </mergeCells>
  <phoneticPr fontId="3" type="noConversion"/>
  <pageMargins left="0.39370078740157483" right="0.19685039370078741" top="0.98425196850393704" bottom="0.98425196850393704" header="0.51181102362204722" footer="0.51181102362204722"/>
  <pageSetup paperSize="9" orientation="landscape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5"/>
  <sheetViews>
    <sheetView zoomScale="115" zoomScaleNormal="115" workbookViewId="0">
      <selection activeCell="C8" sqref="C8"/>
    </sheetView>
  </sheetViews>
  <sheetFormatPr defaultColWidth="9" defaultRowHeight="12.95"/>
  <cols>
    <col min="1" max="1" width="26.125" style="1" customWidth="1"/>
    <col min="2" max="2" width="4.625" style="1" customWidth="1"/>
    <col min="3" max="3" width="4.625" style="25" customWidth="1"/>
    <col min="4" max="4" width="5.5" style="1" customWidth="1"/>
    <col min="5" max="5" width="4.5" style="25" customWidth="1"/>
    <col min="6" max="6" width="5.625" style="1" customWidth="1"/>
    <col min="7" max="7" width="4.875" style="25" customWidth="1"/>
    <col min="8" max="8" width="5.25" style="1" customWidth="1"/>
    <col min="9" max="9" width="4.125" style="25" customWidth="1"/>
    <col min="10" max="10" width="5.625" style="1" customWidth="1"/>
    <col min="11" max="11" width="5" style="1" customWidth="1"/>
    <col min="12" max="12" width="5.625" style="1" customWidth="1"/>
    <col min="13" max="13" width="5" style="1" customWidth="1"/>
    <col min="14" max="14" width="6.375" style="1" customWidth="1"/>
    <col min="15" max="15" width="4.25" style="1" bestFit="1" customWidth="1"/>
    <col min="16" max="16384" width="9" style="1"/>
  </cols>
  <sheetData>
    <row r="1" spans="1:15" ht="18.75" customHeight="1">
      <c r="A1" s="8" t="s">
        <v>30</v>
      </c>
    </row>
    <row r="2" spans="1:15" ht="15.6">
      <c r="A2" s="34" t="s">
        <v>1</v>
      </c>
    </row>
    <row r="3" spans="1:15">
      <c r="A3" s="3" t="s">
        <v>2</v>
      </c>
    </row>
    <row r="4" spans="1:15">
      <c r="A4" s="3"/>
    </row>
    <row r="5" spans="1:15" ht="14.25" customHeight="1">
      <c r="A5" s="12" t="s">
        <v>3</v>
      </c>
      <c r="B5" s="15" t="s">
        <v>31</v>
      </c>
      <c r="C5" s="26"/>
      <c r="D5" s="15" t="s">
        <v>32</v>
      </c>
      <c r="E5" s="26"/>
      <c r="F5" s="15" t="s">
        <v>33</v>
      </c>
      <c r="G5" s="26"/>
      <c r="H5" s="15" t="s">
        <v>34</v>
      </c>
      <c r="I5" s="26"/>
      <c r="J5" s="15" t="s">
        <v>35</v>
      </c>
      <c r="K5" s="26"/>
      <c r="L5" s="15" t="s">
        <v>36</v>
      </c>
      <c r="M5" s="26"/>
      <c r="N5" s="44" t="s">
        <v>10</v>
      </c>
      <c r="O5" s="45"/>
    </row>
    <row r="6" spans="1:15" ht="14.25" customHeight="1">
      <c r="A6" s="41"/>
      <c r="B6" s="42" t="s">
        <v>11</v>
      </c>
      <c r="C6" s="43" t="s">
        <v>12</v>
      </c>
      <c r="D6" s="42" t="s">
        <v>11</v>
      </c>
      <c r="E6" s="43" t="s">
        <v>12</v>
      </c>
      <c r="F6" s="42" t="s">
        <v>11</v>
      </c>
      <c r="G6" s="43" t="s">
        <v>12</v>
      </c>
      <c r="H6" s="42" t="s">
        <v>11</v>
      </c>
      <c r="I6" s="43" t="s">
        <v>12</v>
      </c>
      <c r="J6" s="42" t="s">
        <v>11</v>
      </c>
      <c r="K6" s="43" t="s">
        <v>12</v>
      </c>
      <c r="L6" s="42" t="s">
        <v>11</v>
      </c>
      <c r="M6" s="43" t="s">
        <v>12</v>
      </c>
      <c r="N6" s="42" t="s">
        <v>11</v>
      </c>
      <c r="O6" s="43" t="s">
        <v>12</v>
      </c>
    </row>
    <row r="7" spans="1:15" ht="9.75" customHeight="1">
      <c r="A7" s="35"/>
      <c r="B7" s="19"/>
      <c r="C7" s="27"/>
      <c r="D7" s="19"/>
      <c r="E7" s="27"/>
      <c r="F7" s="19"/>
      <c r="G7" s="27"/>
      <c r="H7" s="19"/>
      <c r="I7" s="27"/>
      <c r="J7" s="19"/>
      <c r="K7" s="27"/>
      <c r="L7" s="19"/>
      <c r="M7" s="27"/>
      <c r="N7" s="19"/>
      <c r="O7" s="27"/>
    </row>
    <row r="8" spans="1:15" ht="18.75" customHeight="1">
      <c r="A8" s="36" t="s">
        <v>13</v>
      </c>
      <c r="B8" s="21">
        <f>B9+B10</f>
        <v>0.29999999999995453</v>
      </c>
      <c r="C8" s="28">
        <f t="shared" ref="C8:C24" si="0">100*B8/B$24</f>
        <v>1.2006723765306758E-2</v>
      </c>
      <c r="D8" s="21">
        <f>D9+D10</f>
        <v>40</v>
      </c>
      <c r="E8" s="28">
        <f t="shared" ref="E8:E24" si="1">100*D8/D$24</f>
        <v>1.456892375717975</v>
      </c>
      <c r="F8" s="21">
        <f>F9+F10</f>
        <v>40</v>
      </c>
      <c r="G8" s="28">
        <f t="shared" ref="G8:I24" si="2">100*F8/F$24</f>
        <v>1.3729446161006589</v>
      </c>
      <c r="H8" s="21">
        <f>H9+H10</f>
        <v>75</v>
      </c>
      <c r="I8" s="28">
        <f t="shared" si="2"/>
        <v>2.5007285455829469</v>
      </c>
      <c r="J8" s="21">
        <f>J9+J10</f>
        <v>50</v>
      </c>
      <c r="K8" s="28">
        <f t="shared" ref="K8:K24" si="3">100*J8/J$24</f>
        <v>1.6411188229108065</v>
      </c>
      <c r="L8" s="21">
        <f>L9+L10</f>
        <v>32</v>
      </c>
      <c r="M8" s="28">
        <f t="shared" ref="M8:M24" si="4">100*L8/L$24</f>
        <v>1.0075598474806278</v>
      </c>
      <c r="N8" s="21">
        <f>N9+N10</f>
        <v>1</v>
      </c>
      <c r="O8" s="28">
        <f t="shared" ref="O8:O24" si="5">100*N8/N$24</f>
        <v>2.8868360277136258E-2</v>
      </c>
    </row>
    <row r="9" spans="1:15" ht="18.75" customHeight="1">
      <c r="A9" s="35" t="s">
        <v>37</v>
      </c>
      <c r="B9" s="5">
        <f>'Kommuner och samkommuner'!Z9-Kunnat!B9</f>
        <v>0.29999999999995453</v>
      </c>
      <c r="C9" s="29">
        <f t="shared" si="0"/>
        <v>1.2006723765306758E-2</v>
      </c>
      <c r="D9" s="5">
        <v>40</v>
      </c>
      <c r="E9" s="29">
        <f t="shared" si="1"/>
        <v>1.456892375717975</v>
      </c>
      <c r="F9" s="5">
        <v>40</v>
      </c>
      <c r="G9" s="29">
        <f t="shared" si="2"/>
        <v>1.3729446161006589</v>
      </c>
      <c r="H9" s="5">
        <v>75</v>
      </c>
      <c r="I9" s="29">
        <f t="shared" si="2"/>
        <v>2.5007285455829469</v>
      </c>
      <c r="J9" s="5">
        <v>50</v>
      </c>
      <c r="K9" s="29">
        <f t="shared" si="3"/>
        <v>1.6411188229108065</v>
      </c>
      <c r="L9" s="5">
        <v>32</v>
      </c>
      <c r="M9" s="29">
        <f t="shared" si="4"/>
        <v>1.0075598474806278</v>
      </c>
      <c r="N9" s="5">
        <v>1</v>
      </c>
      <c r="O9" s="29">
        <f t="shared" si="5"/>
        <v>2.8868360277136258E-2</v>
      </c>
    </row>
    <row r="10" spans="1:15" ht="18.75" customHeight="1">
      <c r="A10" s="35" t="s">
        <v>38</v>
      </c>
      <c r="B10" s="5">
        <f>'Kommuner och samkommuner'!Z10-Kunnat!B10</f>
        <v>0</v>
      </c>
      <c r="C10" s="29">
        <f t="shared" si="0"/>
        <v>0</v>
      </c>
      <c r="D10" s="5">
        <f>'Kommuner och samkommuner'!AB10-Kunnat!D10</f>
        <v>0</v>
      </c>
      <c r="E10" s="29">
        <f t="shared" si="1"/>
        <v>0</v>
      </c>
      <c r="F10" s="5">
        <f>'Kommuner och samkommuner'!AD10-Kunnat!F10</f>
        <v>0</v>
      </c>
      <c r="G10" s="29">
        <f t="shared" si="2"/>
        <v>0</v>
      </c>
      <c r="H10" s="5">
        <f>'Kommuner och samkommuner'!AF10-Kunnat!H10</f>
        <v>0</v>
      </c>
      <c r="I10" s="29">
        <f t="shared" si="2"/>
        <v>0</v>
      </c>
      <c r="J10" s="5">
        <f>'Kommuner och samkommuner'!AH10-Kunnat!J10</f>
        <v>0</v>
      </c>
      <c r="K10" s="29">
        <f t="shared" si="3"/>
        <v>0</v>
      </c>
      <c r="L10" s="5">
        <f>'Kommuner och samkommuner'!AJ10-Kunnat!L10</f>
        <v>0</v>
      </c>
      <c r="M10" s="29">
        <f t="shared" si="4"/>
        <v>0</v>
      </c>
      <c r="N10" s="5">
        <v>0</v>
      </c>
      <c r="O10" s="29">
        <f t="shared" si="5"/>
        <v>0</v>
      </c>
    </row>
    <row r="11" spans="1:15" ht="18.75" customHeight="1">
      <c r="A11" s="36" t="s">
        <v>16</v>
      </c>
      <c r="B11" s="21">
        <f>B12+B13+B14+B15</f>
        <v>1191.2669999999994</v>
      </c>
      <c r="C11" s="28">
        <f t="shared" si="0"/>
        <v>47.677379332426156</v>
      </c>
      <c r="D11" s="21">
        <f>D12+D13+D14+D15</f>
        <v>1394.37</v>
      </c>
      <c r="E11" s="28">
        <f t="shared" si="1"/>
        <v>50.786175548246817</v>
      </c>
      <c r="F11" s="21">
        <f>F12+F13+F14+F15</f>
        <v>1568.7080000000001</v>
      </c>
      <c r="G11" s="28">
        <f t="shared" si="2"/>
        <v>53.843730070850818</v>
      </c>
      <c r="H11" s="21">
        <f>H12+H13+H14+H15</f>
        <v>1619.298</v>
      </c>
      <c r="I11" s="28">
        <f t="shared" si="2"/>
        <v>53.992329765404989</v>
      </c>
      <c r="J11" s="21">
        <f>J12+J13+J14+J15</f>
        <v>1706.819</v>
      </c>
      <c r="K11" s="28">
        <f t="shared" si="3"/>
        <v>56.02185576403599</v>
      </c>
      <c r="L11" s="21">
        <f>L12+L13+L14+L15</f>
        <v>1825.9070000000002</v>
      </c>
      <c r="M11" s="28">
        <f t="shared" si="4"/>
        <v>57.490955576056592</v>
      </c>
      <c r="N11" s="21">
        <f>N12+N13+N14+N15</f>
        <v>2146</v>
      </c>
      <c r="O11" s="28">
        <f t="shared" si="5"/>
        <v>61.951501154734409</v>
      </c>
    </row>
    <row r="12" spans="1:15" ht="18.75" customHeight="1">
      <c r="A12" s="35" t="s">
        <v>39</v>
      </c>
      <c r="B12" s="5">
        <f>'Kommuner och samkommuner'!Z12-Kunnat!B12</f>
        <v>276.47399999999971</v>
      </c>
      <c r="C12" s="29">
        <f t="shared" si="0"/>
        <v>11.065156487633068</v>
      </c>
      <c r="D12" s="5">
        <f>218.459+84.49</f>
        <v>302.94900000000001</v>
      </c>
      <c r="E12" s="29">
        <f t="shared" si="1"/>
        <v>11.034102208284621</v>
      </c>
      <c r="F12" s="5">
        <f>209.73+113.629</f>
        <v>323.35899999999998</v>
      </c>
      <c r="G12" s="29">
        <f t="shared" si="2"/>
        <v>11.098849952942324</v>
      </c>
      <c r="H12" s="5">
        <f>227.854+95.301</f>
        <v>323.15500000000003</v>
      </c>
      <c r="I12" s="29">
        <f t="shared" si="2"/>
        <v>10.77497244197143</v>
      </c>
      <c r="J12" s="5">
        <f>206.362+61.178</f>
        <v>267.53999999999996</v>
      </c>
      <c r="K12" s="29">
        <f t="shared" si="3"/>
        <v>8.7812985976311424</v>
      </c>
      <c r="L12" s="5">
        <f>186.908+63.185</f>
        <v>250.09299999999999</v>
      </c>
      <c r="M12" s="29">
        <f t="shared" si="4"/>
        <v>7.8744895292491455</v>
      </c>
      <c r="N12" s="5">
        <f>209+79</f>
        <v>288</v>
      </c>
      <c r="O12" s="29">
        <f t="shared" si="5"/>
        <v>8.3140877598152425</v>
      </c>
    </row>
    <row r="13" spans="1:15" ht="18.75" customHeight="1">
      <c r="A13" s="35" t="s">
        <v>40</v>
      </c>
      <c r="B13" s="5">
        <f>'Kommuner och samkommuner'!Z13-Kunnat!B13</f>
        <v>608.71199999999953</v>
      </c>
      <c r="C13" s="29">
        <f t="shared" si="0"/>
        <v>24.362122788761699</v>
      </c>
      <c r="D13" s="5">
        <f>660.426+104.154</f>
        <v>764.58</v>
      </c>
      <c r="E13" s="29">
        <f t="shared" si="1"/>
        <v>27.847769315661232</v>
      </c>
      <c r="F13" s="5">
        <f>778.211+109.753</f>
        <v>887.96400000000006</v>
      </c>
      <c r="G13" s="29">
        <f t="shared" si="2"/>
        <v>30.47813482728014</v>
      </c>
      <c r="H13" s="5">
        <f>773.809+127.205</f>
        <v>901.01400000000001</v>
      </c>
      <c r="I13" s="29">
        <f t="shared" si="2"/>
        <v>30.04255239693164</v>
      </c>
      <c r="J13" s="5">
        <f>716.351+152.758</f>
        <v>869.10900000000004</v>
      </c>
      <c r="K13" s="29">
        <f t="shared" si="3"/>
        <v>28.526222781223762</v>
      </c>
      <c r="L13" s="5">
        <f>734.814+142.387</f>
        <v>877.20100000000002</v>
      </c>
      <c r="M13" s="29">
        <f t="shared" si="4"/>
        <v>27.619765805307946</v>
      </c>
      <c r="N13" s="5">
        <f>772+104</f>
        <v>876</v>
      </c>
      <c r="O13" s="29">
        <f t="shared" si="5"/>
        <v>25.288683602771364</v>
      </c>
    </row>
    <row r="14" spans="1:15" ht="18.75" customHeight="1">
      <c r="A14" s="35" t="s">
        <v>41</v>
      </c>
      <c r="B14" s="5">
        <f>'Kommuner och samkommuner'!Z14-Kunnat!B14</f>
        <v>10.640999999999991</v>
      </c>
      <c r="C14" s="29">
        <f t="shared" si="0"/>
        <v>0.42587849195549482</v>
      </c>
      <c r="D14" s="5">
        <f>6.039+5.445</f>
        <v>11.484</v>
      </c>
      <c r="E14" s="29">
        <f t="shared" si="1"/>
        <v>0.41827380106863066</v>
      </c>
      <c r="F14" s="5">
        <f>29.96+6.384</f>
        <v>36.344000000000001</v>
      </c>
      <c r="G14" s="29">
        <f t="shared" si="2"/>
        <v>1.2474574781890586</v>
      </c>
      <c r="H14" s="5">
        <f>28.024+3.346</f>
        <v>31.37</v>
      </c>
      <c r="I14" s="29">
        <f t="shared" si="2"/>
        <v>1.0459713929991605</v>
      </c>
      <c r="J14" s="5">
        <f>54.378+20.303</f>
        <v>74.680999999999997</v>
      </c>
      <c r="K14" s="29">
        <f t="shared" si="3"/>
        <v>2.4512078962760384</v>
      </c>
      <c r="L14" s="5">
        <f>41.775+24.12</f>
        <v>65.894999999999996</v>
      </c>
      <c r="M14" s="29">
        <f t="shared" si="4"/>
        <v>2.0747861296792491</v>
      </c>
      <c r="N14" s="5">
        <f>32+30</f>
        <v>62</v>
      </c>
      <c r="O14" s="29">
        <f t="shared" si="5"/>
        <v>1.789838337182448</v>
      </c>
    </row>
    <row r="15" spans="1:15" ht="18.75" customHeight="1">
      <c r="A15" s="35" t="s">
        <v>42</v>
      </c>
      <c r="B15" s="5">
        <f>'Kommuner och samkommuner'!Z15-Kunnat!B15</f>
        <v>295.44000000000005</v>
      </c>
      <c r="C15" s="29">
        <f t="shared" si="0"/>
        <v>11.82422156407589</v>
      </c>
      <c r="D15" s="5">
        <f>297.042+18.315</f>
        <v>315.35699999999997</v>
      </c>
      <c r="E15" s="29">
        <f t="shared" si="1"/>
        <v>11.486030223232335</v>
      </c>
      <c r="F15" s="5">
        <f>303.759+17.282</f>
        <v>321.041</v>
      </c>
      <c r="G15" s="29">
        <f t="shared" si="2"/>
        <v>11.019287812439289</v>
      </c>
      <c r="H15" s="5">
        <f>347.73+16.029</f>
        <v>363.75900000000001</v>
      </c>
      <c r="I15" s="29">
        <f t="shared" si="2"/>
        <v>12.128833533502762</v>
      </c>
      <c r="J15" s="5">
        <f>475.739+19.75</f>
        <v>495.48899999999998</v>
      </c>
      <c r="K15" s="29">
        <f t="shared" si="3"/>
        <v>16.263126488905048</v>
      </c>
      <c r="L15" s="5">
        <f>611.043+21.675</f>
        <v>632.71799999999996</v>
      </c>
      <c r="M15" s="29">
        <f t="shared" si="4"/>
        <v>19.921914111820247</v>
      </c>
      <c r="N15" s="5">
        <f>896+24</f>
        <v>920</v>
      </c>
      <c r="O15" s="29">
        <f t="shared" si="5"/>
        <v>26.558891454965359</v>
      </c>
    </row>
    <row r="16" spans="1:15" ht="18.75" customHeight="1">
      <c r="A16" s="36" t="s">
        <v>21</v>
      </c>
      <c r="B16" s="21">
        <f>B17+B18+B19+B20</f>
        <v>1268.3329999999999</v>
      </c>
      <c r="C16" s="28">
        <f t="shared" si="0"/>
        <v>50.761746578083745</v>
      </c>
      <c r="D16" s="21">
        <f>D17+D18+D19+D20</f>
        <v>1264.73</v>
      </c>
      <c r="E16" s="28">
        <f t="shared" si="1"/>
        <v>46.064387358544863</v>
      </c>
      <c r="F16" s="21">
        <f>F17+F18+F19+F20</f>
        <v>1257.607</v>
      </c>
      <c r="G16" s="28">
        <f t="shared" si="2"/>
        <v>43.165618995512531</v>
      </c>
      <c r="H16" s="21">
        <f>H17+H18+H19+H20</f>
        <v>1252.4659999999997</v>
      </c>
      <c r="I16" s="28">
        <f t="shared" si="2"/>
        <v>41.761033047627869</v>
      </c>
      <c r="J16" s="21">
        <f>J17+J18+J19+J20</f>
        <v>1250.1600000000001</v>
      </c>
      <c r="K16" s="28">
        <f t="shared" si="3"/>
        <v>41.033222153003479</v>
      </c>
      <c r="L16" s="21">
        <f>L17+L18+L19+L20</f>
        <v>1252.0110000000002</v>
      </c>
      <c r="M16" s="28">
        <f t="shared" si="4"/>
        <v>39.421125381377145</v>
      </c>
      <c r="N16" s="21">
        <f>N17+N18+N19+N20</f>
        <v>1249</v>
      </c>
      <c r="O16" s="28">
        <f t="shared" si="5"/>
        <v>36.056581986143186</v>
      </c>
    </row>
    <row r="17" spans="1:15" ht="18.75" customHeight="1">
      <c r="A17" s="35" t="s">
        <v>22</v>
      </c>
      <c r="B17" s="5">
        <f>'Kommuner och samkommuner'!Z17-Kunnat!B17</f>
        <v>2.0919999999999987</v>
      </c>
      <c r="C17" s="29">
        <f t="shared" si="0"/>
        <v>8.372688705675177E-2</v>
      </c>
      <c r="D17" s="5">
        <f>3.754+0.027</f>
        <v>3.7810000000000001</v>
      </c>
      <c r="E17" s="29">
        <f t="shared" si="1"/>
        <v>0.1377127518147416</v>
      </c>
      <c r="F17" s="5">
        <f>4.324+0.397</f>
        <v>4.7210000000000001</v>
      </c>
      <c r="G17" s="29">
        <f t="shared" si="2"/>
        <v>0.16204178831528027</v>
      </c>
      <c r="H17" s="5">
        <f>1.967+0.104</f>
        <v>2.0710000000000002</v>
      </c>
      <c r="I17" s="29">
        <f t="shared" si="2"/>
        <v>6.9053450905363772E-2</v>
      </c>
      <c r="J17" s="5">
        <f>2.476+0.149</f>
        <v>2.625</v>
      </c>
      <c r="K17" s="29">
        <f t="shared" si="3"/>
        <v>8.6158738202817331E-2</v>
      </c>
      <c r="L17" s="5">
        <f>2.323+0.153</f>
        <v>2.476</v>
      </c>
      <c r="M17" s="29">
        <f t="shared" si="4"/>
        <v>7.795994319881358E-2</v>
      </c>
      <c r="N17" s="5">
        <f>2+0</f>
        <v>2</v>
      </c>
      <c r="O17" s="29">
        <f t="shared" si="5"/>
        <v>5.7736720554272515E-2</v>
      </c>
    </row>
    <row r="18" spans="1:15" ht="18.75" customHeight="1">
      <c r="A18" s="35" t="s">
        <v>23</v>
      </c>
      <c r="B18" s="5">
        <f>'Kommuner och samkommuner'!Z18-Kunnat!B18</f>
        <v>1196.6229999999998</v>
      </c>
      <c r="C18" s="29">
        <f t="shared" si="0"/>
        <v>47.891739374049479</v>
      </c>
      <c r="D18" s="5">
        <f>1195.757+1.357</f>
        <v>1197.114</v>
      </c>
      <c r="E18" s="29">
        <f t="shared" si="1"/>
        <v>43.6016564866312</v>
      </c>
      <c r="F18" s="5">
        <f>1193.333+0.513</f>
        <v>1193.846</v>
      </c>
      <c r="G18" s="29">
        <f t="shared" si="2"/>
        <v>40.977110953832678</v>
      </c>
      <c r="H18" s="5">
        <f>1193.926+0.716</f>
        <v>1194.6419999999998</v>
      </c>
      <c r="I18" s="29">
        <f t="shared" si="2"/>
        <v>39.833004682030698</v>
      </c>
      <c r="J18" s="5">
        <f>1193.932+1.771</f>
        <v>1195.703</v>
      </c>
      <c r="K18" s="29">
        <f t="shared" si="3"/>
        <v>39.245813998218402</v>
      </c>
      <c r="L18" s="5">
        <f>1203.086+0.183</f>
        <v>1203.269</v>
      </c>
      <c r="M18" s="29">
        <f t="shared" si="4"/>
        <v>37.886422816192734</v>
      </c>
      <c r="N18" s="5">
        <f>1203+2</f>
        <v>1205</v>
      </c>
      <c r="O18" s="29">
        <f t="shared" si="5"/>
        <v>34.786374133949195</v>
      </c>
    </row>
    <row r="19" spans="1:15" ht="18.75" customHeight="1">
      <c r="A19" s="35" t="s">
        <v>24</v>
      </c>
      <c r="B19" s="5">
        <f>'Kommuner och samkommuner'!Z19-Kunnat!B19</f>
        <v>69.617999999999995</v>
      </c>
      <c r="C19" s="29">
        <f t="shared" si="0"/>
        <v>2.7862803169775083</v>
      </c>
      <c r="D19" s="5">
        <f>59.38+4.455</f>
        <v>63.835000000000001</v>
      </c>
      <c r="E19" s="29">
        <f t="shared" si="1"/>
        <v>2.3250181200989233</v>
      </c>
      <c r="F19" s="5">
        <f>54.744+4.296</f>
        <v>59.04</v>
      </c>
      <c r="G19" s="29">
        <f t="shared" si="2"/>
        <v>2.0264662533645725</v>
      </c>
      <c r="H19" s="5">
        <f>51.831+3.922</f>
        <v>55.753</v>
      </c>
      <c r="I19" s="29">
        <f t="shared" si="2"/>
        <v>1.8589749146918138</v>
      </c>
      <c r="J19" s="5">
        <f>48.202+3.63</f>
        <v>51.832000000000001</v>
      </c>
      <c r="K19" s="29">
        <f t="shared" si="3"/>
        <v>1.7012494165822583</v>
      </c>
      <c r="L19" s="5">
        <f>42.086+4.18</f>
        <v>46.265999999999998</v>
      </c>
      <c r="M19" s="29">
        <f t="shared" si="4"/>
        <v>1.456742621985585</v>
      </c>
      <c r="N19" s="5">
        <f>39+3</f>
        <v>42</v>
      </c>
      <c r="O19" s="29">
        <f t="shared" si="5"/>
        <v>1.2124711316397228</v>
      </c>
    </row>
    <row r="20" spans="1:15" ht="18.75" customHeight="1">
      <c r="A20" s="35" t="s">
        <v>25</v>
      </c>
      <c r="B20" s="5">
        <f>'Kommuner och samkommuner'!Z20-Kunnat!B20</f>
        <v>0</v>
      </c>
      <c r="C20" s="29">
        <f t="shared" si="0"/>
        <v>0</v>
      </c>
      <c r="D20" s="5">
        <f>0</f>
        <v>0</v>
      </c>
      <c r="E20" s="29">
        <f t="shared" si="1"/>
        <v>0</v>
      </c>
      <c r="F20" s="5">
        <f>0</f>
        <v>0</v>
      </c>
      <c r="G20" s="29">
        <f t="shared" si="2"/>
        <v>0</v>
      </c>
      <c r="H20" s="5">
        <f>0</f>
        <v>0</v>
      </c>
      <c r="I20" s="29">
        <f t="shared" si="2"/>
        <v>0</v>
      </c>
      <c r="J20" s="5">
        <f>0</f>
        <v>0</v>
      </c>
      <c r="K20" s="29">
        <f t="shared" si="3"/>
        <v>0</v>
      </c>
      <c r="L20" s="5">
        <f>0</f>
        <v>0</v>
      </c>
      <c r="M20" s="29">
        <f t="shared" si="4"/>
        <v>0</v>
      </c>
      <c r="N20" s="5">
        <v>0</v>
      </c>
      <c r="O20" s="29">
        <f t="shared" si="5"/>
        <v>0</v>
      </c>
    </row>
    <row r="21" spans="1:15" ht="18.75" customHeight="1">
      <c r="A21" s="36" t="s">
        <v>26</v>
      </c>
      <c r="B21" s="21">
        <f>B22+B23</f>
        <v>38.699999999999989</v>
      </c>
      <c r="C21" s="28">
        <f t="shared" si="0"/>
        <v>1.5488673657248062</v>
      </c>
      <c r="D21" s="21">
        <f>D22+D23</f>
        <v>46.47</v>
      </c>
      <c r="E21" s="28">
        <f t="shared" si="1"/>
        <v>1.6925447174903574</v>
      </c>
      <c r="F21" s="21">
        <f>F22+F23</f>
        <v>47.131</v>
      </c>
      <c r="G21" s="28">
        <f t="shared" si="2"/>
        <v>1.617706317536004</v>
      </c>
      <c r="H21" s="21">
        <f>H22+H23</f>
        <v>52.362000000000002</v>
      </c>
      <c r="I21" s="28">
        <f t="shared" si="2"/>
        <v>1.74590864138419</v>
      </c>
      <c r="J21" s="21">
        <f>J22+J23</f>
        <v>39.722999999999999</v>
      </c>
      <c r="K21" s="28">
        <f t="shared" si="3"/>
        <v>1.3038032600497191</v>
      </c>
      <c r="L21" s="21">
        <f>L22+L23</f>
        <v>66.072000000000003</v>
      </c>
      <c r="M21" s="28">
        <f t="shared" si="4"/>
        <v>2.0803591950856268</v>
      </c>
      <c r="N21" s="21">
        <f>N22+N23</f>
        <v>68</v>
      </c>
      <c r="O21" s="28">
        <f t="shared" si="5"/>
        <v>1.9630484988452657</v>
      </c>
    </row>
    <row r="22" spans="1:15" ht="18.75" customHeight="1">
      <c r="A22" s="35" t="s">
        <v>27</v>
      </c>
      <c r="B22" s="5">
        <f>'Kommuner och samkommuner'!Z22-Kunnat!B22</f>
        <v>38.699999999999989</v>
      </c>
      <c r="C22" s="29">
        <f t="shared" si="0"/>
        <v>1.5488673657248062</v>
      </c>
      <c r="D22" s="5">
        <f>3.774+42.696</f>
        <v>46.47</v>
      </c>
      <c r="E22" s="29">
        <f t="shared" si="1"/>
        <v>1.6925447174903574</v>
      </c>
      <c r="F22" s="5">
        <f>4.194+42.937</f>
        <v>47.131</v>
      </c>
      <c r="G22" s="29">
        <f t="shared" si="2"/>
        <v>1.617706317536004</v>
      </c>
      <c r="H22" s="5">
        <f>4.536+47.826</f>
        <v>52.362000000000002</v>
      </c>
      <c r="I22" s="29">
        <f t="shared" si="2"/>
        <v>1.74590864138419</v>
      </c>
      <c r="J22" s="5">
        <f>4.898+34.825</f>
        <v>39.722999999999999</v>
      </c>
      <c r="K22" s="29">
        <f t="shared" si="3"/>
        <v>1.3038032600497191</v>
      </c>
      <c r="L22" s="5">
        <f>5.298+60.774</f>
        <v>66.072000000000003</v>
      </c>
      <c r="M22" s="29">
        <f t="shared" si="4"/>
        <v>2.0803591950856268</v>
      </c>
      <c r="N22" s="5">
        <f>5+63</f>
        <v>68</v>
      </c>
      <c r="O22" s="29">
        <f t="shared" si="5"/>
        <v>1.9630484988452657</v>
      </c>
    </row>
    <row r="23" spans="1:15" ht="18.75" customHeight="1">
      <c r="A23" s="35" t="s">
        <v>28</v>
      </c>
      <c r="B23" s="5">
        <f>'Kommuner och samkommuner'!Z23-Kunnat!B23</f>
        <v>0</v>
      </c>
      <c r="C23" s="29">
        <f t="shared" si="0"/>
        <v>0</v>
      </c>
      <c r="D23" s="5">
        <v>0</v>
      </c>
      <c r="E23" s="29">
        <f t="shared" si="1"/>
        <v>0</v>
      </c>
      <c r="F23" s="5">
        <v>0</v>
      </c>
      <c r="G23" s="29">
        <f t="shared" si="2"/>
        <v>0</v>
      </c>
      <c r="H23" s="5">
        <v>0</v>
      </c>
      <c r="I23" s="29">
        <f t="shared" si="2"/>
        <v>0</v>
      </c>
      <c r="J23" s="5">
        <v>0</v>
      </c>
      <c r="K23" s="29">
        <f t="shared" si="3"/>
        <v>0</v>
      </c>
      <c r="L23" s="5">
        <v>0</v>
      </c>
      <c r="M23" s="29">
        <f t="shared" si="4"/>
        <v>0</v>
      </c>
      <c r="N23" s="5">
        <f>0+0</f>
        <v>0</v>
      </c>
      <c r="O23" s="29">
        <f t="shared" si="5"/>
        <v>0</v>
      </c>
    </row>
    <row r="24" spans="1:15" ht="19.5" customHeight="1">
      <c r="A24" s="37" t="s">
        <v>29</v>
      </c>
      <c r="B24" s="24">
        <f>B8+B11+B16+B21</f>
        <v>2498.599999999999</v>
      </c>
      <c r="C24" s="30">
        <f t="shared" si="0"/>
        <v>100</v>
      </c>
      <c r="D24" s="24">
        <f>D8+D11+D16+D21</f>
        <v>2745.5699999999997</v>
      </c>
      <c r="E24" s="30">
        <f t="shared" si="1"/>
        <v>100.00000000000001</v>
      </c>
      <c r="F24" s="24">
        <f>F8+F11+F16+F21</f>
        <v>2913.4459999999999</v>
      </c>
      <c r="G24" s="30">
        <f t="shared" si="2"/>
        <v>100</v>
      </c>
      <c r="H24" s="24">
        <f>H8+H11+H16+H21</f>
        <v>2999.1259999999997</v>
      </c>
      <c r="I24" s="30">
        <f t="shared" si="2"/>
        <v>100</v>
      </c>
      <c r="J24" s="24">
        <f>J8+J11+J16+J21</f>
        <v>3046.7020000000002</v>
      </c>
      <c r="K24" s="30">
        <f t="shared" si="3"/>
        <v>100</v>
      </c>
      <c r="L24" s="24">
        <f>L8+L11+L16+L21</f>
        <v>3175.9900000000007</v>
      </c>
      <c r="M24" s="30">
        <f t="shared" si="4"/>
        <v>100</v>
      </c>
      <c r="N24" s="24">
        <f>N8+N11+N16+N21</f>
        <v>3464</v>
      </c>
      <c r="O24" s="30">
        <f t="shared" si="5"/>
        <v>100</v>
      </c>
    </row>
    <row r="25" spans="1:15">
      <c r="A25" s="4"/>
    </row>
  </sheetData>
  <mergeCells count="1">
    <mergeCell ref="N5:O5"/>
  </mergeCells>
  <pageMargins left="0.39370078740157483" right="0.1968503937007874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28"/>
  <sheetViews>
    <sheetView tabSelected="1" topLeftCell="A4" zoomScale="115" zoomScaleNormal="115" workbookViewId="0">
      <pane xSplit="1" ySplit="2" topLeftCell="B6" activePane="bottomRight" state="frozen"/>
      <selection pane="bottomRight" activeCell="A4" sqref="A4"/>
      <selection pane="bottomLeft" activeCell="A6" sqref="A6"/>
      <selection pane="topRight" activeCell="B4" sqref="B4"/>
    </sheetView>
  </sheetViews>
  <sheetFormatPr defaultColWidth="9" defaultRowHeight="12.95"/>
  <cols>
    <col min="1" max="1" width="34.125" style="1" customWidth="1"/>
    <col min="2" max="2" width="4.75" style="1" customWidth="1"/>
    <col min="3" max="3" width="5.375" style="25" customWidth="1"/>
    <col min="4" max="4" width="5.375" style="1" customWidth="1"/>
    <col min="5" max="5" width="5.375" style="25" customWidth="1"/>
    <col min="6" max="6" width="5.375" style="1" hidden="1" customWidth="1"/>
    <col min="7" max="7" width="4.25" style="1" hidden="1" customWidth="1"/>
    <col min="8" max="8" width="4.625" style="1" hidden="1" customWidth="1"/>
    <col min="9" max="9" width="4.125" style="1" hidden="1" customWidth="1"/>
    <col min="10" max="10" width="4.625" style="1" hidden="1" customWidth="1"/>
    <col min="11" max="11" width="4.25" style="1" hidden="1" customWidth="1"/>
    <col min="12" max="12" width="4.625" style="1" hidden="1" customWidth="1"/>
    <col min="13" max="13" width="4.25" style="1" hidden="1" customWidth="1"/>
    <col min="14" max="14" width="4.625" style="1" customWidth="1"/>
    <col min="15" max="15" width="4.75" style="25" customWidth="1"/>
    <col min="16" max="16" width="4.625" style="1" hidden="1" customWidth="1"/>
    <col min="17" max="17" width="4.75" style="25" hidden="1" customWidth="1"/>
    <col min="18" max="18" width="4.625" style="1" hidden="1" customWidth="1"/>
    <col min="19" max="19" width="4.625" style="25" hidden="1" customWidth="1"/>
    <col min="20" max="20" width="4.625" style="1" hidden="1" customWidth="1"/>
    <col min="21" max="21" width="4.5" style="25" hidden="1" customWidth="1"/>
    <col min="22" max="22" width="5.5" style="1" hidden="1" customWidth="1"/>
    <col min="23" max="23" width="4.875" style="25" hidden="1" customWidth="1"/>
    <col min="24" max="24" width="7.625" style="1" customWidth="1"/>
    <col min="25" max="25" width="4" style="25" customWidth="1"/>
    <col min="26" max="26" width="5.625" style="1" customWidth="1"/>
    <col min="27" max="27" width="5" style="25" customWidth="1"/>
    <col min="28" max="28" width="5.625" style="1" customWidth="1"/>
    <col min="29" max="29" width="4.5" style="25" customWidth="1"/>
    <col min="30" max="30" width="5.625" style="1" customWidth="1"/>
    <col min="31" max="31" width="4.5" style="25" customWidth="1"/>
    <col min="32" max="32" width="5.625" style="1" customWidth="1"/>
    <col min="33" max="33" width="4.625" style="1" customWidth="1"/>
    <col min="34" max="34" width="5.875" style="1" customWidth="1"/>
    <col min="35" max="35" width="4.375" style="1" customWidth="1"/>
    <col min="36" max="36" width="5.875" style="1" customWidth="1"/>
    <col min="37" max="37" width="4.75" style="1" bestFit="1" customWidth="1"/>
    <col min="38" max="38" width="6.875" style="1" bestFit="1" customWidth="1"/>
    <col min="39" max="39" width="6.125" style="1" customWidth="1"/>
    <col min="40" max="43" width="6.25" style="1" customWidth="1"/>
    <col min="44" max="44" width="6.125" style="1" customWidth="1"/>
    <col min="45" max="45" width="6.25" style="1" customWidth="1"/>
    <col min="46" max="16384" width="9" style="1"/>
  </cols>
  <sheetData>
    <row r="1" spans="1:45" ht="18.75" customHeight="1">
      <c r="A1" s="8" t="s">
        <v>43</v>
      </c>
      <c r="B1" s="3"/>
      <c r="C1" s="38"/>
      <c r="D1" s="3"/>
      <c r="E1" s="38"/>
      <c r="F1" s="3"/>
      <c r="G1" s="3"/>
      <c r="H1" s="3"/>
      <c r="I1" s="3"/>
      <c r="J1" s="3"/>
      <c r="K1" s="3"/>
      <c r="L1" s="3"/>
      <c r="M1" s="3"/>
      <c r="N1" s="3"/>
      <c r="O1" s="38"/>
      <c r="P1" s="3"/>
      <c r="Q1" s="38"/>
      <c r="R1" s="3"/>
      <c r="S1" s="38"/>
    </row>
    <row r="2" spans="1:45" ht="15.6">
      <c r="A2" s="34" t="s">
        <v>1</v>
      </c>
      <c r="B2" s="3"/>
      <c r="C2" s="38"/>
      <c r="D2" s="3"/>
      <c r="E2" s="38"/>
      <c r="F2" s="3"/>
      <c r="G2" s="3"/>
      <c r="H2" s="3"/>
      <c r="I2" s="3"/>
      <c r="J2" s="3"/>
      <c r="K2" s="3"/>
      <c r="L2" s="3"/>
      <c r="M2" s="3"/>
      <c r="N2" s="3"/>
      <c r="O2" s="38"/>
      <c r="P2" s="3"/>
      <c r="Q2" s="38"/>
      <c r="R2" s="3"/>
      <c r="S2" s="38"/>
    </row>
    <row r="3" spans="1:45">
      <c r="A3" s="3" t="s">
        <v>2</v>
      </c>
      <c r="B3" s="3"/>
      <c r="C3" s="38"/>
      <c r="D3" s="3"/>
      <c r="E3" s="38"/>
      <c r="F3" s="3"/>
      <c r="G3" s="3"/>
      <c r="H3" s="3"/>
      <c r="I3" s="3"/>
      <c r="J3" s="3"/>
      <c r="K3" s="3"/>
      <c r="L3" s="3"/>
      <c r="M3" s="3"/>
      <c r="N3" s="3"/>
      <c r="O3" s="38"/>
      <c r="P3" s="3"/>
      <c r="Q3" s="38"/>
      <c r="R3" s="3"/>
      <c r="S3" s="38"/>
    </row>
    <row r="4" spans="1:45">
      <c r="A4" s="3"/>
      <c r="B4" s="3"/>
      <c r="C4" s="38"/>
      <c r="D4" s="3"/>
      <c r="E4" s="38"/>
      <c r="F4" s="3"/>
      <c r="G4" s="3"/>
      <c r="H4" s="3"/>
      <c r="I4" s="3"/>
      <c r="J4" s="3"/>
      <c r="K4" s="3"/>
      <c r="L4" s="3"/>
      <c r="M4" s="3"/>
      <c r="N4" s="3"/>
      <c r="O4" s="38"/>
      <c r="P4" s="3"/>
      <c r="Q4" s="38"/>
      <c r="R4" s="3"/>
      <c r="S4" s="38"/>
    </row>
    <row r="5" spans="1:45" ht="14.25" customHeight="1">
      <c r="A5" s="12" t="s">
        <v>44</v>
      </c>
      <c r="B5" s="13" t="s">
        <v>45</v>
      </c>
      <c r="C5" s="33"/>
      <c r="D5" s="15" t="s">
        <v>46</v>
      </c>
      <c r="E5" s="33"/>
      <c r="F5" s="15" t="s">
        <v>47</v>
      </c>
      <c r="G5" s="14"/>
      <c r="H5" s="15" t="s">
        <v>48</v>
      </c>
      <c r="I5" s="16"/>
      <c r="J5" s="15" t="s">
        <v>49</v>
      </c>
      <c r="K5" s="16"/>
      <c r="L5" s="15" t="s">
        <v>50</v>
      </c>
      <c r="M5" s="16"/>
      <c r="N5" s="15" t="s">
        <v>51</v>
      </c>
      <c r="O5" s="26"/>
      <c r="P5" s="15" t="s">
        <v>52</v>
      </c>
      <c r="Q5" s="26"/>
      <c r="R5" s="15" t="s">
        <v>53</v>
      </c>
      <c r="S5" s="26"/>
      <c r="T5" s="15" t="s">
        <v>54</v>
      </c>
      <c r="U5" s="26"/>
      <c r="V5" s="15" t="s">
        <v>55</v>
      </c>
      <c r="W5" s="26"/>
      <c r="X5" s="15" t="s">
        <v>56</v>
      </c>
      <c r="Y5" s="26"/>
      <c r="Z5" s="15" t="s">
        <v>31</v>
      </c>
      <c r="AA5" s="26"/>
      <c r="AB5" s="15" t="s">
        <v>32</v>
      </c>
      <c r="AC5" s="26"/>
      <c r="AD5" s="15" t="s">
        <v>33</v>
      </c>
      <c r="AE5" s="26"/>
      <c r="AF5" s="15" t="s">
        <v>34</v>
      </c>
      <c r="AG5" s="26"/>
      <c r="AH5" s="15" t="s">
        <v>35</v>
      </c>
      <c r="AI5" s="26"/>
      <c r="AJ5" s="15" t="s">
        <v>36</v>
      </c>
      <c r="AK5" s="26"/>
      <c r="AL5" s="44" t="s">
        <v>10</v>
      </c>
      <c r="AM5" s="45"/>
      <c r="AN5" s="44" t="s">
        <v>57</v>
      </c>
      <c r="AO5" s="45"/>
      <c r="AP5" s="44" t="s">
        <v>58</v>
      </c>
      <c r="AQ5" s="45"/>
      <c r="AR5" s="44" t="s">
        <v>59</v>
      </c>
      <c r="AS5" s="45"/>
    </row>
    <row r="6" spans="1:45" ht="14.25" customHeight="1">
      <c r="A6" s="35"/>
      <c r="B6" s="18" t="s">
        <v>11</v>
      </c>
      <c r="C6" s="27" t="s">
        <v>12</v>
      </c>
      <c r="D6" s="18" t="s">
        <v>11</v>
      </c>
      <c r="E6" s="27" t="s">
        <v>12</v>
      </c>
      <c r="F6" s="18" t="s">
        <v>11</v>
      </c>
      <c r="G6" s="9" t="s">
        <v>12</v>
      </c>
      <c r="H6" s="18" t="s">
        <v>11</v>
      </c>
      <c r="I6" s="9" t="s">
        <v>12</v>
      </c>
      <c r="J6" s="18" t="s">
        <v>11</v>
      </c>
      <c r="K6" s="9" t="s">
        <v>12</v>
      </c>
      <c r="L6" s="18" t="s">
        <v>11</v>
      </c>
      <c r="M6" s="9" t="s">
        <v>12</v>
      </c>
      <c r="N6" s="18" t="s">
        <v>60</v>
      </c>
      <c r="O6" s="27" t="s">
        <v>12</v>
      </c>
      <c r="P6" s="18" t="s">
        <v>60</v>
      </c>
      <c r="Q6" s="27" t="s">
        <v>12</v>
      </c>
      <c r="R6" s="18" t="s">
        <v>60</v>
      </c>
      <c r="S6" s="27" t="s">
        <v>12</v>
      </c>
      <c r="T6" s="18" t="s">
        <v>60</v>
      </c>
      <c r="U6" s="27" t="s">
        <v>12</v>
      </c>
      <c r="V6" s="18" t="s">
        <v>60</v>
      </c>
      <c r="W6" s="27" t="s">
        <v>12</v>
      </c>
      <c r="X6" s="18" t="s">
        <v>60</v>
      </c>
      <c r="Y6" s="27" t="s">
        <v>12</v>
      </c>
      <c r="Z6" s="18" t="s">
        <v>60</v>
      </c>
      <c r="AA6" s="27" t="s">
        <v>12</v>
      </c>
      <c r="AB6" s="18" t="s">
        <v>60</v>
      </c>
      <c r="AC6" s="27" t="s">
        <v>12</v>
      </c>
      <c r="AD6" s="18" t="s">
        <v>60</v>
      </c>
      <c r="AE6" s="27" t="s">
        <v>12</v>
      </c>
      <c r="AF6" s="18" t="s">
        <v>60</v>
      </c>
      <c r="AG6" s="27" t="s">
        <v>12</v>
      </c>
      <c r="AH6" s="18" t="s">
        <v>60</v>
      </c>
      <c r="AI6" s="27" t="s">
        <v>12</v>
      </c>
      <c r="AJ6" s="18" t="s">
        <v>60</v>
      </c>
      <c r="AK6" s="27" t="s">
        <v>12</v>
      </c>
      <c r="AL6" s="18" t="s">
        <v>60</v>
      </c>
      <c r="AM6" s="27" t="s">
        <v>12</v>
      </c>
      <c r="AN6" s="18" t="s">
        <v>60</v>
      </c>
      <c r="AO6" s="27" t="s">
        <v>12</v>
      </c>
      <c r="AP6" s="18" t="s">
        <v>60</v>
      </c>
      <c r="AQ6" s="27" t="s">
        <v>12</v>
      </c>
      <c r="AR6" s="18" t="s">
        <v>60</v>
      </c>
      <c r="AS6" s="27" t="s">
        <v>12</v>
      </c>
    </row>
    <row r="7" spans="1:45" ht="9.75" customHeight="1">
      <c r="A7" s="35"/>
      <c r="B7" s="19"/>
      <c r="C7" s="27"/>
      <c r="D7" s="19"/>
      <c r="E7" s="27"/>
      <c r="F7" s="19"/>
      <c r="G7" s="9"/>
      <c r="H7" s="19"/>
      <c r="I7" s="9"/>
      <c r="J7" s="19"/>
      <c r="K7" s="9"/>
      <c r="L7" s="19"/>
      <c r="M7" s="9"/>
      <c r="N7" s="19"/>
      <c r="O7" s="27"/>
      <c r="P7" s="19"/>
      <c r="Q7" s="27"/>
      <c r="R7" s="19"/>
      <c r="S7" s="27"/>
      <c r="T7" s="19"/>
      <c r="U7" s="27"/>
      <c r="V7" s="19"/>
      <c r="W7" s="27"/>
      <c r="X7" s="19"/>
      <c r="Y7" s="27"/>
      <c r="Z7" s="19"/>
      <c r="AA7" s="27"/>
      <c r="AB7" s="19"/>
      <c r="AC7" s="27"/>
      <c r="AD7" s="19"/>
      <c r="AE7" s="27"/>
      <c r="AF7" s="19"/>
      <c r="AG7" s="27"/>
      <c r="AH7" s="19"/>
      <c r="AI7" s="27"/>
      <c r="AJ7" s="19"/>
      <c r="AK7" s="27"/>
      <c r="AL7" s="19"/>
      <c r="AM7" s="27"/>
      <c r="AN7" s="19"/>
      <c r="AO7" s="27"/>
      <c r="AP7" s="19"/>
      <c r="AQ7" s="27"/>
      <c r="AR7" s="19"/>
      <c r="AS7" s="27"/>
    </row>
    <row r="8" spans="1:45" ht="18.75" customHeight="1">
      <c r="A8" s="36" t="s">
        <v>61</v>
      </c>
      <c r="B8" s="21">
        <f>B9+B10</f>
        <v>711.92940143598855</v>
      </c>
      <c r="C8" s="28">
        <f t="shared" ref="C8:C24" si="0">100*B8/B$24</f>
        <v>16.507015990701344</v>
      </c>
      <c r="D8" s="21">
        <f>D9+D10</f>
        <v>430.06846930486222</v>
      </c>
      <c r="E8" s="28">
        <f t="shared" ref="E8:E24" si="1">100*D8/D$24</f>
        <v>10.458511394736886</v>
      </c>
      <c r="F8" s="21">
        <f>F9+F10</f>
        <v>382.51992165974571</v>
      </c>
      <c r="G8" s="10">
        <f t="shared" ref="G8:G24" si="2">100*F8/F$24</f>
        <v>8.7978591149566121</v>
      </c>
      <c r="H8" s="21">
        <f>H9+H10</f>
        <v>234.48899999999998</v>
      </c>
      <c r="I8" s="10">
        <f t="shared" ref="I8:I24" si="3">100*H8/H$24</f>
        <v>4.8235078976561994</v>
      </c>
      <c r="J8" s="21">
        <f>J9+J10</f>
        <v>206.76900000000001</v>
      </c>
      <c r="K8" s="10">
        <f t="shared" ref="K8:K24" si="4">100*J8/J$24</f>
        <v>3.6712646029219691</v>
      </c>
      <c r="L8" s="21">
        <f>L9+L10</f>
        <v>154.76799999999997</v>
      </c>
      <c r="M8" s="10">
        <f t="shared" ref="M8:M24" si="5">100*L8/L$24</f>
        <v>2.3261899426193047</v>
      </c>
      <c r="N8" s="21">
        <f>N9+N10</f>
        <v>194.56</v>
      </c>
      <c r="O8" s="28">
        <f t="shared" ref="O8:O24" si="6">100*N8/N$24</f>
        <v>2.5163759736794522</v>
      </c>
      <c r="P8" s="21">
        <f>P9+P10</f>
        <v>205.28300000000002</v>
      </c>
      <c r="Q8" s="28">
        <f t="shared" ref="Q8:Q24" si="7">100*P8/P$24</f>
        <v>2.4325575916894202</v>
      </c>
      <c r="R8" s="21" t="e">
        <f>R9+R10</f>
        <v>#REF!</v>
      </c>
      <c r="S8" s="28" t="e">
        <f t="shared" ref="S8:S24" si="8">100*R8/R$24</f>
        <v>#REF!</v>
      </c>
      <c r="T8" s="21" t="e">
        <f>T9+T10</f>
        <v>#REF!</v>
      </c>
      <c r="U8" s="28" t="e">
        <f t="shared" ref="U8:U24" si="9">100*T8/T$24</f>
        <v>#REF!</v>
      </c>
      <c r="V8" s="21" t="e">
        <f>V9+V10</f>
        <v>#REF!</v>
      </c>
      <c r="W8" s="28" t="e">
        <f t="shared" ref="W8:W24" si="10">100*V8/V$24</f>
        <v>#REF!</v>
      </c>
      <c r="X8" s="21">
        <f>X9+X10</f>
        <v>712.54399999999998</v>
      </c>
      <c r="Y8" s="28">
        <f t="shared" ref="Y8:Y24" si="11">100*X8/X$24</f>
        <v>5.5715162580488773</v>
      </c>
      <c r="Z8" s="21">
        <f>Z9+Z10</f>
        <v>534.50399999999991</v>
      </c>
      <c r="AA8" s="28">
        <f t="shared" ref="AA8:AA24" si="12">100*Z8/Z$24</f>
        <v>3.9588842029481421</v>
      </c>
      <c r="AB8" s="21">
        <f>AB9+AB10</f>
        <v>715.005</v>
      </c>
      <c r="AC8" s="28">
        <f t="shared" ref="AC8:AC24" si="13">100*AB8/AB$24</f>
        <v>4.7615711529920741</v>
      </c>
      <c r="AD8" s="21">
        <f>AD9+AD10</f>
        <v>649.26600000000008</v>
      </c>
      <c r="AE8" s="28">
        <f t="shared" ref="AE8:AG24" si="14">100*AD8/AD$24</f>
        <v>3.8738808832314287</v>
      </c>
      <c r="AF8" s="21">
        <f>AF9+AF10</f>
        <v>832.23299999999995</v>
      </c>
      <c r="AG8" s="28">
        <f t="shared" si="14"/>
        <v>4.6914030938694946</v>
      </c>
      <c r="AH8" s="21">
        <f>AH9+AH10</f>
        <v>869.77</v>
      </c>
      <c r="AI8" s="28">
        <f t="shared" ref="AI8:AI24" si="15">100*AH8/AH$24</f>
        <v>4.6748743335601874</v>
      </c>
      <c r="AJ8" s="21">
        <f>AJ9+AJ10</f>
        <v>1384.346</v>
      </c>
      <c r="AK8" s="28">
        <f t="shared" ref="AK8:AK24" si="16">100*AJ8/AJ$24</f>
        <v>7.1665538113016893</v>
      </c>
      <c r="AL8" s="21">
        <f>AL9+AL10</f>
        <v>1832</v>
      </c>
      <c r="AM8" s="28">
        <f t="shared" ref="AM8:AM24" si="17">100*AL8/AL$24</f>
        <v>9.3312280344318239</v>
      </c>
      <c r="AN8" s="21">
        <f>AN9+AN10</f>
        <v>1971.27</v>
      </c>
      <c r="AO8" s="28">
        <f t="shared" ref="AO8:AO24" si="18">100*AN8/AN$24</f>
        <v>9.5452641153231479</v>
      </c>
      <c r="AP8" s="21">
        <f>AP9+AP10</f>
        <v>2609.181</v>
      </c>
      <c r="AQ8" s="28">
        <f t="shared" ref="AQ8:AQ24" si="19">100*AP8/AP$24</f>
        <v>11.273631017488039</v>
      </c>
      <c r="AR8" s="21">
        <f>AR9+AR10</f>
        <v>2242.2069999999999</v>
      </c>
      <c r="AS8" s="28">
        <f t="shared" ref="AS8:AS24" si="20">100*AR8/AR$24</f>
        <v>9.1168050508129568</v>
      </c>
    </row>
    <row r="9" spans="1:45" ht="18.75" customHeight="1">
      <c r="A9" s="35" t="s">
        <v>62</v>
      </c>
      <c r="B9" s="5">
        <f>495.31344342915+((27.25+4.69)/5.94573)</f>
        <v>500.68536580033071</v>
      </c>
      <c r="C9" s="29">
        <f t="shared" si="0"/>
        <v>11.609046238160348</v>
      </c>
      <c r="D9" s="5">
        <f>247.236251898421+((4.143+0.928)/5.94573)</f>
        <v>248.08913287350731</v>
      </c>
      <c r="E9" s="29">
        <f t="shared" si="1"/>
        <v>6.0330928869577454</v>
      </c>
      <c r="F9" s="5">
        <f>195.577666661621+0.541+0.156</f>
        <v>196.27466666162101</v>
      </c>
      <c r="G9" s="11">
        <f t="shared" si="2"/>
        <v>4.5142664926612932</v>
      </c>
      <c r="H9" s="5">
        <f>56.64+37.726+0.684+1.006</f>
        <v>96.055999999999997</v>
      </c>
      <c r="I9" s="11">
        <f t="shared" si="3"/>
        <v>1.9759002538168697</v>
      </c>
      <c r="J9" s="5">
        <f>41.09+30.022+0.528+3.846</f>
        <v>75.486000000000004</v>
      </c>
      <c r="K9" s="11">
        <f t="shared" si="4"/>
        <v>1.3402835038916268</v>
      </c>
      <c r="L9" s="5">
        <f>77.277+34.073+0.472+7.946</f>
        <v>119.76799999999999</v>
      </c>
      <c r="M9" s="11">
        <f t="shared" si="5"/>
        <v>1.8001338587280893</v>
      </c>
      <c r="N9" s="5">
        <f>94.801+50.347+14.412</f>
        <v>159.56</v>
      </c>
      <c r="O9" s="29">
        <f t="shared" si="6"/>
        <v>2.0636973188748633</v>
      </c>
      <c r="P9" s="5">
        <f>55.169+142.314+7.8</f>
        <v>205.28300000000002</v>
      </c>
      <c r="Q9" s="29">
        <f t="shared" si="7"/>
        <v>2.4325575916894202</v>
      </c>
      <c r="R9" s="5" t="e">
        <f>Kunnat!#REF!+7.9</f>
        <v>#REF!</v>
      </c>
      <c r="S9" s="29" t="e">
        <f t="shared" si="8"/>
        <v>#REF!</v>
      </c>
      <c r="T9" s="5" t="e">
        <f>Kunnat!#REF!+4.2</f>
        <v>#REF!</v>
      </c>
      <c r="U9" s="29" t="e">
        <f t="shared" si="9"/>
        <v>#REF!</v>
      </c>
      <c r="V9" s="5" t="e">
        <f>Kunnat!#REF!</f>
        <v>#REF!</v>
      </c>
      <c r="W9" s="29" t="e">
        <f t="shared" si="10"/>
        <v>#REF!</v>
      </c>
      <c r="X9" s="5">
        <v>712.54399999999998</v>
      </c>
      <c r="Y9" s="29">
        <f t="shared" si="11"/>
        <v>5.5715162580488773</v>
      </c>
      <c r="Z9" s="5">
        <f>Kunnat!B9+0.3</f>
        <v>534.50399999999991</v>
      </c>
      <c r="AA9" s="29">
        <f t="shared" si="12"/>
        <v>3.9588842029481421</v>
      </c>
      <c r="AB9" s="5">
        <f>Kunnat!D9+kuntayhtymät!D9</f>
        <v>715.005</v>
      </c>
      <c r="AC9" s="29">
        <f t="shared" si="13"/>
        <v>4.7615711529920741</v>
      </c>
      <c r="AD9" s="5">
        <f>Kunnat!F9+kuntayhtymät!F9</f>
        <v>649.26600000000008</v>
      </c>
      <c r="AE9" s="29">
        <f t="shared" si="14"/>
        <v>3.8738808832314287</v>
      </c>
      <c r="AF9" s="5">
        <f>Kunnat!H9+kuntayhtymät!H9</f>
        <v>832.23299999999995</v>
      </c>
      <c r="AG9" s="29">
        <f t="shared" si="14"/>
        <v>4.6914030938694946</v>
      </c>
      <c r="AH9" s="5">
        <f>Kunnat!J9+kuntayhtymät!J9</f>
        <v>869.77</v>
      </c>
      <c r="AI9" s="29">
        <f t="shared" si="15"/>
        <v>4.6748743335601874</v>
      </c>
      <c r="AJ9" s="5">
        <f>Kunnat!L9+kuntayhtymät!L9</f>
        <v>1384.346</v>
      </c>
      <c r="AK9" s="29">
        <f t="shared" si="16"/>
        <v>7.1665538113016893</v>
      </c>
      <c r="AL9" s="5">
        <f>Kunnat!N9+kuntayhtymät!N9</f>
        <v>1832</v>
      </c>
      <c r="AM9" s="29">
        <f t="shared" si="17"/>
        <v>9.3312280344318239</v>
      </c>
      <c r="AN9" s="5">
        <v>1971.27</v>
      </c>
      <c r="AO9" s="29">
        <f t="shared" si="18"/>
        <v>9.5452641153231479</v>
      </c>
      <c r="AP9" s="5">
        <v>2609.181</v>
      </c>
      <c r="AQ9" s="29">
        <f t="shared" si="19"/>
        <v>11.273631017488039</v>
      </c>
      <c r="AR9" s="5">
        <v>2242.2069999999999</v>
      </c>
      <c r="AS9" s="29">
        <f t="shared" si="20"/>
        <v>9.1168050508129568</v>
      </c>
    </row>
    <row r="10" spans="1:45" ht="18.75" customHeight="1">
      <c r="A10" s="35" t="s">
        <v>63</v>
      </c>
      <c r="B10" s="5">
        <v>211.24403563565787</v>
      </c>
      <c r="C10" s="29">
        <f t="shared" si="0"/>
        <v>4.8979697525409973</v>
      </c>
      <c r="D10" s="5">
        <v>181.97933643135494</v>
      </c>
      <c r="E10" s="29">
        <f t="shared" si="1"/>
        <v>4.4254185077791419</v>
      </c>
      <c r="F10" s="5">
        <v>186.24525499812469</v>
      </c>
      <c r="G10" s="11">
        <f t="shared" si="2"/>
        <v>4.283592622295318</v>
      </c>
      <c r="H10" s="5">
        <f>138.433</f>
        <v>138.43299999999999</v>
      </c>
      <c r="I10" s="11">
        <f t="shared" si="3"/>
        <v>2.8476076438393303</v>
      </c>
      <c r="J10" s="5">
        <f>35+96.283</f>
        <v>131.28300000000002</v>
      </c>
      <c r="K10" s="11">
        <f t="shared" si="4"/>
        <v>2.3309810990303426</v>
      </c>
      <c r="L10" s="5">
        <v>35</v>
      </c>
      <c r="M10" s="11">
        <f t="shared" si="5"/>
        <v>0.52605608389121583</v>
      </c>
      <c r="N10" s="5">
        <v>35</v>
      </c>
      <c r="O10" s="29">
        <f t="shared" si="6"/>
        <v>0.45267865480458896</v>
      </c>
      <c r="P10" s="5">
        <v>0</v>
      </c>
      <c r="Q10" s="29">
        <f t="shared" si="7"/>
        <v>0</v>
      </c>
      <c r="R10" s="5" t="e">
        <f>Kunnat!#REF!</f>
        <v>#REF!</v>
      </c>
      <c r="S10" s="29" t="e">
        <f t="shared" si="8"/>
        <v>#REF!</v>
      </c>
      <c r="T10" s="5" t="e">
        <f>Kunnat!#REF!</f>
        <v>#REF!</v>
      </c>
      <c r="U10" s="29" t="e">
        <f t="shared" si="9"/>
        <v>#REF!</v>
      </c>
      <c r="V10" s="5" t="e">
        <f>Kunnat!#REF!</f>
        <v>#REF!</v>
      </c>
      <c r="W10" s="29" t="e">
        <f t="shared" si="10"/>
        <v>#REF!</v>
      </c>
      <c r="X10" s="5">
        <v>0</v>
      </c>
      <c r="Y10" s="29">
        <f t="shared" si="11"/>
        <v>0</v>
      </c>
      <c r="Z10" s="5">
        <f>Kunnat!B10</f>
        <v>0</v>
      </c>
      <c r="AA10" s="29">
        <f t="shared" si="12"/>
        <v>0</v>
      </c>
      <c r="AB10" s="5">
        <v>0</v>
      </c>
      <c r="AC10" s="29">
        <f t="shared" si="13"/>
        <v>0</v>
      </c>
      <c r="AD10" s="5">
        <v>0</v>
      </c>
      <c r="AE10" s="29">
        <f t="shared" si="14"/>
        <v>0</v>
      </c>
      <c r="AF10" s="5">
        <v>0</v>
      </c>
      <c r="AG10" s="29">
        <f t="shared" si="14"/>
        <v>0</v>
      </c>
      <c r="AH10" s="5">
        <v>0</v>
      </c>
      <c r="AI10" s="29">
        <f t="shared" si="15"/>
        <v>0</v>
      </c>
      <c r="AJ10" s="5">
        <v>0</v>
      </c>
      <c r="AK10" s="29">
        <f t="shared" si="16"/>
        <v>0</v>
      </c>
      <c r="AL10" s="5">
        <v>0</v>
      </c>
      <c r="AM10" s="29">
        <f t="shared" si="17"/>
        <v>0</v>
      </c>
      <c r="AN10" s="5">
        <v>0</v>
      </c>
      <c r="AO10" s="29">
        <f t="shared" si="18"/>
        <v>0</v>
      </c>
      <c r="AP10" s="5">
        <v>0</v>
      </c>
      <c r="AQ10" s="29">
        <f t="shared" si="19"/>
        <v>0</v>
      </c>
      <c r="AR10" s="5">
        <v>0</v>
      </c>
      <c r="AS10" s="29">
        <f t="shared" si="20"/>
        <v>0</v>
      </c>
    </row>
    <row r="11" spans="1:45" ht="18.75" customHeight="1">
      <c r="A11" s="36" t="s">
        <v>64</v>
      </c>
      <c r="B11" s="21">
        <f>B12+B13+B14+B15</f>
        <v>2460.4381631860178</v>
      </c>
      <c r="C11" s="28">
        <f t="shared" si="0"/>
        <v>57.048482647187313</v>
      </c>
      <c r="D11" s="21">
        <f>D12+D13+D14+D15</f>
        <v>2810.0758022984601</v>
      </c>
      <c r="E11" s="28">
        <f t="shared" si="1"/>
        <v>68.336118306733482</v>
      </c>
      <c r="F11" s="21">
        <f>F12+F13+F14+F15</f>
        <v>3184.933797264589</v>
      </c>
      <c r="G11" s="10">
        <f t="shared" si="2"/>
        <v>73.252652351325551</v>
      </c>
      <c r="H11" s="21">
        <f>H12+H13+H14+H15</f>
        <v>3870.645</v>
      </c>
      <c r="I11" s="10">
        <f t="shared" si="3"/>
        <v>79.620309381350438</v>
      </c>
      <c r="J11" s="21">
        <f>J12+J13+J14+J15</f>
        <v>4675.9449999999997</v>
      </c>
      <c r="K11" s="10">
        <f t="shared" si="4"/>
        <v>83.023235415898739</v>
      </c>
      <c r="L11" s="21">
        <f>L12+L13+L14+L15</f>
        <v>5823.5290000000005</v>
      </c>
      <c r="M11" s="10">
        <f t="shared" si="5"/>
        <v>87.528653147626514</v>
      </c>
      <c r="N11" s="21">
        <f>N12+N13+N14+N15</f>
        <v>6810.3789999999999</v>
      </c>
      <c r="O11" s="28">
        <f t="shared" si="6"/>
        <v>88.083234412269206</v>
      </c>
      <c r="P11" s="21">
        <f>P12+P13+P14+P15</f>
        <v>7466.018</v>
      </c>
      <c r="Q11" s="28">
        <f t="shared" si="7"/>
        <v>88.470641824164005</v>
      </c>
      <c r="R11" s="21" t="e">
        <f>R12+R13+R14+R15</f>
        <v>#REF!</v>
      </c>
      <c r="S11" s="28" t="e">
        <f t="shared" si="8"/>
        <v>#REF!</v>
      </c>
      <c r="T11" s="21" t="e">
        <f>T12+T13+T14+T15</f>
        <v>#REF!</v>
      </c>
      <c r="U11" s="28" t="e">
        <f t="shared" si="9"/>
        <v>#REF!</v>
      </c>
      <c r="V11" s="21" t="e">
        <f>V12+V13+V14+V15</f>
        <v>#REF!</v>
      </c>
      <c r="W11" s="28" t="e">
        <f t="shared" si="10"/>
        <v>#REF!</v>
      </c>
      <c r="X11" s="21">
        <f>X12+X13+X14+X15</f>
        <v>9875.0689999999995</v>
      </c>
      <c r="Y11" s="28">
        <f t="shared" si="11"/>
        <v>77.215031609071815</v>
      </c>
      <c r="Z11" s="21">
        <f>Z12+Z13+Z14+Z15</f>
        <v>10688.927</v>
      </c>
      <c r="AA11" s="28">
        <f t="shared" si="12"/>
        <v>79.169144191186376</v>
      </c>
      <c r="AB11" s="21">
        <f>AB12+AB13+AB14+AB15</f>
        <v>12005.227999999999</v>
      </c>
      <c r="AC11" s="28">
        <f t="shared" si="13"/>
        <v>79.948737882801836</v>
      </c>
      <c r="AD11" s="21">
        <f>AD12+AD13+AD14+AD15</f>
        <v>13700.873000000001</v>
      </c>
      <c r="AE11" s="28">
        <f t="shared" si="14"/>
        <v>81.747003536734766</v>
      </c>
      <c r="AF11" s="21">
        <f>AF12+AF13+AF14+AF15</f>
        <v>14501.060000000001</v>
      </c>
      <c r="AG11" s="28">
        <f t="shared" si="14"/>
        <v>81.744316493562721</v>
      </c>
      <c r="AH11" s="21">
        <f>AH12+AH13+AH14+AH15</f>
        <v>15220.264999999999</v>
      </c>
      <c r="AI11" s="28">
        <f t="shared" si="15"/>
        <v>81.806484701110008</v>
      </c>
      <c r="AJ11" s="21">
        <f>AJ12+AJ13+AJ14+AJ15</f>
        <v>15377.057999999997</v>
      </c>
      <c r="AK11" s="28">
        <f t="shared" si="16"/>
        <v>79.604747379995402</v>
      </c>
      <c r="AL11" s="21">
        <f>AL12+AL13+AL14+AL15</f>
        <v>15178</v>
      </c>
      <c r="AM11" s="28">
        <f t="shared" si="17"/>
        <v>77.308613049457549</v>
      </c>
      <c r="AN11" s="21">
        <f>AN12+AN13+AN14+AN15</f>
        <v>16213.761</v>
      </c>
      <c r="AO11" s="28">
        <f t="shared" si="18"/>
        <v>78.510113301438153</v>
      </c>
      <c r="AP11" s="21">
        <f>AP12+AP13+AP14+AP15</f>
        <v>18007.031999999999</v>
      </c>
      <c r="AQ11" s="28">
        <f t="shared" si="19"/>
        <v>77.803967792230466</v>
      </c>
      <c r="AR11" s="21">
        <f>AR12+AR13+AR14+AR15</f>
        <v>19860.185000000001</v>
      </c>
      <c r="AS11" s="28">
        <f t="shared" si="20"/>
        <v>80.751435937038707</v>
      </c>
    </row>
    <row r="12" spans="1:45" ht="18.75" customHeight="1">
      <c r="A12" s="35" t="s">
        <v>65</v>
      </c>
      <c r="B12" s="5">
        <f>806.292919456484+((396.301+222.678)/5.94573)</f>
        <v>910.39771398970367</v>
      </c>
      <c r="C12" s="29">
        <f t="shared" si="0"/>
        <v>21.108763863964665</v>
      </c>
      <c r="D12" s="5">
        <f>914.774132024158+((177.129+166.509)/5.94573)</f>
        <v>972.56989469753876</v>
      </c>
      <c r="E12" s="29">
        <f t="shared" si="1"/>
        <v>23.651195220875184</v>
      </c>
      <c r="F12" s="5">
        <f>947.719119435292+51.774+42.283</f>
        <v>1041.776119435292</v>
      </c>
      <c r="G12" s="11">
        <f t="shared" si="2"/>
        <v>23.960580898242998</v>
      </c>
      <c r="H12" s="5">
        <f>776.892+305.997+78.388+48.347</f>
        <v>1209.624</v>
      </c>
      <c r="I12" s="11">
        <f t="shared" si="3"/>
        <v>24.88232248503974</v>
      </c>
      <c r="J12" s="5">
        <f>904.324+360.139+117.036+31.366</f>
        <v>1412.865</v>
      </c>
      <c r="K12" s="11">
        <f t="shared" si="4"/>
        <v>25.085971606997894</v>
      </c>
      <c r="L12" s="5">
        <f>1194.678+484.744+161.408+35.419</f>
        <v>1876.249</v>
      </c>
      <c r="M12" s="11">
        <f t="shared" si="5"/>
        <v>28.200348609851705</v>
      </c>
      <c r="N12" s="5">
        <f>1339.068+576.836+202.957+45.073</f>
        <v>2163.9339999999997</v>
      </c>
      <c r="O12" s="29">
        <f t="shared" si="6"/>
        <v>27.987620920168951</v>
      </c>
      <c r="P12" s="5">
        <f>1382.955+600.758+237.596+49.271</f>
        <v>2270.5800000000004</v>
      </c>
      <c r="Q12" s="29">
        <f t="shared" si="7"/>
        <v>26.905864667498836</v>
      </c>
      <c r="R12" s="5" t="e">
        <f>Kunnat!#REF!+246.631+64.235</f>
        <v>#REF!</v>
      </c>
      <c r="S12" s="29" t="e">
        <f t="shared" si="8"/>
        <v>#REF!</v>
      </c>
      <c r="T12" s="5" t="e">
        <f>Kunnat!#REF!+171.396+70.074</f>
        <v>#REF!</v>
      </c>
      <c r="U12" s="29" t="e">
        <f t="shared" si="9"/>
        <v>#REF!</v>
      </c>
      <c r="V12" s="5" t="e">
        <f>Kunnat!#REF!+153.597+59.241</f>
        <v>#REF!</v>
      </c>
      <c r="W12" s="29" t="e">
        <f t="shared" si="10"/>
        <v>#REF!</v>
      </c>
      <c r="X12" s="5">
        <v>1898.376</v>
      </c>
      <c r="Y12" s="29">
        <f t="shared" si="11"/>
        <v>14.843760873559804</v>
      </c>
      <c r="Z12" s="5">
        <f>Kunnat!B12+217.486+58.988</f>
        <v>2087.5079999999998</v>
      </c>
      <c r="AA12" s="29">
        <f t="shared" si="12"/>
        <v>15.461441719290915</v>
      </c>
      <c r="AB12" s="5">
        <f>Kunnat!D12+kuntayhtymät!D12</f>
        <v>2332.569</v>
      </c>
      <c r="AC12" s="29">
        <f t="shared" si="13"/>
        <v>15.533728103668603</v>
      </c>
      <c r="AD12" s="5">
        <f>Kunnat!F12+kuntayhtymät!F12</f>
        <v>2703.6190000000001</v>
      </c>
      <c r="AE12" s="29">
        <f t="shared" si="14"/>
        <v>16.131289732777123</v>
      </c>
      <c r="AF12" s="5">
        <f>Kunnat!H12+kuntayhtymät!H12</f>
        <v>2684.9650000000001</v>
      </c>
      <c r="AG12" s="29">
        <f t="shared" si="14"/>
        <v>15.135488628702909</v>
      </c>
      <c r="AH12" s="5">
        <f>Kunnat!J12+kuntayhtymät!J12</f>
        <v>2728.09</v>
      </c>
      <c r="AI12" s="29">
        <f t="shared" si="15"/>
        <v>14.66304646129691</v>
      </c>
      <c r="AJ12" s="5">
        <f>Kunnat!L12+kuntayhtymät!L12</f>
        <v>2770.7309999999998</v>
      </c>
      <c r="AK12" s="29">
        <f t="shared" si="16"/>
        <v>14.343663223024979</v>
      </c>
      <c r="AL12" s="5">
        <f>Kunnat!N12+kuntayhtymät!N12</f>
        <v>2852</v>
      </c>
      <c r="AM12" s="29">
        <f t="shared" si="17"/>
        <v>14.526562420414608</v>
      </c>
      <c r="AN12" s="5">
        <v>3048.9230000000002</v>
      </c>
      <c r="AO12" s="29">
        <f t="shared" si="18"/>
        <v>14.763464823328821</v>
      </c>
      <c r="AP12" s="5">
        <v>3549.0360000000001</v>
      </c>
      <c r="AQ12" s="29">
        <f t="shared" si="19"/>
        <v>15.334513907537145</v>
      </c>
      <c r="AR12" s="5">
        <v>2853.1889999999999</v>
      </c>
      <c r="AS12" s="29">
        <f t="shared" si="20"/>
        <v>11.60105551633902</v>
      </c>
    </row>
    <row r="13" spans="1:45" ht="18.75" customHeight="1">
      <c r="A13" s="35" t="s">
        <v>66</v>
      </c>
      <c r="B13" s="5">
        <v>839.82639642230686</v>
      </c>
      <c r="C13" s="29">
        <f t="shared" si="0"/>
        <v>19.472475398816027</v>
      </c>
      <c r="D13" s="5">
        <f>1246.10434715334+((390.076+96.366)/5.94573)</f>
        <v>1327.9180184771303</v>
      </c>
      <c r="E13" s="29">
        <f t="shared" si="1"/>
        <v>32.292638774396387</v>
      </c>
      <c r="F13" s="5">
        <f>1390.707617063+99.456+23.439</f>
        <v>1513.602617063</v>
      </c>
      <c r="G13" s="11">
        <f t="shared" si="2"/>
        <v>34.812468127594634</v>
      </c>
      <c r="H13" s="5">
        <f>1122.822+312.45+101.02+22.072</f>
        <v>1558.3639999999998</v>
      </c>
      <c r="I13" s="11">
        <f t="shared" si="3"/>
        <v>32.056007153525776</v>
      </c>
      <c r="J13" s="5">
        <f>1301.792+339.569+103.285+24.116</f>
        <v>1768.7619999999999</v>
      </c>
      <c r="K13" s="11">
        <f t="shared" si="4"/>
        <v>31.405062275261123</v>
      </c>
      <c r="L13" s="5">
        <f>1500.38+437.992+99.409+24.553</f>
        <v>2062.3340000000003</v>
      </c>
      <c r="M13" s="11">
        <f t="shared" si="5"/>
        <v>30.99723850616305</v>
      </c>
      <c r="N13" s="5">
        <f>1813.461+528.01+143.778+31.85</f>
        <v>2517.0989999999997</v>
      </c>
      <c r="O13" s="29">
        <f t="shared" si="6"/>
        <v>32.555342552285026</v>
      </c>
      <c r="P13" s="5">
        <f>2108.489+591.852+159.868+35.985</f>
        <v>2896.194</v>
      </c>
      <c r="Q13" s="29">
        <f t="shared" si="7"/>
        <v>34.319250506400181</v>
      </c>
      <c r="R13" s="5" t="e">
        <f>Kunnat!#REF!+194.917+32.909</f>
        <v>#REF!</v>
      </c>
      <c r="S13" s="29" t="e">
        <f t="shared" si="8"/>
        <v>#REF!</v>
      </c>
      <c r="T13" s="5" t="e">
        <f>Kunnat!#REF!+296.477+48.883</f>
        <v>#REF!</v>
      </c>
      <c r="U13" s="29" t="e">
        <f t="shared" si="9"/>
        <v>#REF!</v>
      </c>
      <c r="V13" s="5" t="e">
        <f>Kunnat!#REF!+378.808+50.898</f>
        <v>#REF!</v>
      </c>
      <c r="W13" s="29" t="e">
        <f t="shared" si="10"/>
        <v>#REF!</v>
      </c>
      <c r="X13" s="5">
        <v>5801.7759999999998</v>
      </c>
      <c r="Y13" s="29">
        <f t="shared" si="11"/>
        <v>45.365183496819547</v>
      </c>
      <c r="Z13" s="5">
        <f>Kunnat!B13+520.695+88.017</f>
        <v>6597.0049999999992</v>
      </c>
      <c r="AA13" s="29">
        <f t="shared" si="12"/>
        <v>48.861708951233119</v>
      </c>
      <c r="AB13" s="5">
        <f>Kunnat!D13+kuntayhtymät!D13</f>
        <v>7701.4049999999997</v>
      </c>
      <c r="AC13" s="29">
        <f t="shared" si="13"/>
        <v>51.287456570945551</v>
      </c>
      <c r="AD13" s="5">
        <f>Kunnat!F13+kuntayhtymät!F13</f>
        <v>8597.6360000000004</v>
      </c>
      <c r="AE13" s="29">
        <f t="shared" si="14"/>
        <v>51.298262563236527</v>
      </c>
      <c r="AF13" s="5">
        <f>Kunnat!H13+kuntayhtymät!H13</f>
        <v>9146.616</v>
      </c>
      <c r="AG13" s="29">
        <f t="shared" si="14"/>
        <v>51.560635784493314</v>
      </c>
      <c r="AH13" s="5">
        <f>Kunnat!J13+kuntayhtymät!J13</f>
        <v>9546.8369999999995</v>
      </c>
      <c r="AI13" s="29">
        <f t="shared" si="15"/>
        <v>51.312718601449511</v>
      </c>
      <c r="AJ13" s="5">
        <f>Kunnat!L13+kuntayhtymät!L13</f>
        <v>9234.6569999999992</v>
      </c>
      <c r="AK13" s="29">
        <f t="shared" si="16"/>
        <v>47.806448907580773</v>
      </c>
      <c r="AL13" s="5">
        <f>Kunnat!N13+kuntayhtymät!N13</f>
        <v>8550</v>
      </c>
      <c r="AM13" s="29">
        <f t="shared" si="17"/>
        <v>43.549126470738045</v>
      </c>
      <c r="AN13" s="5">
        <v>8872.518</v>
      </c>
      <c r="AO13" s="29">
        <f t="shared" si="18"/>
        <v>42.962418987738218</v>
      </c>
      <c r="AP13" s="5">
        <v>9515.08</v>
      </c>
      <c r="AQ13" s="29">
        <f t="shared" si="19"/>
        <v>41.112326443385911</v>
      </c>
      <c r="AR13" s="5">
        <v>11321.346</v>
      </c>
      <c r="AS13" s="29">
        <f t="shared" si="20"/>
        <v>46.032549356415821</v>
      </c>
    </row>
    <row r="14" spans="1:45" ht="18.75" customHeight="1">
      <c r="A14" s="35" t="s">
        <v>67</v>
      </c>
      <c r="B14" s="5">
        <f>534.837606147605+((298.705+120.005)/5.94573)</f>
        <v>605.2595728363043</v>
      </c>
      <c r="C14" s="29">
        <f t="shared" si="0"/>
        <v>14.033736248540453</v>
      </c>
      <c r="D14" s="5">
        <f>304.588334821796+((98.154+28.718)/5.94573)</f>
        <v>325.92667342782084</v>
      </c>
      <c r="E14" s="29">
        <f t="shared" si="1"/>
        <v>7.925965447788327</v>
      </c>
      <c r="F14" s="5">
        <f>194.948812004581+8.451+5.914</f>
        <v>209.31381200458097</v>
      </c>
      <c r="G14" s="11">
        <f t="shared" si="2"/>
        <v>4.8141634580508388</v>
      </c>
      <c r="H14" s="5">
        <f>117.422+66.53+4.815+3.341</f>
        <v>192.108</v>
      </c>
      <c r="I14" s="11">
        <f t="shared" si="3"/>
        <v>3.9517182264538517</v>
      </c>
      <c r="J14" s="5">
        <f>82.402+43.857+13.56+3.124</f>
        <v>142.94299999999998</v>
      </c>
      <c r="K14" s="11">
        <f t="shared" si="4"/>
        <v>2.5380089671830639</v>
      </c>
      <c r="L14" s="5">
        <f>92.165+47.229+14.158+3.314</f>
        <v>156.86599999999999</v>
      </c>
      <c r="M14" s="11">
        <f t="shared" si="5"/>
        <v>2.3577232473051271</v>
      </c>
      <c r="N14" s="5">
        <f>85.141+54.003+15.961+3.945</f>
        <v>159.05000000000001</v>
      </c>
      <c r="O14" s="29">
        <f t="shared" si="6"/>
        <v>2.0571011441905682</v>
      </c>
      <c r="P14" s="5">
        <f>116.956+73.834+24.206+4.107</f>
        <v>219.10300000000001</v>
      </c>
      <c r="Q14" s="29">
        <f t="shared" si="7"/>
        <v>2.5963214976979434</v>
      </c>
      <c r="R14" s="5" t="e">
        <f>Kunnat!#REF!+18.06+3.614</f>
        <v>#REF!</v>
      </c>
      <c r="S14" s="29" t="e">
        <f t="shared" si="8"/>
        <v>#REF!</v>
      </c>
      <c r="T14" s="5" t="e">
        <f>Kunnat!#REF!+11.254+3.369</f>
        <v>#REF!</v>
      </c>
      <c r="U14" s="29" t="e">
        <f t="shared" si="9"/>
        <v>#REF!</v>
      </c>
      <c r="V14" s="5" t="e">
        <f>Kunnat!#REF!+20.21+3.504</f>
        <v>#REF!</v>
      </c>
      <c r="W14" s="29" t="e">
        <f t="shared" si="10"/>
        <v>#REF!</v>
      </c>
      <c r="X14" s="5">
        <v>95</v>
      </c>
      <c r="Y14" s="29">
        <f t="shared" si="11"/>
        <v>0.74282296183062857</v>
      </c>
      <c r="Z14" s="5">
        <f>Kunnat!B14+7.243+3.398</f>
        <v>88.035999999999987</v>
      </c>
      <c r="AA14" s="29">
        <f t="shared" si="12"/>
        <v>0.6520518643279426</v>
      </c>
      <c r="AB14" s="5">
        <f>Kunnat!D14+kuntayhtymät!D14</f>
        <v>122.696</v>
      </c>
      <c r="AC14" s="29">
        <f t="shared" si="13"/>
        <v>0.81709321499502174</v>
      </c>
      <c r="AD14" s="5">
        <f>Kunnat!F14+kuntayhtymät!F14</f>
        <v>248.31199999999998</v>
      </c>
      <c r="AE14" s="29">
        <f t="shared" si="14"/>
        <v>1.4815670462906765</v>
      </c>
      <c r="AF14" s="5">
        <f>Kunnat!H14+kuntayhtymät!H14</f>
        <v>295.61599999999999</v>
      </c>
      <c r="AG14" s="29">
        <f t="shared" si="14"/>
        <v>1.6664249278715511</v>
      </c>
      <c r="AH14" s="5">
        <f>Kunnat!J14+kuntayhtymät!J14</f>
        <v>311.98199999999997</v>
      </c>
      <c r="AI14" s="29">
        <f t="shared" si="15"/>
        <v>1.6768532420441891</v>
      </c>
      <c r="AJ14" s="5">
        <f>Kunnat!L14+kuntayhtymät!L14</f>
        <v>304.38100000000003</v>
      </c>
      <c r="AK14" s="29">
        <f t="shared" si="16"/>
        <v>1.5757352682333894</v>
      </c>
      <c r="AL14" s="5">
        <f>Kunnat!N14+kuntayhtymät!N14</f>
        <v>273</v>
      </c>
      <c r="AM14" s="29">
        <f t="shared" si="17"/>
        <v>1.3905159680130392</v>
      </c>
      <c r="AN14" s="5">
        <v>333.13499999999999</v>
      </c>
      <c r="AO14" s="29">
        <f t="shared" si="18"/>
        <v>1.6131030051987689</v>
      </c>
      <c r="AP14" s="5">
        <v>429.51100000000002</v>
      </c>
      <c r="AQ14" s="29">
        <f t="shared" si="19"/>
        <v>1.8558116634883919</v>
      </c>
      <c r="AR14" s="5">
        <v>401.93799999999999</v>
      </c>
      <c r="AS14" s="29">
        <f t="shared" si="20"/>
        <v>1.6342783643587135</v>
      </c>
    </row>
    <row r="15" spans="1:45" ht="18.75" customHeight="1">
      <c r="A15" s="35" t="s">
        <v>68</v>
      </c>
      <c r="B15" s="5">
        <f>104.949266111983+((0.031)/5.94573)</f>
        <v>104.9544799377033</v>
      </c>
      <c r="C15" s="29">
        <f t="shared" si="0"/>
        <v>2.4335071358661735</v>
      </c>
      <c r="D15" s="5">
        <v>183.66121569597004</v>
      </c>
      <c r="E15" s="29">
        <f t="shared" si="1"/>
        <v>4.4663188636735889</v>
      </c>
      <c r="F15" s="5">
        <f>420.241248761716</f>
        <v>420.24124876171601</v>
      </c>
      <c r="G15" s="11">
        <f t="shared" si="2"/>
        <v>9.6654398674370707</v>
      </c>
      <c r="H15" s="5">
        <f>825.133+38.416+43.15+3.85</f>
        <v>910.54899999999998</v>
      </c>
      <c r="I15" s="11">
        <f t="shared" si="3"/>
        <v>18.730261516331066</v>
      </c>
      <c r="J15" s="5">
        <f>1228.971+67.254+49.1+6.05</f>
        <v>1351.3749999999998</v>
      </c>
      <c r="K15" s="11">
        <f t="shared" si="4"/>
        <v>23.994192566456647</v>
      </c>
      <c r="L15" s="5">
        <f>1526.596+111.184+82.634+7.666</f>
        <v>1728.08</v>
      </c>
      <c r="M15" s="11">
        <f t="shared" si="5"/>
        <v>25.973342784306634</v>
      </c>
      <c r="N15" s="5">
        <f>1673.127+169.535+117.718+9.916</f>
        <v>1970.296</v>
      </c>
      <c r="O15" s="29">
        <f t="shared" si="6"/>
        <v>25.483169795624644</v>
      </c>
      <c r="P15" s="5">
        <f>1758.354+168.559+143.669+9.559</f>
        <v>2080.1410000000001</v>
      </c>
      <c r="Q15" s="29">
        <f t="shared" si="7"/>
        <v>24.649205152567049</v>
      </c>
      <c r="R15" s="5" t="e">
        <f>Kunnat!#REF!+201.775+11.894</f>
        <v>#REF!</v>
      </c>
      <c r="S15" s="29" t="e">
        <f t="shared" si="8"/>
        <v>#REF!</v>
      </c>
      <c r="T15" s="5" t="e">
        <f>Kunnat!#REF!+242.381+13.894</f>
        <v>#REF!</v>
      </c>
      <c r="U15" s="29" t="e">
        <f t="shared" si="9"/>
        <v>#REF!</v>
      </c>
      <c r="V15" s="5" t="e">
        <f>Kunnat!#REF!+284.41+17.971</f>
        <v>#REF!</v>
      </c>
      <c r="W15" s="29" t="e">
        <f t="shared" si="10"/>
        <v>#REF!</v>
      </c>
      <c r="X15" s="5">
        <v>2079.9169999999999</v>
      </c>
      <c r="Y15" s="29">
        <f t="shared" si="11"/>
        <v>16.263264276861847</v>
      </c>
      <c r="Z15" s="5">
        <f>Kunnat!B15+275.356+20.084</f>
        <v>1916.3780000000002</v>
      </c>
      <c r="AA15" s="29">
        <f t="shared" si="12"/>
        <v>14.19394165633439</v>
      </c>
      <c r="AB15" s="5">
        <f>Kunnat!D15+kuntayhtymät!D15</f>
        <v>1848.558</v>
      </c>
      <c r="AC15" s="29">
        <f t="shared" si="13"/>
        <v>12.310459993192666</v>
      </c>
      <c r="AD15" s="5">
        <f>Kunnat!F15+kuntayhtymät!F15</f>
        <v>2151.306</v>
      </c>
      <c r="AE15" s="29">
        <f t="shared" si="14"/>
        <v>12.835884194430436</v>
      </c>
      <c r="AF15" s="5">
        <f>Kunnat!H15+kuntayhtymät!H15</f>
        <v>2373.8630000000003</v>
      </c>
      <c r="AG15" s="29">
        <f t="shared" si="14"/>
        <v>13.381767152494941</v>
      </c>
      <c r="AH15" s="5">
        <f>Kunnat!J15+kuntayhtymät!J15</f>
        <v>2633.3560000000002</v>
      </c>
      <c r="AI15" s="29">
        <f t="shared" si="15"/>
        <v>14.153866396319399</v>
      </c>
      <c r="AJ15" s="5">
        <f>Kunnat!L15+kuntayhtymät!L15</f>
        <v>3067.2889999999998</v>
      </c>
      <c r="AK15" s="29">
        <f t="shared" si="16"/>
        <v>15.878899981156259</v>
      </c>
      <c r="AL15" s="5">
        <f>Kunnat!N15+kuntayhtymät!N15</f>
        <v>3503</v>
      </c>
      <c r="AM15" s="29">
        <f t="shared" si="17"/>
        <v>17.842408190291856</v>
      </c>
      <c r="AN15" s="5">
        <v>3959.1849999999999</v>
      </c>
      <c r="AO15" s="29">
        <f t="shared" si="18"/>
        <v>19.171126485172341</v>
      </c>
      <c r="AP15" s="5">
        <v>4513.4049999999997</v>
      </c>
      <c r="AQ15" s="29">
        <f t="shared" si="19"/>
        <v>19.501315777819016</v>
      </c>
      <c r="AR15" s="5">
        <v>5283.7120000000004</v>
      </c>
      <c r="AS15" s="29">
        <f t="shared" si="20"/>
        <v>21.483552699925134</v>
      </c>
    </row>
    <row r="16" spans="1:45" ht="18.75" customHeight="1">
      <c r="A16" s="36" t="s">
        <v>69</v>
      </c>
      <c r="B16" s="21">
        <f>B17+B18+B19+B20</f>
        <v>969.62256947422827</v>
      </c>
      <c r="C16" s="28">
        <f t="shared" si="0"/>
        <v>22.481969738814215</v>
      </c>
      <c r="D16" s="21">
        <f>D17+D18+D19+D20</f>
        <v>683.77036966024343</v>
      </c>
      <c r="E16" s="28">
        <f t="shared" si="1"/>
        <v>16.62809694938559</v>
      </c>
      <c r="F16" s="21">
        <f>F17+F18+F19+F20</f>
        <v>599.01745911099204</v>
      </c>
      <c r="G16" s="10">
        <f t="shared" si="2"/>
        <v>13.777246397497587</v>
      </c>
      <c r="H16" s="21">
        <f>H17+H18+H19+H20</f>
        <v>603.29999999999995</v>
      </c>
      <c r="I16" s="10">
        <f t="shared" si="3"/>
        <v>12.410058956522418</v>
      </c>
      <c r="J16" s="21">
        <f>J17+J18+J19+J20</f>
        <v>547.99200000000008</v>
      </c>
      <c r="K16" s="10">
        <f t="shared" si="4"/>
        <v>9.7298126522080963</v>
      </c>
      <c r="L16" s="21">
        <f>L17+L18+L19+L20</f>
        <v>511.49499999999995</v>
      </c>
      <c r="M16" s="10">
        <f t="shared" si="5"/>
        <v>7.6878587608553532</v>
      </c>
      <c r="N16" s="21">
        <f>N17+N18+N19+N20</f>
        <v>446.65499999999997</v>
      </c>
      <c r="O16" s="28">
        <f t="shared" si="6"/>
        <v>5.7768909874783914</v>
      </c>
      <c r="P16" s="21">
        <f>P17+P18+P19+P20</f>
        <v>411.36799999999999</v>
      </c>
      <c r="Q16" s="28">
        <f t="shared" si="7"/>
        <v>4.874618703828828</v>
      </c>
      <c r="R16" s="21" t="e">
        <f>R17+R18+R19+R20</f>
        <v>#REF!</v>
      </c>
      <c r="S16" s="28" t="e">
        <f t="shared" si="8"/>
        <v>#REF!</v>
      </c>
      <c r="T16" s="21" t="e">
        <f>T17+T18+T19+T20</f>
        <v>#REF!</v>
      </c>
      <c r="U16" s="28" t="e">
        <f t="shared" si="9"/>
        <v>#REF!</v>
      </c>
      <c r="V16" s="21" t="e">
        <f>V17+V18+V19+V20</f>
        <v>#REF!</v>
      </c>
      <c r="W16" s="28" t="e">
        <f t="shared" si="10"/>
        <v>#REF!</v>
      </c>
      <c r="X16" s="21">
        <f>X17+X18+X19+X20</f>
        <v>1706.4370000000001</v>
      </c>
      <c r="Y16" s="28">
        <f t="shared" si="11"/>
        <v>13.34295354228813</v>
      </c>
      <c r="Z16" s="21">
        <f>Z17+Z18+Z19+Z20</f>
        <v>1778.4449999999997</v>
      </c>
      <c r="AA16" s="28">
        <f t="shared" si="12"/>
        <v>13.172320162827797</v>
      </c>
      <c r="AB16" s="21">
        <f>AB17+AB18+AB19+AB20</f>
        <v>1697.4690000000003</v>
      </c>
      <c r="AC16" s="28">
        <f t="shared" si="13"/>
        <v>11.304283779132041</v>
      </c>
      <c r="AD16" s="21">
        <f>AD17+AD18+AD19+AD20</f>
        <v>1625.7029999999997</v>
      </c>
      <c r="AE16" s="28">
        <f t="shared" si="14"/>
        <v>9.6998453230447659</v>
      </c>
      <c r="AF16" s="21">
        <f>AF17+AF18+AF19+AF20</f>
        <v>1558.797</v>
      </c>
      <c r="AG16" s="28">
        <f t="shared" si="14"/>
        <v>8.7871366174070094</v>
      </c>
      <c r="AH16" s="21">
        <f>AH17+AH18+AH19+AH20</f>
        <v>1494.8710000000001</v>
      </c>
      <c r="AI16" s="28">
        <f t="shared" si="15"/>
        <v>8.0346920103975208</v>
      </c>
      <c r="AJ16" s="21">
        <f>AJ17+AJ18+AJ19+AJ20</f>
        <v>1450.2809999999999</v>
      </c>
      <c r="AK16" s="28">
        <f t="shared" si="16"/>
        <v>7.5078895218452795</v>
      </c>
      <c r="AL16" s="21">
        <f>AL17+AL18+AL19+AL20</f>
        <v>1386</v>
      </c>
      <c r="AM16" s="28">
        <f t="shared" si="17"/>
        <v>7.0595426068354303</v>
      </c>
      <c r="AN16" s="21">
        <f>AN17+AN18+AN19+AN20</f>
        <v>1304.8660000000002</v>
      </c>
      <c r="AO16" s="28">
        <f t="shared" si="18"/>
        <v>6.3184092514497037</v>
      </c>
      <c r="AP16" s="21">
        <f>AP17+AP18+AP19+AP20</f>
        <v>1269.8209999999999</v>
      </c>
      <c r="AQ16" s="28">
        <f t="shared" si="19"/>
        <v>5.4865850288874851</v>
      </c>
      <c r="AR16" s="21">
        <f>AR17+AR18+AR19+AR20</f>
        <v>1238.8779999999999</v>
      </c>
      <c r="AS16" s="28">
        <f t="shared" si="20"/>
        <v>5.0372731900939804</v>
      </c>
    </row>
    <row r="17" spans="1:45" ht="18.75" customHeight="1">
      <c r="A17" s="35" t="s">
        <v>70</v>
      </c>
      <c r="B17" s="5">
        <f>263.886856618111+((14.626+15.284)/5.94573)</f>
        <v>268.9173574985748</v>
      </c>
      <c r="C17" s="29">
        <f t="shared" si="0"/>
        <v>6.2352012874485121</v>
      </c>
      <c r="D17" s="5">
        <f>226.717324870117+((15.562+0.754)/5.94573)</f>
        <v>229.46147907826301</v>
      </c>
      <c r="E17" s="29">
        <f t="shared" si="1"/>
        <v>5.5801009952488085</v>
      </c>
      <c r="F17" s="5">
        <f>214.429010399059+2.64+0.098</f>
        <v>217.167010399059</v>
      </c>
      <c r="G17" s="11">
        <f t="shared" si="2"/>
        <v>4.9947849869286944</v>
      </c>
      <c r="H17" s="5">
        <f>183.017+17.565+3.709+0.293</f>
        <v>204.584</v>
      </c>
      <c r="I17" s="11">
        <f t="shared" si="3"/>
        <v>4.208353226522763</v>
      </c>
      <c r="J17" s="5">
        <f>169.48+7.577+3.842+0.118</f>
        <v>181.017</v>
      </c>
      <c r="K17" s="11">
        <f t="shared" si="4"/>
        <v>3.2140277538079989</v>
      </c>
      <c r="L17" s="5">
        <f>159.242+9.98+2.182+0.137</f>
        <v>171.54099999999997</v>
      </c>
      <c r="M17" s="11">
        <f t="shared" si="5"/>
        <v>2.5782910481938011</v>
      </c>
      <c r="N17" s="5">
        <f>146.447+7.606+2.07+0.094</f>
        <v>156.21699999999998</v>
      </c>
      <c r="O17" s="29">
        <f t="shared" si="6"/>
        <v>2.020460040503099</v>
      </c>
      <c r="P17" s="5">
        <f>131.358+5.624+1.98+0.089</f>
        <v>139.05099999999999</v>
      </c>
      <c r="Q17" s="29">
        <f t="shared" si="7"/>
        <v>1.6477232195652123</v>
      </c>
      <c r="R17" s="5" t="e">
        <f>Kunnat!#REF!+1.893+0.087</f>
        <v>#REF!</v>
      </c>
      <c r="S17" s="29" t="e">
        <f t="shared" si="8"/>
        <v>#REF!</v>
      </c>
      <c r="T17" s="5" t="e">
        <f>Kunnat!#REF!+1.826+0.101</f>
        <v>#REF!</v>
      </c>
      <c r="U17" s="29" t="e">
        <f t="shared" si="9"/>
        <v>#REF!</v>
      </c>
      <c r="V17" s="5" t="e">
        <f>Kunnat!#REF!+2.233+0.148</f>
        <v>#REF!</v>
      </c>
      <c r="W17" s="29" t="e">
        <f t="shared" si="10"/>
        <v>#REF!</v>
      </c>
      <c r="X17" s="5">
        <v>80</v>
      </c>
      <c r="Y17" s="29">
        <f t="shared" si="11"/>
        <v>0.62553512575210823</v>
      </c>
      <c r="Z17" s="5">
        <f>Kunnat!B17+1.908+0.184</f>
        <v>76.403999999999996</v>
      </c>
      <c r="AA17" s="29">
        <f t="shared" si="12"/>
        <v>0.56589770823426933</v>
      </c>
      <c r="AB17" s="5">
        <f>Kunnat!D17+kuntayhtymät!D17</f>
        <v>68.111000000000004</v>
      </c>
      <c r="AC17" s="29">
        <f t="shared" si="13"/>
        <v>0.45358476206661935</v>
      </c>
      <c r="AD17" s="5">
        <f>Kunnat!F17+kuntayhtymät!F17</f>
        <v>63.531999999999996</v>
      </c>
      <c r="AE17" s="29">
        <f t="shared" si="14"/>
        <v>0.37906713161240402</v>
      </c>
      <c r="AF17" s="5">
        <f>Kunnat!H17+kuntayhtymät!H17</f>
        <v>56.602999999999994</v>
      </c>
      <c r="AG17" s="29">
        <f t="shared" si="14"/>
        <v>0.31907829817165984</v>
      </c>
      <c r="AH17" s="5">
        <f>Kunnat!J17+kuntayhtymät!J17</f>
        <v>50.615000000000002</v>
      </c>
      <c r="AI17" s="29">
        <f t="shared" si="15"/>
        <v>0.27204751186307746</v>
      </c>
      <c r="AJ17" s="5">
        <f>Kunnat!L17+kuntayhtymät!L17</f>
        <v>47.259</v>
      </c>
      <c r="AK17" s="29">
        <f t="shared" si="16"/>
        <v>0.24465282997769813</v>
      </c>
      <c r="AL17" s="5">
        <f>Kunnat!N17+kuntayhtymät!N17</f>
        <v>33</v>
      </c>
      <c r="AM17" s="29">
        <f t="shared" si="17"/>
        <v>0.16808434778179596</v>
      </c>
      <c r="AN17" s="5">
        <v>29</v>
      </c>
      <c r="AO17" s="29">
        <f t="shared" si="18"/>
        <v>0.14042351344279136</v>
      </c>
      <c r="AP17" s="5">
        <v>25</v>
      </c>
      <c r="AQ17" s="29">
        <f t="shared" si="19"/>
        <v>0.10801886700738698</v>
      </c>
      <c r="AR17" s="5">
        <v>21.106000000000002</v>
      </c>
      <c r="AS17" s="29">
        <f t="shared" si="20"/>
        <v>8.5816914942491176E-2</v>
      </c>
    </row>
    <row r="18" spans="1:45" ht="18.75" customHeight="1">
      <c r="A18" s="35" t="s">
        <v>71</v>
      </c>
      <c r="B18" s="5">
        <f>11.1004031464597+((837.118+478.509)/5.94573)</f>
        <v>232.37298027323808</v>
      </c>
      <c r="C18" s="29">
        <f t="shared" si="0"/>
        <v>5.3878720185461466</v>
      </c>
      <c r="D18" s="5">
        <f>4.70926194092231+((128.529+251.922)/5.94573)</f>
        <v>68.696526751130648</v>
      </c>
      <c r="E18" s="29">
        <f t="shared" si="1"/>
        <v>1.6705791265442684</v>
      </c>
      <c r="F18" s="5">
        <f>3.65169625933233+22.558+6.407</f>
        <v>32.616696259332329</v>
      </c>
      <c r="G18" s="11">
        <f t="shared" si="2"/>
        <v>0.75017556534006768</v>
      </c>
      <c r="H18" s="5">
        <f>1.255+0.996+21.283+5.076</f>
        <v>28.610000000000003</v>
      </c>
      <c r="I18" s="11">
        <f t="shared" si="3"/>
        <v>0.58851613914488055</v>
      </c>
      <c r="J18" s="5">
        <f>2.048+0.363+21.56+5.263</f>
        <v>29.234000000000002</v>
      </c>
      <c r="K18" s="11">
        <f t="shared" si="4"/>
        <v>0.51906112329130982</v>
      </c>
      <c r="L18" s="5">
        <f>3.41+3.339+22.403+3.7</f>
        <v>32.852000000000004</v>
      </c>
      <c r="M18" s="11">
        <f t="shared" si="5"/>
        <v>0.49377127051412062</v>
      </c>
      <c r="N18" s="5">
        <f>3.247+4.343+14.285+5.174</f>
        <v>27.048999999999999</v>
      </c>
      <c r="O18" s="29">
        <f t="shared" si="6"/>
        <v>0.34984299810883795</v>
      </c>
      <c r="P18" s="5">
        <f>2.877+11.077+14.209+3.202</f>
        <v>31.365000000000002</v>
      </c>
      <c r="Q18" s="29">
        <f t="shared" si="7"/>
        <v>0.37166822807216698</v>
      </c>
      <c r="R18" s="5" t="e">
        <f>Kunnat!#REF!+10.862+1.668</f>
        <v>#REF!</v>
      </c>
      <c r="S18" s="29" t="e">
        <f t="shared" si="8"/>
        <v>#REF!</v>
      </c>
      <c r="T18" s="5" t="e">
        <f>Kunnat!#REF!+9.095+2.55</f>
        <v>#REF!</v>
      </c>
      <c r="U18" s="29" t="e">
        <f t="shared" si="9"/>
        <v>#REF!</v>
      </c>
      <c r="V18" s="5" t="e">
        <f>Kunnat!#REF!+7.18+1.665</f>
        <v>#REF!</v>
      </c>
      <c r="W18" s="29" t="e">
        <f t="shared" si="10"/>
        <v>#REF!</v>
      </c>
      <c r="X18" s="5">
        <v>1197.8130000000001</v>
      </c>
      <c r="Y18" s="29">
        <f t="shared" si="11"/>
        <v>9.3659263197813782</v>
      </c>
      <c r="Z18" s="5">
        <f>Kunnat!B18+1194.87+1.753</f>
        <v>1207.0079999999998</v>
      </c>
      <c r="AA18" s="29">
        <f t="shared" si="12"/>
        <v>8.9398861449718456</v>
      </c>
      <c r="AB18" s="5">
        <f>Kunnat!D18+kuntayhtymät!D18</f>
        <v>1206.086</v>
      </c>
      <c r="AC18" s="29">
        <f t="shared" si="13"/>
        <v>8.0319218825429175</v>
      </c>
      <c r="AD18" s="5">
        <f>Kunnat!F18+kuntayhtymät!F18</f>
        <v>1205.193</v>
      </c>
      <c r="AE18" s="29">
        <f t="shared" si="14"/>
        <v>7.1908495490358879</v>
      </c>
      <c r="AF18" s="5">
        <f>Kunnat!H18+kuntayhtymät!H18</f>
        <v>1207.4769999999999</v>
      </c>
      <c r="AG18" s="29">
        <f t="shared" si="14"/>
        <v>6.8067011685144125</v>
      </c>
      <c r="AH18" s="5">
        <f>Kunnat!J18+kuntayhtymät!J18</f>
        <v>1209.806</v>
      </c>
      <c r="AI18" s="29">
        <f t="shared" si="15"/>
        <v>6.5025133287962529</v>
      </c>
      <c r="AJ18" s="5">
        <f>Kunnat!L18+kuntayhtymät!L18</f>
        <v>1217.481</v>
      </c>
      <c r="AK18" s="29">
        <f t="shared" si="16"/>
        <v>6.3027184683145627</v>
      </c>
      <c r="AL18" s="5">
        <f>Kunnat!N18+kuntayhtymät!N18</f>
        <v>1218</v>
      </c>
      <c r="AM18" s="29">
        <f t="shared" si="17"/>
        <v>6.2038404726735594</v>
      </c>
      <c r="AN18" s="5">
        <v>1211.4660000000001</v>
      </c>
      <c r="AO18" s="29">
        <f t="shared" si="18"/>
        <v>5.8661486943615406</v>
      </c>
      <c r="AP18" s="5">
        <v>1199.471</v>
      </c>
      <c r="AQ18" s="29">
        <f t="shared" si="19"/>
        <v>5.182619937128699</v>
      </c>
      <c r="AR18" s="5">
        <v>1186.7070000000001</v>
      </c>
      <c r="AS18" s="29">
        <f t="shared" si="20"/>
        <v>4.8251461044564987</v>
      </c>
    </row>
    <row r="19" spans="1:45" ht="18.75" customHeight="1">
      <c r="A19" s="35" t="s">
        <v>72</v>
      </c>
      <c r="B19" s="5">
        <f>376.068203567939+((175.606+91.496)/5.94573)</f>
        <v>420.9915351016615</v>
      </c>
      <c r="C19" s="29">
        <f t="shared" si="0"/>
        <v>9.7612403531249079</v>
      </c>
      <c r="D19" s="5">
        <f>330.825651349792+((121.482+47.883)/5.94573)</f>
        <v>359.31079951494581</v>
      </c>
      <c r="E19" s="29">
        <f t="shared" si="1"/>
        <v>8.737808882043975</v>
      </c>
      <c r="F19" s="5">
        <f>299.485681320881+20.696+6.644</f>
        <v>326.82568132088102</v>
      </c>
      <c r="G19" s="11">
        <f t="shared" si="2"/>
        <v>7.5169060135081729</v>
      </c>
      <c r="H19" s="5">
        <f>249.918+69.529+25.527+8.911</f>
        <v>353.88499999999999</v>
      </c>
      <c r="I19" s="11">
        <f t="shared" si="3"/>
        <v>7.2795188361162548</v>
      </c>
      <c r="J19" s="5">
        <f>235.103+61.998+21.692+7.012</f>
        <v>325.80500000000001</v>
      </c>
      <c r="K19" s="11">
        <f t="shared" si="4"/>
        <v>5.7847954188248343</v>
      </c>
      <c r="L19" s="5">
        <f>214.814+58.088+17.539+6.924</f>
        <v>297.36499999999995</v>
      </c>
      <c r="M19" s="11">
        <f t="shared" si="5"/>
        <v>4.4694476396088962</v>
      </c>
      <c r="N19" s="5">
        <f>184.785+53.539+14.926+2.909</f>
        <v>256.15899999999999</v>
      </c>
      <c r="O19" s="29">
        <f t="shared" si="6"/>
        <v>3.313077472459677</v>
      </c>
      <c r="P19" s="5">
        <f>165.476+54.865+13.124+2.475</f>
        <v>235.94</v>
      </c>
      <c r="Q19" s="29">
        <f t="shared" si="7"/>
        <v>2.7958361782670837</v>
      </c>
      <c r="R19" s="5" t="e">
        <f>Kunnat!#REF!+20.739+2.905</f>
        <v>#REF!</v>
      </c>
      <c r="S19" s="29" t="e">
        <f t="shared" si="8"/>
        <v>#REF!</v>
      </c>
      <c r="T19" s="5" t="e">
        <f>Kunnat!#REF!+39.228+3.8</f>
        <v>#REF!</v>
      </c>
      <c r="U19" s="29" t="e">
        <f t="shared" si="9"/>
        <v>#REF!</v>
      </c>
      <c r="V19" s="5" t="e">
        <f>Kunnat!#REF!+50.246+3.415</f>
        <v>#REF!</v>
      </c>
      <c r="W19" s="29" t="e">
        <f t="shared" si="10"/>
        <v>#REF!</v>
      </c>
      <c r="X19" s="5">
        <v>426.62400000000002</v>
      </c>
      <c r="Y19" s="29">
        <f t="shared" si="11"/>
        <v>3.335853718610843</v>
      </c>
      <c r="Z19" s="5">
        <f>Kunnat!B19+63.926+5.692</f>
        <v>493.08199999999999</v>
      </c>
      <c r="AA19" s="29">
        <f t="shared" si="12"/>
        <v>3.6520859349192447</v>
      </c>
      <c r="AB19" s="5">
        <f>Kunnat!D19+kuntayhtymät!D19</f>
        <v>421.072</v>
      </c>
      <c r="AC19" s="29">
        <f t="shared" si="13"/>
        <v>2.8041262488131951</v>
      </c>
      <c r="AD19" s="5">
        <f>Kunnat!F19+kuntayhtymät!F19</f>
        <v>355.61799999999999</v>
      </c>
      <c r="AE19" s="29">
        <f t="shared" si="14"/>
        <v>2.1218141284665979</v>
      </c>
      <c r="AF19" s="5">
        <f>Kunnat!H19+kuntayhtymät!H19</f>
        <v>293.63900000000001</v>
      </c>
      <c r="AG19" s="29">
        <f t="shared" si="14"/>
        <v>1.6552803278417758</v>
      </c>
      <c r="AH19" s="5">
        <f>Kunnat!J19+kuntayhtymät!J19</f>
        <v>233.7</v>
      </c>
      <c r="AI19" s="29">
        <f t="shared" si="15"/>
        <v>1.2561000399565585</v>
      </c>
      <c r="AJ19" s="5">
        <f>Kunnat!L19+kuntayhtymät!L19</f>
        <v>185.041</v>
      </c>
      <c r="AK19" s="29">
        <f t="shared" si="16"/>
        <v>0.95792979775076148</v>
      </c>
      <c r="AL19" s="5">
        <f>Kunnat!N19+kuntayhtymät!N19</f>
        <v>135</v>
      </c>
      <c r="AM19" s="29">
        <f t="shared" si="17"/>
        <v>0.68761778638007431</v>
      </c>
      <c r="AN19" s="5">
        <v>64</v>
      </c>
      <c r="AO19" s="29">
        <f t="shared" si="18"/>
        <v>0.30990016759788436</v>
      </c>
      <c r="AP19" s="5">
        <v>45</v>
      </c>
      <c r="AQ19" s="29">
        <f t="shared" si="19"/>
        <v>0.19443396061329657</v>
      </c>
      <c r="AR19" s="5">
        <v>30.715</v>
      </c>
      <c r="AS19" s="29">
        <f t="shared" si="20"/>
        <v>0.12488707203916496</v>
      </c>
    </row>
    <row r="20" spans="1:45" ht="18.75" customHeight="1">
      <c r="A20" s="35" t="s">
        <v>73</v>
      </c>
      <c r="B20" s="5">
        <f>47.0926194092231+((1.142+0.333)/5.94573)</f>
        <v>47.340696600753823</v>
      </c>
      <c r="C20" s="29">
        <f t="shared" si="0"/>
        <v>1.0976560796946477</v>
      </c>
      <c r="D20" s="5">
        <f>26.2373165279957+((0.293+0.089)/5.94573)</f>
        <v>26.301564315903995</v>
      </c>
      <c r="E20" s="29">
        <f t="shared" si="1"/>
        <v>0.63960794554853717</v>
      </c>
      <c r="F20" s="5">
        <f>22.3590711317197+0.049</f>
        <v>22.408071131719698</v>
      </c>
      <c r="G20" s="11">
        <f t="shared" si="2"/>
        <v>0.51537983172065072</v>
      </c>
      <c r="H20" s="5">
        <f>11.624+4.56+0.025+0.012</f>
        <v>16.221</v>
      </c>
      <c r="I20" s="11">
        <f t="shared" si="3"/>
        <v>0.3336707547385217</v>
      </c>
      <c r="J20" s="5">
        <f>8.415+3.497+0.024</f>
        <v>11.935999999999998</v>
      </c>
      <c r="K20" s="11">
        <f t="shared" si="4"/>
        <v>0.21192835628395271</v>
      </c>
      <c r="L20" s="5">
        <f>6.778+2.876+0.054+0.029</f>
        <v>9.7370000000000001</v>
      </c>
      <c r="M20" s="11">
        <f t="shared" si="5"/>
        <v>0.14634880253853624</v>
      </c>
      <c r="N20" s="5">
        <f>4.767+2.409+0.041+0.013</f>
        <v>7.23</v>
      </c>
      <c r="O20" s="29">
        <f t="shared" si="6"/>
        <v>9.3510476406776524E-2</v>
      </c>
      <c r="P20" s="5">
        <f>2.807+2.164+0.031+0.01</f>
        <v>5.0119999999999996</v>
      </c>
      <c r="Q20" s="29">
        <f t="shared" si="7"/>
        <v>5.9391077924364759E-2</v>
      </c>
      <c r="R20" s="5" t="e">
        <f>Kunnat!#REF!</f>
        <v>#REF!</v>
      </c>
      <c r="S20" s="29" t="e">
        <f t="shared" si="8"/>
        <v>#REF!</v>
      </c>
      <c r="T20" s="5" t="e">
        <f>Kunnat!#REF!</f>
        <v>#REF!</v>
      </c>
      <c r="U20" s="29" t="e">
        <f t="shared" si="9"/>
        <v>#REF!</v>
      </c>
      <c r="V20" s="5" t="e">
        <f>Kunnat!#REF!</f>
        <v>#REF!</v>
      </c>
      <c r="W20" s="29" t="e">
        <f t="shared" si="10"/>
        <v>#REF!</v>
      </c>
      <c r="X20" s="5">
        <v>2</v>
      </c>
      <c r="Y20" s="29">
        <f t="shared" si="11"/>
        <v>1.5638378143802707E-2</v>
      </c>
      <c r="Z20" s="5">
        <f>Kunnat!B20</f>
        <v>1.9510000000000001</v>
      </c>
      <c r="AA20" s="29">
        <f t="shared" si="12"/>
        <v>1.4450374702437823E-2</v>
      </c>
      <c r="AB20" s="5">
        <f>Kunnat!D20+kuntayhtymät!D20</f>
        <v>2.2000000000000002</v>
      </c>
      <c r="AC20" s="29">
        <f t="shared" si="13"/>
        <v>1.4650885709306319E-2</v>
      </c>
      <c r="AD20" s="5">
        <f>Kunnat!F20+kuntayhtymät!F20</f>
        <v>1.36</v>
      </c>
      <c r="AE20" s="29">
        <f t="shared" si="14"/>
        <v>8.1145139298758016E-3</v>
      </c>
      <c r="AF20" s="5">
        <f>Kunnat!H20+kuntayhtymät!H20</f>
        <v>1.0779999999999998</v>
      </c>
      <c r="AG20" s="29">
        <f t="shared" si="14"/>
        <v>6.0768228791592193E-3</v>
      </c>
      <c r="AH20" s="5">
        <f>Kunnat!J20+kuntayhtymät!J20</f>
        <v>0.75</v>
      </c>
      <c r="AI20" s="29">
        <f t="shared" si="15"/>
        <v>4.0311297816320877E-3</v>
      </c>
      <c r="AJ20" s="5">
        <f>Kunnat!L20+kuntayhtymät!L20</f>
        <v>0.5</v>
      </c>
      <c r="AK20" s="29">
        <f t="shared" si="16"/>
        <v>2.5884258022566935E-3</v>
      </c>
      <c r="AL20" s="5">
        <f>Kunnat!N20+kuntayhtymät!N20</f>
        <v>0</v>
      </c>
      <c r="AM20" s="29">
        <f t="shared" si="17"/>
        <v>0</v>
      </c>
      <c r="AN20" s="5">
        <v>0.4</v>
      </c>
      <c r="AO20" s="29">
        <f t="shared" si="18"/>
        <v>1.9368760474867772E-3</v>
      </c>
      <c r="AP20" s="5">
        <v>0.35000000000000003</v>
      </c>
      <c r="AQ20" s="29">
        <f t="shared" si="19"/>
        <v>1.5122641381034177E-3</v>
      </c>
      <c r="AR20" s="5">
        <v>0.35000000000000003</v>
      </c>
      <c r="AS20" s="29">
        <f t="shared" si="20"/>
        <v>1.4230986558263956E-3</v>
      </c>
    </row>
    <row r="21" spans="1:45" ht="18.75" customHeight="1">
      <c r="A21" s="36" t="s">
        <v>74</v>
      </c>
      <c r="B21" s="21">
        <f>B22+B23</f>
        <v>170.89962039984991</v>
      </c>
      <c r="C21" s="28">
        <f t="shared" si="0"/>
        <v>3.9625316232971453</v>
      </c>
      <c r="D21" s="21">
        <f>D22+D23</f>
        <v>188.22381776501788</v>
      </c>
      <c r="E21" s="28">
        <f t="shared" si="1"/>
        <v>4.5772733491440434</v>
      </c>
      <c r="F21" s="21">
        <f>F22+F23</f>
        <v>181.40387499264216</v>
      </c>
      <c r="G21" s="10">
        <f t="shared" si="2"/>
        <v>4.1722421362202669</v>
      </c>
      <c r="H21" s="21">
        <f>H22+H23</f>
        <v>152.94499999999999</v>
      </c>
      <c r="I21" s="10">
        <f t="shared" si="3"/>
        <v>3.1461237644709454</v>
      </c>
      <c r="J21" s="21">
        <f>J22+J23</f>
        <v>201.38599999999997</v>
      </c>
      <c r="K21" s="10">
        <f t="shared" si="4"/>
        <v>3.5756873289711879</v>
      </c>
      <c r="L21" s="21">
        <f>L22+L23</f>
        <v>163.49099999999999</v>
      </c>
      <c r="M21" s="10">
        <f t="shared" si="5"/>
        <v>2.4572981488988215</v>
      </c>
      <c r="N21" s="21">
        <f>N22+N23</f>
        <v>280.15999999999997</v>
      </c>
      <c r="O21" s="28">
        <f t="shared" si="6"/>
        <v>3.6234986265729607</v>
      </c>
      <c r="P21" s="21">
        <f>P22+P23</f>
        <v>356.30900000000003</v>
      </c>
      <c r="Q21" s="28">
        <f t="shared" si="7"/>
        <v>4.2221818803177351</v>
      </c>
      <c r="R21" s="21" t="e">
        <f>R22+R23</f>
        <v>#REF!</v>
      </c>
      <c r="S21" s="28" t="e">
        <f t="shared" si="8"/>
        <v>#REF!</v>
      </c>
      <c r="T21" s="21" t="e">
        <f>T22+T23</f>
        <v>#REF!</v>
      </c>
      <c r="U21" s="28" t="e">
        <f t="shared" si="9"/>
        <v>#REF!</v>
      </c>
      <c r="V21" s="21" t="e">
        <f>V22+V23</f>
        <v>#REF!</v>
      </c>
      <c r="W21" s="28" t="e">
        <f t="shared" si="10"/>
        <v>#REF!</v>
      </c>
      <c r="X21" s="21">
        <f>X22+X23</f>
        <v>495</v>
      </c>
      <c r="Y21" s="28">
        <f t="shared" si="11"/>
        <v>3.8704985905911702</v>
      </c>
      <c r="Z21" s="21">
        <f>Z22+Z23</f>
        <v>499.50399999999996</v>
      </c>
      <c r="AA21" s="28">
        <f t="shared" si="12"/>
        <v>3.6996514430376739</v>
      </c>
      <c r="AB21" s="21">
        <f>AB22+AB23</f>
        <v>598.45500000000004</v>
      </c>
      <c r="AC21" s="28">
        <f t="shared" si="13"/>
        <v>3.9854071850740511</v>
      </c>
      <c r="AD21" s="21">
        <f>AD22+AD23</f>
        <v>784.25</v>
      </c>
      <c r="AE21" s="28">
        <f t="shared" si="14"/>
        <v>4.6792702569890423</v>
      </c>
      <c r="AF21" s="21">
        <f>AF22+AF23</f>
        <v>847.44299999999998</v>
      </c>
      <c r="AG21" s="28">
        <f t="shared" si="14"/>
        <v>4.7771437951607858</v>
      </c>
      <c r="AH21" s="21">
        <f>AH22+AH23</f>
        <v>1020.3</v>
      </c>
      <c r="AI21" s="28">
        <f t="shared" si="15"/>
        <v>5.4839489549322922</v>
      </c>
      <c r="AJ21" s="21">
        <f>AJ22+AJ23</f>
        <v>1105.075</v>
      </c>
      <c r="AK21" s="28">
        <f t="shared" si="16"/>
        <v>5.720809286857631</v>
      </c>
      <c r="AL21" s="21">
        <f>AL22+AL23</f>
        <v>1237</v>
      </c>
      <c r="AM21" s="28">
        <f t="shared" si="17"/>
        <v>6.3006163092751999</v>
      </c>
      <c r="AN21" s="21">
        <f>AN22+AN23</f>
        <v>1161.915</v>
      </c>
      <c r="AO21" s="28">
        <f t="shared" si="18"/>
        <v>5.6262133317889971</v>
      </c>
      <c r="AP21" s="21">
        <f>AP22+AP23</f>
        <v>1258.0709999999999</v>
      </c>
      <c r="AQ21" s="28">
        <f t="shared" si="19"/>
        <v>5.4358161613940137</v>
      </c>
      <c r="AR21" s="21">
        <f>AR22+AR23</f>
        <v>1252.9490000000001</v>
      </c>
      <c r="AS21" s="28">
        <f t="shared" si="20"/>
        <v>5.0944858220543621</v>
      </c>
    </row>
    <row r="22" spans="1:45" ht="18.75" customHeight="1">
      <c r="A22" s="35" t="s">
        <v>75</v>
      </c>
      <c r="B22" s="5">
        <f>160.955845623666+((6.469+3.654)/5.94573)</f>
        <v>162.65841200323587</v>
      </c>
      <c r="C22" s="29">
        <f t="shared" si="0"/>
        <v>3.7714484084289053</v>
      </c>
      <c r="D22" s="5">
        <f>168.187926461511+((6.514+5.614)/5.94573)</f>
        <v>170.22770963363621</v>
      </c>
      <c r="E22" s="29">
        <f t="shared" si="1"/>
        <v>4.1396395410734632</v>
      </c>
      <c r="F22" s="5">
        <f>168.266133847316+0.082+1.66</f>
        <v>170.008133847316</v>
      </c>
      <c r="G22" s="11">
        <f t="shared" si="2"/>
        <v>3.9101430416892518</v>
      </c>
      <c r="H22" s="5">
        <f>141.393+0.319+2.403</f>
        <v>144.11499999999998</v>
      </c>
      <c r="I22" s="11">
        <f t="shared" si="3"/>
        <v>2.9644880598694319</v>
      </c>
      <c r="J22" s="5">
        <f>25.48+172.475+0.636+2.795</f>
        <v>201.38599999999997</v>
      </c>
      <c r="K22" s="11">
        <f t="shared" si="4"/>
        <v>3.5756873289711879</v>
      </c>
      <c r="L22" s="5">
        <f>29.309+130.134+0.802+3.246</f>
        <v>163.49099999999999</v>
      </c>
      <c r="M22" s="11">
        <f t="shared" si="5"/>
        <v>2.4572981488988215</v>
      </c>
      <c r="N22" s="5">
        <f>39.138+236.913+0.769+3.311</f>
        <v>280.13099999999997</v>
      </c>
      <c r="O22" s="29">
        <f t="shared" si="6"/>
        <v>3.6231235499732661</v>
      </c>
      <c r="P22" s="5">
        <f>28.922+323.311+0.744+3.303</f>
        <v>356.28000000000003</v>
      </c>
      <c r="Q22" s="29">
        <f t="shared" si="7"/>
        <v>4.2218382368101919</v>
      </c>
      <c r="R22" s="5" t="e">
        <f>Kunnat!#REF!+0.71+3.335</f>
        <v>#REF!</v>
      </c>
      <c r="S22" s="29" t="e">
        <f t="shared" si="8"/>
        <v>#REF!</v>
      </c>
      <c r="T22" s="5" t="e">
        <f>Kunnat!#REF!+1.123+10.377</f>
        <v>#REF!</v>
      </c>
      <c r="U22" s="29" t="e">
        <f t="shared" si="9"/>
        <v>#REF!</v>
      </c>
      <c r="V22" s="5" t="e">
        <f>Kunnat!#REF!+2.107+19.94</f>
        <v>#REF!</v>
      </c>
      <c r="W22" s="29" t="e">
        <f t="shared" si="10"/>
        <v>#REF!</v>
      </c>
      <c r="X22" s="5">
        <v>495</v>
      </c>
      <c r="Y22" s="29">
        <f t="shared" si="11"/>
        <v>3.8704985905911702</v>
      </c>
      <c r="Z22" s="5">
        <f>Kunnat!B22+3.183+35.517</f>
        <v>499.40399999999994</v>
      </c>
      <c r="AA22" s="29">
        <f t="shared" si="12"/>
        <v>3.6989107780093584</v>
      </c>
      <c r="AB22" s="5">
        <f>Kunnat!D22+kuntayhtymät!D22</f>
        <v>598.35500000000002</v>
      </c>
      <c r="AC22" s="29">
        <f t="shared" si="13"/>
        <v>3.9847412357236278</v>
      </c>
      <c r="AD22" s="5">
        <f>Kunnat!F22+kuntayhtymät!F22</f>
        <v>784.15</v>
      </c>
      <c r="AE22" s="29">
        <f t="shared" si="14"/>
        <v>4.6786736015530224</v>
      </c>
      <c r="AF22" s="5">
        <f>Kunnat!H22+kuntayhtymät!H22</f>
        <v>847.34299999999996</v>
      </c>
      <c r="AG22" s="29">
        <f t="shared" si="14"/>
        <v>4.7765800824632763</v>
      </c>
      <c r="AH22" s="5">
        <f>Kunnat!J22+kuntayhtymät!J22</f>
        <v>1020.194</v>
      </c>
      <c r="AI22" s="29">
        <f t="shared" si="15"/>
        <v>5.4833792219231547</v>
      </c>
      <c r="AJ22" s="5">
        <f>Kunnat!L22+kuntayhtymät!L22</f>
        <v>1075.0250000000001</v>
      </c>
      <c r="AK22" s="29">
        <f t="shared" si="16"/>
        <v>5.565244896142004</v>
      </c>
      <c r="AL22" s="5">
        <f>Kunnat!N22+kuntayhtymät!N22</f>
        <v>1188</v>
      </c>
      <c r="AM22" s="29">
        <f t="shared" si="17"/>
        <v>6.0510365201446543</v>
      </c>
      <c r="AN22" s="5">
        <v>1094.915</v>
      </c>
      <c r="AO22" s="29">
        <f t="shared" si="18"/>
        <v>5.3017865938349615</v>
      </c>
      <c r="AP22" s="5">
        <v>1258.0709999999999</v>
      </c>
      <c r="AQ22" s="29">
        <f t="shared" si="19"/>
        <v>5.4358161613940137</v>
      </c>
      <c r="AR22" s="5">
        <v>1252.9490000000001</v>
      </c>
      <c r="AS22" s="29">
        <f t="shared" si="20"/>
        <v>5.0944858220543621</v>
      </c>
    </row>
    <row r="23" spans="1:45" ht="18.75" customHeight="1">
      <c r="A23" s="35" t="s">
        <v>76</v>
      </c>
      <c r="B23" s="5">
        <v>8.2412083966140397</v>
      </c>
      <c r="C23" s="29">
        <f t="shared" si="0"/>
        <v>0.19108321486823951</v>
      </c>
      <c r="D23" s="5">
        <v>17.996108131381678</v>
      </c>
      <c r="E23" s="29">
        <f t="shared" si="1"/>
        <v>0.43763380807058055</v>
      </c>
      <c r="F23" s="5">
        <v>11.395741145326141</v>
      </c>
      <c r="G23" s="11">
        <f t="shared" si="2"/>
        <v>0.26209909453101382</v>
      </c>
      <c r="H23" s="5">
        <v>8.83</v>
      </c>
      <c r="I23" s="11">
        <f t="shared" si="3"/>
        <v>0.18163570460151326</v>
      </c>
      <c r="J23" s="5">
        <v>0</v>
      </c>
      <c r="K23" s="11">
        <f t="shared" si="4"/>
        <v>0</v>
      </c>
      <c r="L23" s="5">
        <v>0</v>
      </c>
      <c r="M23" s="11">
        <f t="shared" si="5"/>
        <v>0</v>
      </c>
      <c r="N23" s="5">
        <v>2.9000000000000001E-2</v>
      </c>
      <c r="O23" s="29">
        <f t="shared" si="6"/>
        <v>3.7507659969523093E-4</v>
      </c>
      <c r="P23" s="5">
        <v>2.9000000000000001E-2</v>
      </c>
      <c r="Q23" s="29">
        <f t="shared" si="7"/>
        <v>3.4364350754321197E-4</v>
      </c>
      <c r="R23" s="5" t="e">
        <f>Kunnat!#REF!</f>
        <v>#REF!</v>
      </c>
      <c r="S23" s="29" t="e">
        <f t="shared" si="8"/>
        <v>#REF!</v>
      </c>
      <c r="T23" s="5" t="e">
        <f>Kunnat!#REF!</f>
        <v>#REF!</v>
      </c>
      <c r="U23" s="29" t="e">
        <f t="shared" si="9"/>
        <v>#REF!</v>
      </c>
      <c r="V23" s="5" t="e">
        <f>Kunnat!#REF!</f>
        <v>#REF!</v>
      </c>
      <c r="W23" s="29" t="e">
        <f t="shared" si="10"/>
        <v>#REF!</v>
      </c>
      <c r="X23" s="5">
        <v>0</v>
      </c>
      <c r="Y23" s="29">
        <f t="shared" si="11"/>
        <v>0</v>
      </c>
      <c r="Z23" s="5">
        <f>Kunnat!B23</f>
        <v>0.1</v>
      </c>
      <c r="AA23" s="29">
        <f t="shared" si="12"/>
        <v>7.4066502831562399E-4</v>
      </c>
      <c r="AB23" s="5">
        <f>Kunnat!D23+kuntayhtymät!D23</f>
        <v>0.1</v>
      </c>
      <c r="AC23" s="29">
        <f t="shared" si="13"/>
        <v>6.6594935042301438E-4</v>
      </c>
      <c r="AD23" s="5">
        <f>Kunnat!F23+kuntayhtymät!F23</f>
        <v>0.1</v>
      </c>
      <c r="AE23" s="29">
        <f t="shared" si="14"/>
        <v>5.9665543602027953E-4</v>
      </c>
      <c r="AF23" s="5">
        <f>Kunnat!H23+kuntayhtymät!H23</f>
        <v>0.1</v>
      </c>
      <c r="AG23" s="29">
        <f t="shared" si="14"/>
        <v>5.6371269751013175E-4</v>
      </c>
      <c r="AH23" s="5">
        <f>Kunnat!J23+kuntayhtymät!J23</f>
        <v>0.106</v>
      </c>
      <c r="AI23" s="29">
        <f t="shared" si="15"/>
        <v>5.6973300913733499E-4</v>
      </c>
      <c r="AJ23" s="5">
        <f>Kunnat!L23+kuntayhtymät!L23</f>
        <v>30.05</v>
      </c>
      <c r="AK23" s="29">
        <f t="shared" si="16"/>
        <v>0.15556439071562728</v>
      </c>
      <c r="AL23" s="5">
        <f>Kunnat!N23+kuntayhtymät!N23</f>
        <v>49</v>
      </c>
      <c r="AM23" s="29">
        <f t="shared" si="17"/>
        <v>0.24957978913054552</v>
      </c>
      <c r="AN23" s="5">
        <v>67</v>
      </c>
      <c r="AO23" s="29">
        <f t="shared" si="18"/>
        <v>0.3244267379540352</v>
      </c>
      <c r="AP23" s="5">
        <v>0</v>
      </c>
      <c r="AQ23" s="29">
        <f t="shared" si="19"/>
        <v>0</v>
      </c>
      <c r="AR23" s="5">
        <v>0</v>
      </c>
      <c r="AS23" s="29">
        <f t="shared" si="20"/>
        <v>0</v>
      </c>
    </row>
    <row r="24" spans="1:45" ht="19.5" customHeight="1">
      <c r="A24" s="37" t="s">
        <v>77</v>
      </c>
      <c r="B24" s="24">
        <f>B8+B11+B16+B21</f>
        <v>4312.8897544960837</v>
      </c>
      <c r="C24" s="30">
        <f t="shared" si="0"/>
        <v>100</v>
      </c>
      <c r="D24" s="24">
        <f>D8+D11+D16+D21</f>
        <v>4112.1384590285834</v>
      </c>
      <c r="E24" s="30">
        <f t="shared" si="1"/>
        <v>100</v>
      </c>
      <c r="F24" s="24">
        <f>F8+F11+F16+F21</f>
        <v>4347.8750530279685</v>
      </c>
      <c r="G24" s="23">
        <f t="shared" si="2"/>
        <v>100</v>
      </c>
      <c r="H24" s="24">
        <f>H8+H11+H16+H21</f>
        <v>4861.3789999999999</v>
      </c>
      <c r="I24" s="23">
        <f t="shared" si="3"/>
        <v>100</v>
      </c>
      <c r="J24" s="24">
        <f>J8+J11+J16+J21</f>
        <v>5632.0920000000006</v>
      </c>
      <c r="K24" s="23">
        <f t="shared" si="4"/>
        <v>100</v>
      </c>
      <c r="L24" s="24">
        <f>L8+L11+L16+L21</f>
        <v>6653.2830000000004</v>
      </c>
      <c r="M24" s="23">
        <f t="shared" si="5"/>
        <v>100</v>
      </c>
      <c r="N24" s="24">
        <f>N8+N11+N16+N21</f>
        <v>7731.7539999999999</v>
      </c>
      <c r="O24" s="30">
        <f t="shared" si="6"/>
        <v>100</v>
      </c>
      <c r="P24" s="24">
        <f>P8+P11+P16+P21</f>
        <v>8438.978000000001</v>
      </c>
      <c r="Q24" s="30">
        <f t="shared" si="7"/>
        <v>100</v>
      </c>
      <c r="R24" s="24" t="e">
        <f>R8+R11+R16+R21</f>
        <v>#REF!</v>
      </c>
      <c r="S24" s="30" t="e">
        <f t="shared" si="8"/>
        <v>#REF!</v>
      </c>
      <c r="T24" s="24" t="e">
        <f>T8+T11+T16+T21</f>
        <v>#REF!</v>
      </c>
      <c r="U24" s="30" t="e">
        <f t="shared" si="9"/>
        <v>#REF!</v>
      </c>
      <c r="V24" s="24" t="e">
        <f>V8+V11+V16+V21</f>
        <v>#REF!</v>
      </c>
      <c r="W24" s="30" t="e">
        <f t="shared" si="10"/>
        <v>#REF!</v>
      </c>
      <c r="X24" s="24">
        <f>X8+X11+X16+X21</f>
        <v>12789.05</v>
      </c>
      <c r="Y24" s="30">
        <f t="shared" si="11"/>
        <v>100</v>
      </c>
      <c r="Z24" s="24">
        <f>Z8+Z11+Z16+Z21</f>
        <v>13501.380000000001</v>
      </c>
      <c r="AA24" s="30">
        <f t="shared" si="12"/>
        <v>99.999999999999986</v>
      </c>
      <c r="AB24" s="24">
        <f>AB8+AB11+AB16+AB21</f>
        <v>15016.156999999999</v>
      </c>
      <c r="AC24" s="30">
        <f t="shared" si="13"/>
        <v>100</v>
      </c>
      <c r="AD24" s="24">
        <f>AD8+AD11+AD16+AD21</f>
        <v>16760.092000000001</v>
      </c>
      <c r="AE24" s="30">
        <f t="shared" si="14"/>
        <v>100</v>
      </c>
      <c r="AF24" s="24">
        <f>AF8+AF11+AF16+AF21</f>
        <v>17739.532999999999</v>
      </c>
      <c r="AG24" s="30">
        <f t="shared" si="14"/>
        <v>100</v>
      </c>
      <c r="AH24" s="24">
        <f>AH8+AH11+AH16+AH21</f>
        <v>18605.205999999998</v>
      </c>
      <c r="AI24" s="30">
        <f t="shared" si="15"/>
        <v>100</v>
      </c>
      <c r="AJ24" s="24">
        <f>AJ8+AJ11+AJ16+AJ21</f>
        <v>19316.759999999998</v>
      </c>
      <c r="AK24" s="30">
        <f t="shared" si="16"/>
        <v>100</v>
      </c>
      <c r="AL24" s="24">
        <f>AL8+AL11+AL16+AL21</f>
        <v>19633</v>
      </c>
      <c r="AM24" s="30">
        <f t="shared" si="17"/>
        <v>100</v>
      </c>
      <c r="AN24" s="24">
        <f>AN8+AN11+AN16+AN21</f>
        <v>20651.812000000002</v>
      </c>
      <c r="AO24" s="30">
        <f t="shared" si="18"/>
        <v>100</v>
      </c>
      <c r="AP24" s="24">
        <f>AP8+AP11+AP16+AP21</f>
        <v>23144.105</v>
      </c>
      <c r="AQ24" s="30">
        <f t="shared" si="19"/>
        <v>100</v>
      </c>
      <c r="AR24" s="24">
        <f>AR8+AR11+AR16+AR21</f>
        <v>24594.219000000001</v>
      </c>
      <c r="AS24" s="30">
        <f t="shared" si="20"/>
        <v>99.999999999999986</v>
      </c>
    </row>
    <row r="25" spans="1:45">
      <c r="A25" s="4"/>
      <c r="B25" s="4"/>
      <c r="C25" s="39"/>
      <c r="D25" s="5"/>
      <c r="E25" s="39"/>
      <c r="F25" s="5"/>
      <c r="G25" s="6"/>
      <c r="H25" s="5"/>
      <c r="I25" s="6"/>
      <c r="J25" s="4"/>
      <c r="K25" s="6"/>
      <c r="L25" s="4"/>
      <c r="M25" s="6"/>
      <c r="N25" s="4"/>
      <c r="O25" s="39"/>
      <c r="P25" s="4"/>
      <c r="Q25" s="39"/>
      <c r="R25" s="4"/>
      <c r="S25" s="39"/>
      <c r="T25" s="4"/>
      <c r="U25" s="39"/>
    </row>
    <row r="26" spans="1:45">
      <c r="B26" s="2"/>
      <c r="C26" s="40"/>
      <c r="D26" s="2"/>
      <c r="E26" s="31"/>
      <c r="F26" s="2"/>
      <c r="H26" s="2"/>
      <c r="J26" s="2"/>
      <c r="K26" s="7"/>
      <c r="M26" s="7"/>
      <c r="O26" s="32"/>
      <c r="S26" s="31"/>
    </row>
    <row r="27" spans="1:45">
      <c r="D27" s="2"/>
      <c r="H27" s="2"/>
      <c r="K27" s="7"/>
      <c r="O27" s="32"/>
    </row>
    <row r="28" spans="1:45">
      <c r="O28" s="32"/>
    </row>
  </sheetData>
  <mergeCells count="4">
    <mergeCell ref="AL5:AM5"/>
    <mergeCell ref="AP5:AQ5"/>
    <mergeCell ref="AN5:AO5"/>
    <mergeCell ref="AR5:AS5"/>
  </mergeCells>
  <phoneticPr fontId="3" type="noConversion"/>
  <pageMargins left="0.43307086614173229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3" ma:contentTypeDescription="Luo uusi asiakirja." ma:contentTypeScope="" ma:versionID="e76db24fd8e5886dcb9e3b696d2689f1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46e7e0ac14c0002518bdcddec8092bb1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A980D1-3472-4AFB-9370-EDC337ECFADB}"/>
</file>

<file path=customXml/itemProps2.xml><?xml version="1.0" encoding="utf-8"?>
<ds:datastoreItem xmlns:ds="http://schemas.openxmlformats.org/officeDocument/2006/customXml" ds:itemID="{69D4D510-BDBC-4FBC-95AF-A6C7AD69F06F}"/>
</file>

<file path=customXml/itemProps3.xml><?xml version="1.0" encoding="utf-8"?>
<ds:datastoreItem xmlns:ds="http://schemas.openxmlformats.org/officeDocument/2006/customXml" ds:itemID="{6A524901-60FD-492F-A22B-637C5EB6D8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Suomen Kuntaliitto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Oiva Myllyntaus</dc:creator>
  <cp:keywords/>
  <dc:description/>
  <cp:lastModifiedBy>Luukinen Susanna</cp:lastModifiedBy>
  <cp:revision/>
  <dcterms:created xsi:type="dcterms:W3CDTF">2000-05-12T10:53:16Z</dcterms:created>
  <dcterms:modified xsi:type="dcterms:W3CDTF">2022-03-21T13:10:46Z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0x01010066000AE223E22E49AE9A6766EBE498ED</vt:lpwstr>
  </property>
</Properties>
</file>