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nbe\OneDrive - Suomen Kuntaliitto ry\Koti\STATISTIK\"/>
    </mc:Choice>
  </mc:AlternateContent>
  <bookViews>
    <workbookView xWindow="120" yWindow="75" windowWidth="15180" windowHeight="8070"/>
  </bookViews>
  <sheets>
    <sheet name="Kommunerna" sheetId="1" r:id="rId1"/>
    <sheet name="Samkommunerna" sheetId="2" r:id="rId2"/>
    <sheet name="Sammanlagt" sheetId="3" r:id="rId3"/>
  </sheets>
  <definedNames>
    <definedName name="_xlnm.Print_Area" localSheetId="0">Kommunerna!$A$2:$AQ$72</definedName>
    <definedName name="_xlnm.Print_Area" localSheetId="1">Samkommunerna!$A$2:$AR$71</definedName>
    <definedName name="_xlnm.Print_Area" localSheetId="2">Sammanlagt!$A$2:$AR$71</definedName>
  </definedNames>
  <calcPr calcId="162913"/>
</workbook>
</file>

<file path=xl/calcChain.xml><?xml version="1.0" encoding="utf-8"?>
<calcChain xmlns="http://schemas.openxmlformats.org/spreadsheetml/2006/main">
  <c r="V12" i="3" l="1"/>
  <c r="V10" i="3"/>
  <c r="V71" i="3" l="1"/>
  <c r="V69" i="3"/>
  <c r="V63" i="3"/>
  <c r="V65" i="3" s="1"/>
  <c r="V57" i="3"/>
  <c r="V58" i="3"/>
  <c r="V60" i="3"/>
  <c r="AQ60" i="3" s="1"/>
  <c r="V61" i="3"/>
  <c r="AR61" i="3" s="1"/>
  <c r="V62" i="3"/>
  <c r="V64" i="3"/>
  <c r="V52" i="3"/>
  <c r="V50" i="3"/>
  <c r="AQ50" i="3" s="1"/>
  <c r="V51" i="3"/>
  <c r="V48" i="3"/>
  <c r="V28" i="3"/>
  <c r="AQ28" i="3" s="1"/>
  <c r="V29" i="3"/>
  <c r="V47" i="3" s="1"/>
  <c r="V30" i="3"/>
  <c r="V17" i="3"/>
  <c r="W17" i="3"/>
  <c r="X17" i="3"/>
  <c r="Y17" i="3"/>
  <c r="Z17" i="3"/>
  <c r="AA17" i="3"/>
  <c r="AB17" i="3"/>
  <c r="AC17" i="3"/>
  <c r="AD17" i="3"/>
  <c r="AE17" i="3"/>
  <c r="AF17" i="3"/>
  <c r="AG17" i="3"/>
  <c r="V18" i="3"/>
  <c r="W18" i="3"/>
  <c r="X18" i="3"/>
  <c r="Y18" i="3"/>
  <c r="Z18" i="3"/>
  <c r="AA18" i="3"/>
  <c r="AB18" i="3"/>
  <c r="AC18" i="3"/>
  <c r="AD18" i="3"/>
  <c r="AE18" i="3"/>
  <c r="AF18" i="3"/>
  <c r="AG18" i="3"/>
  <c r="V21" i="3"/>
  <c r="AQ21" i="3" s="1"/>
  <c r="W21" i="3"/>
  <c r="X21" i="3"/>
  <c r="Y21" i="3"/>
  <c r="Z21" i="3"/>
  <c r="AA21" i="3"/>
  <c r="AB21" i="3"/>
  <c r="AC21" i="3"/>
  <c r="AD21" i="3"/>
  <c r="AE21" i="3"/>
  <c r="AF21" i="3"/>
  <c r="AG21" i="3"/>
  <c r="V22" i="3"/>
  <c r="AR22" i="3" s="1"/>
  <c r="W22" i="3"/>
  <c r="X22" i="3"/>
  <c r="Y22" i="3"/>
  <c r="Z22" i="3"/>
  <c r="AA22" i="3"/>
  <c r="AB22" i="3"/>
  <c r="AC22" i="3"/>
  <c r="AD22" i="3"/>
  <c r="AE22" i="3"/>
  <c r="AF22" i="3"/>
  <c r="AG22" i="3"/>
  <c r="V23" i="3"/>
  <c r="AQ23" i="3" s="1"/>
  <c r="W23" i="3"/>
  <c r="X23" i="3"/>
  <c r="Y23" i="3"/>
  <c r="Z23" i="3"/>
  <c r="AA23" i="3"/>
  <c r="AB23" i="3"/>
  <c r="AC23" i="3"/>
  <c r="AD23" i="3"/>
  <c r="AE23" i="3"/>
  <c r="AF23" i="3"/>
  <c r="AG23" i="3"/>
  <c r="V24" i="3"/>
  <c r="AR24" i="3" s="1"/>
  <c r="W24" i="3"/>
  <c r="X24" i="3"/>
  <c r="Y24" i="3"/>
  <c r="Z24" i="3"/>
  <c r="AA24" i="3"/>
  <c r="AB24" i="3"/>
  <c r="AC24" i="3"/>
  <c r="AD24" i="3"/>
  <c r="AE24" i="3"/>
  <c r="AF24" i="3"/>
  <c r="AG24" i="3"/>
  <c r="W15" i="3"/>
  <c r="AQ12" i="3"/>
  <c r="AR10" i="3"/>
  <c r="V11" i="3"/>
  <c r="AQ17" i="3"/>
  <c r="AQ18" i="3"/>
  <c r="AQ69" i="3"/>
  <c r="AQ71" i="3"/>
  <c r="AR69" i="3"/>
  <c r="AR71" i="3"/>
  <c r="AR60" i="3"/>
  <c r="AR28" i="3"/>
  <c r="AR12" i="3"/>
  <c r="AR17" i="3"/>
  <c r="AR18" i="3"/>
  <c r="AR19" i="3"/>
  <c r="V65" i="2"/>
  <c r="V47" i="2"/>
  <c r="V15" i="2"/>
  <c r="V26" i="2" s="1"/>
  <c r="AQ10" i="2"/>
  <c r="V13" i="2"/>
  <c r="AR13" i="2" s="1"/>
  <c r="AR69" i="2"/>
  <c r="AR71" i="2"/>
  <c r="AR60" i="2"/>
  <c r="AR61" i="2"/>
  <c r="AR50" i="2"/>
  <c r="AQ69" i="2"/>
  <c r="AQ71" i="2"/>
  <c r="AQ60" i="2"/>
  <c r="AQ61" i="2"/>
  <c r="AQ50" i="2"/>
  <c r="AQ21" i="2"/>
  <c r="AQ23" i="2"/>
  <c r="AQ28" i="2"/>
  <c r="AQ12" i="2"/>
  <c r="AR21" i="2"/>
  <c r="AR23" i="2"/>
  <c r="AR28" i="2"/>
  <c r="AR12" i="2"/>
  <c r="AR10" i="2"/>
  <c r="AR23" i="3" l="1"/>
  <c r="AR21" i="3"/>
  <c r="AR26" i="2"/>
  <c r="V46" i="2"/>
  <c r="V53" i="2" s="1"/>
  <c r="V67" i="2" s="1"/>
  <c r="V32" i="2"/>
  <c r="V36" i="2" s="1"/>
  <c r="AR15" i="2"/>
  <c r="V13" i="3"/>
  <c r="V15" i="3" s="1"/>
  <c r="AQ61" i="3"/>
  <c r="AR50" i="3"/>
  <c r="AR11" i="3"/>
  <c r="AQ10" i="3"/>
  <c r="AQ69" i="1"/>
  <c r="AQ71" i="1"/>
  <c r="V65" i="1"/>
  <c r="AQ60" i="1"/>
  <c r="AQ61" i="1"/>
  <c r="AR69" i="1"/>
  <c r="AR71" i="1"/>
  <c r="AR60" i="1"/>
  <c r="AR61" i="1"/>
  <c r="AR50" i="1"/>
  <c r="AQ50" i="1"/>
  <c r="AR21" i="1"/>
  <c r="AR23" i="1"/>
  <c r="AR28" i="1"/>
  <c r="AR18" i="1"/>
  <c r="AR12" i="1"/>
  <c r="AR17" i="1"/>
  <c r="AR10" i="1"/>
  <c r="AQ12" i="1"/>
  <c r="AQ10" i="1"/>
  <c r="AQ17" i="1"/>
  <c r="AQ18" i="1"/>
  <c r="AQ21" i="1"/>
  <c r="AQ23" i="1"/>
  <c r="AQ28" i="1"/>
  <c r="AR13" i="3" l="1"/>
  <c r="AQ13" i="3"/>
  <c r="AR15" i="3"/>
  <c r="V26" i="3"/>
  <c r="AQ15" i="3"/>
  <c r="V13" i="1"/>
  <c r="AQ26" i="3" l="1"/>
  <c r="V46" i="3"/>
  <c r="V53" i="3" s="1"/>
  <c r="V67" i="3" s="1"/>
  <c r="V32" i="3"/>
  <c r="AR26" i="3"/>
  <c r="AQ13" i="1"/>
  <c r="AR13" i="1"/>
  <c r="V15" i="1"/>
  <c r="AQ15" i="1" s="1"/>
  <c r="AR15" i="1"/>
  <c r="AP10" i="1"/>
  <c r="V26" i="1" l="1"/>
  <c r="V53" i="1" s="1"/>
  <c r="V67" i="1" s="1"/>
  <c r="U63" i="3"/>
  <c r="U52" i="3"/>
  <c r="U12" i="3"/>
  <c r="U10" i="3"/>
  <c r="U71" i="3"/>
  <c r="U69" i="3"/>
  <c r="U64" i="3"/>
  <c r="U62" i="3"/>
  <c r="U61" i="3"/>
  <c r="U60" i="3"/>
  <c r="U58" i="3"/>
  <c r="U57" i="3"/>
  <c r="U51" i="3"/>
  <c r="U50" i="3"/>
  <c r="U48" i="3"/>
  <c r="U30" i="3"/>
  <c r="U29" i="3"/>
  <c r="U28" i="3"/>
  <c r="U24" i="3"/>
  <c r="U23" i="3"/>
  <c r="U22" i="3"/>
  <c r="U21" i="3"/>
  <c r="U18" i="3"/>
  <c r="U17" i="3"/>
  <c r="U11" i="3"/>
  <c r="AP71" i="2"/>
  <c r="AP69" i="2"/>
  <c r="AP61" i="2"/>
  <c r="AP60" i="2"/>
  <c r="AP50" i="2"/>
  <c r="AP28" i="2"/>
  <c r="AP23" i="2"/>
  <c r="AP21" i="2"/>
  <c r="AP12" i="2"/>
  <c r="AP10" i="2"/>
  <c r="U65" i="2"/>
  <c r="U47" i="2"/>
  <c r="U13" i="2"/>
  <c r="AQ26" i="1" l="1"/>
  <c r="AR26" i="1"/>
  <c r="V32" i="1"/>
  <c r="V36" i="1" s="1"/>
  <c r="V36" i="3" s="1"/>
  <c r="V34" i="3" s="1"/>
  <c r="U15" i="2"/>
  <c r="AQ13" i="2"/>
  <c r="U13" i="3"/>
  <c r="U15" i="3" s="1"/>
  <c r="U47" i="3"/>
  <c r="U65" i="3"/>
  <c r="U26" i="2" l="1"/>
  <c r="AQ15" i="2"/>
  <c r="U26" i="3"/>
  <c r="U32" i="3" s="1"/>
  <c r="AQ26" i="2" l="1"/>
  <c r="U46" i="2"/>
  <c r="U53" i="2" s="1"/>
  <c r="U67" i="2" s="1"/>
  <c r="U32" i="2"/>
  <c r="U36" i="2" s="1"/>
  <c r="U46" i="3"/>
  <c r="U53" i="3" s="1"/>
  <c r="U67" i="3" s="1"/>
  <c r="AP71" i="1" l="1"/>
  <c r="AP69" i="1"/>
  <c r="AP61" i="1"/>
  <c r="AP60" i="1"/>
  <c r="AP50" i="1"/>
  <c r="AP28" i="1"/>
  <c r="AP23" i="1"/>
  <c r="AP21" i="1"/>
  <c r="AP18" i="1"/>
  <c r="AP17" i="1"/>
  <c r="AP12" i="1"/>
  <c r="U65" i="1"/>
  <c r="U47" i="1"/>
  <c r="U13" i="1"/>
  <c r="U15" i="1" s="1"/>
  <c r="U26" i="1" s="1"/>
  <c r="U32" i="1" l="1"/>
  <c r="U36" i="1" s="1"/>
  <c r="U36" i="3" s="1"/>
  <c r="U34" i="3" s="1"/>
  <c r="AP13" i="1"/>
  <c r="AP15" i="1"/>
  <c r="AP26" i="1"/>
  <c r="U46" i="1"/>
  <c r="U53" i="1" s="1"/>
  <c r="U67" i="1" s="1"/>
  <c r="T12" i="3"/>
  <c r="AP12" i="3" s="1"/>
  <c r="T10" i="3"/>
  <c r="AP10" i="3" s="1"/>
  <c r="T36" i="1" l="1"/>
  <c r="T71" i="3" l="1"/>
  <c r="AP71" i="3" s="1"/>
  <c r="T63" i="3"/>
  <c r="T52" i="3"/>
  <c r="T69" i="3" l="1"/>
  <c r="AP69" i="3" s="1"/>
  <c r="T64" i="3"/>
  <c r="T62" i="3"/>
  <c r="T61" i="3"/>
  <c r="AP61" i="3" s="1"/>
  <c r="T60" i="3"/>
  <c r="AP60" i="3" s="1"/>
  <c r="T58" i="3"/>
  <c r="T57" i="3"/>
  <c r="T51" i="3"/>
  <c r="T50" i="3"/>
  <c r="AP50" i="3" s="1"/>
  <c r="T48" i="3"/>
  <c r="T30" i="3"/>
  <c r="T29" i="3"/>
  <c r="T28" i="3"/>
  <c r="AP28" i="3" s="1"/>
  <c r="T24" i="3"/>
  <c r="T23" i="3"/>
  <c r="AP23" i="3" s="1"/>
  <c r="T22" i="3"/>
  <c r="T21" i="3"/>
  <c r="AP21" i="3" s="1"/>
  <c r="T18" i="3"/>
  <c r="AP18" i="3" s="1"/>
  <c r="T17" i="3"/>
  <c r="AP17" i="3" s="1"/>
  <c r="T11" i="3"/>
  <c r="AO71" i="2"/>
  <c r="AO69" i="2"/>
  <c r="AO61" i="2"/>
  <c r="AO60" i="2"/>
  <c r="AO50" i="2"/>
  <c r="AO28" i="2"/>
  <c r="AO23" i="2"/>
  <c r="AO21" i="2"/>
  <c r="AO12" i="2"/>
  <c r="AO10" i="2"/>
  <c r="T65" i="2"/>
  <c r="T47" i="2"/>
  <c r="T13" i="2"/>
  <c r="T15" i="2" l="1"/>
  <c r="AP13" i="2"/>
  <c r="T47" i="3"/>
  <c r="T65" i="3"/>
  <c r="T13" i="3"/>
  <c r="T26" i="2" l="1"/>
  <c r="AP15" i="2"/>
  <c r="T15" i="3"/>
  <c r="AP15" i="3" s="1"/>
  <c r="AP13" i="3"/>
  <c r="AP26" i="2" l="1"/>
  <c r="T32" i="2"/>
  <c r="T36" i="2" s="1"/>
  <c r="T36" i="3" s="1"/>
  <c r="T46" i="2"/>
  <c r="T53" i="2" s="1"/>
  <c r="T67" i="2" s="1"/>
  <c r="T26" i="3"/>
  <c r="AP26" i="3" s="1"/>
  <c r="T32" i="3" l="1"/>
  <c r="T34" i="3"/>
  <c r="T46" i="3"/>
  <c r="T53" i="3" s="1"/>
  <c r="T67" i="3" s="1"/>
  <c r="AO71" i="1"/>
  <c r="AO69" i="1"/>
  <c r="AO61" i="1"/>
  <c r="AO60" i="1"/>
  <c r="AO50" i="1"/>
  <c r="AO28" i="1"/>
  <c r="AO23" i="1"/>
  <c r="AO21" i="1"/>
  <c r="AO18" i="1"/>
  <c r="AO17" i="1"/>
  <c r="AO12" i="1"/>
  <c r="AO10" i="1"/>
  <c r="T65" i="1"/>
  <c r="T47" i="1"/>
  <c r="T13" i="1"/>
  <c r="T15" i="1" s="1"/>
  <c r="T26" i="1" s="1"/>
  <c r="AO26" i="1" s="1"/>
  <c r="AO13" i="1" l="1"/>
  <c r="AO15" i="1"/>
  <c r="T46" i="1"/>
  <c r="T53" i="1" s="1"/>
  <c r="T67" i="1" s="1"/>
  <c r="T32" i="1"/>
  <c r="AM71" i="3"/>
  <c r="AL71" i="3"/>
  <c r="AK71" i="3"/>
  <c r="AJ71" i="3"/>
  <c r="AI71" i="3"/>
  <c r="AH71" i="3"/>
  <c r="AG71" i="3"/>
  <c r="AF71" i="3"/>
  <c r="X71" i="3"/>
  <c r="AM69" i="3"/>
  <c r="AL69" i="3"/>
  <c r="AK69" i="3"/>
  <c r="AJ69" i="3"/>
  <c r="AI69" i="3"/>
  <c r="AH69" i="3"/>
  <c r="AG69" i="3"/>
  <c r="AF69" i="3"/>
  <c r="X69" i="3"/>
  <c r="AM61" i="3"/>
  <c r="AL61" i="3"/>
  <c r="AK61" i="3"/>
  <c r="AJ61" i="3"/>
  <c r="AI61" i="3"/>
  <c r="AH61" i="3"/>
  <c r="AG61" i="3"/>
  <c r="AF61" i="3"/>
  <c r="X61" i="3"/>
  <c r="AM60" i="3"/>
  <c r="AL60" i="3"/>
  <c r="AK60" i="3"/>
  <c r="AJ60" i="3"/>
  <c r="AI60" i="3"/>
  <c r="AH60" i="3"/>
  <c r="AG60" i="3"/>
  <c r="AF60" i="3"/>
  <c r="X60" i="3"/>
  <c r="AM50" i="3"/>
  <c r="AL50" i="3"/>
  <c r="AK50" i="3"/>
  <c r="AJ50" i="3"/>
  <c r="AI50" i="3"/>
  <c r="AH50" i="3"/>
  <c r="AG50" i="3"/>
  <c r="AF50" i="3"/>
  <c r="X50" i="3"/>
  <c r="AM28" i="3"/>
  <c r="AL28" i="3"/>
  <c r="AK28" i="3"/>
  <c r="AJ28" i="3"/>
  <c r="AI28" i="3"/>
  <c r="AH28" i="3"/>
  <c r="AG28" i="3"/>
  <c r="AF28" i="3"/>
  <c r="X28" i="3"/>
  <c r="AM26" i="3"/>
  <c r="AL26" i="3"/>
  <c r="AK26" i="3"/>
  <c r="AJ26" i="3"/>
  <c r="AI26" i="3"/>
  <c r="AH26" i="3"/>
  <c r="AG26" i="3"/>
  <c r="AF26" i="3"/>
  <c r="X26" i="3"/>
  <c r="AM23" i="3"/>
  <c r="AL23" i="3"/>
  <c r="AK23" i="3"/>
  <c r="AJ23" i="3"/>
  <c r="AI23" i="3"/>
  <c r="AH23" i="3"/>
  <c r="AM21" i="3"/>
  <c r="AL21" i="3"/>
  <c r="AK21" i="3"/>
  <c r="AJ21" i="3"/>
  <c r="AI21" i="3"/>
  <c r="AH21" i="3"/>
  <c r="AM18" i="3"/>
  <c r="AL18" i="3"/>
  <c r="AK18" i="3"/>
  <c r="AJ18" i="3"/>
  <c r="AI18" i="3"/>
  <c r="AH18" i="3"/>
  <c r="AM17" i="3"/>
  <c r="AL17" i="3"/>
  <c r="AK17" i="3"/>
  <c r="AJ17" i="3"/>
  <c r="AI17" i="3"/>
  <c r="AH17" i="3"/>
  <c r="AL15" i="3"/>
  <c r="AK15" i="3"/>
  <c r="AJ15" i="3"/>
  <c r="AI15" i="3"/>
  <c r="AH15" i="3"/>
  <c r="AG15" i="3"/>
  <c r="AF15" i="3"/>
  <c r="AM13" i="3"/>
  <c r="AL13" i="3"/>
  <c r="AK13" i="3"/>
  <c r="AJ13" i="3"/>
  <c r="AI13" i="3"/>
  <c r="AH13" i="3"/>
  <c r="AG13" i="3"/>
  <c r="AF13" i="3"/>
  <c r="X13" i="3"/>
  <c r="AM12" i="3"/>
  <c r="AL12" i="3"/>
  <c r="AK12" i="3"/>
  <c r="AJ12" i="3"/>
  <c r="AI12" i="3"/>
  <c r="AH12" i="3"/>
  <c r="AG12" i="3"/>
  <c r="AF12" i="3"/>
  <c r="X12" i="3"/>
  <c r="AL10" i="3"/>
  <c r="AK10" i="3"/>
  <c r="AJ10" i="3"/>
  <c r="AI10" i="3"/>
  <c r="AH10" i="3"/>
  <c r="AG10" i="3"/>
  <c r="AF10" i="3"/>
  <c r="X10" i="3"/>
  <c r="C65" i="3"/>
  <c r="B65" i="3"/>
  <c r="C47" i="3"/>
  <c r="B47" i="3"/>
  <c r="C46" i="3"/>
  <c r="C53" i="3" s="1"/>
  <c r="C67" i="3" s="1"/>
  <c r="B46" i="3"/>
  <c r="B53" i="3" s="1"/>
  <c r="B67" i="3" s="1"/>
  <c r="S36" i="3"/>
  <c r="R36" i="3"/>
  <c r="R34" i="3" s="1"/>
  <c r="Q36" i="3"/>
  <c r="Q34" i="3" s="1"/>
  <c r="P36" i="3"/>
  <c r="P34" i="3" s="1"/>
  <c r="O36" i="3"/>
  <c r="O34" i="3" s="1"/>
  <c r="N36" i="3"/>
  <c r="N34" i="3" s="1"/>
  <c r="M36" i="3"/>
  <c r="M34" i="3" s="1"/>
  <c r="L36" i="3"/>
  <c r="L34" i="3" s="1"/>
  <c r="K36" i="3"/>
  <c r="K34" i="3" s="1"/>
  <c r="J36" i="3"/>
  <c r="J34" i="3" s="1"/>
  <c r="I36" i="3"/>
  <c r="H36" i="3"/>
  <c r="G36" i="3"/>
  <c r="F36" i="3"/>
  <c r="E36" i="3"/>
  <c r="D36" i="3"/>
  <c r="C36" i="3"/>
  <c r="B36" i="3"/>
  <c r="B32" i="3"/>
  <c r="C32" i="3"/>
  <c r="C15" i="3"/>
  <c r="X15" i="3" s="1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AN50" i="2"/>
  <c r="AM50" i="2"/>
  <c r="AL50" i="2"/>
  <c r="AK50" i="2"/>
  <c r="AJ50" i="2"/>
  <c r="AI50" i="2"/>
  <c r="AH50" i="2"/>
  <c r="AG50" i="2"/>
  <c r="AF50" i="2"/>
  <c r="AE50" i="2"/>
  <c r="X50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AL26" i="2"/>
  <c r="AK26" i="2"/>
  <c r="AJ26" i="2"/>
  <c r="AI26" i="2"/>
  <c r="AH26" i="2"/>
  <c r="AG26" i="2"/>
  <c r="AF26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AL15" i="2"/>
  <c r="AK15" i="2"/>
  <c r="AJ15" i="2"/>
  <c r="AI15" i="2"/>
  <c r="AH15" i="2"/>
  <c r="AG15" i="2"/>
  <c r="AF15" i="2"/>
  <c r="AL13" i="2"/>
  <c r="AK13" i="2"/>
  <c r="AJ13" i="2"/>
  <c r="AI13" i="2"/>
  <c r="AH13" i="2"/>
  <c r="AG13" i="2"/>
  <c r="AF13" i="2"/>
  <c r="AN12" i="2"/>
  <c r="AM12" i="2"/>
  <c r="AL12" i="2"/>
  <c r="AK12" i="2"/>
  <c r="AJ12" i="2"/>
  <c r="AI12" i="2"/>
  <c r="AH12" i="2"/>
  <c r="AG12" i="2"/>
  <c r="AF12" i="2"/>
  <c r="AE12" i="2"/>
  <c r="X12" i="2"/>
  <c r="AL10" i="2"/>
  <c r="AK10" i="2"/>
  <c r="AJ10" i="2"/>
  <c r="AI10" i="2"/>
  <c r="AH10" i="2"/>
  <c r="AG10" i="2"/>
  <c r="AF10" i="2"/>
  <c r="AE10" i="2"/>
  <c r="X10" i="2"/>
  <c r="C65" i="2"/>
  <c r="B65" i="2"/>
  <c r="C53" i="2"/>
  <c r="B53" i="2"/>
  <c r="Q34" i="2"/>
  <c r="P34" i="2"/>
  <c r="O34" i="2"/>
  <c r="N34" i="2"/>
  <c r="M34" i="2"/>
  <c r="L34" i="2"/>
  <c r="K34" i="2"/>
  <c r="J34" i="2"/>
  <c r="C15" i="2"/>
  <c r="C26" i="2" s="1"/>
  <c r="C32" i="2" s="1"/>
  <c r="C34" i="2" s="1"/>
  <c r="B15" i="2"/>
  <c r="B26" i="2" s="1"/>
  <c r="B32" i="2" s="1"/>
  <c r="B34" i="2" s="1"/>
  <c r="C13" i="2"/>
  <c r="X13" i="2" s="1"/>
  <c r="B13" i="2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AL26" i="1"/>
  <c r="AK26" i="1"/>
  <c r="AJ26" i="1"/>
  <c r="AI26" i="1"/>
  <c r="AH26" i="1"/>
  <c r="AG26" i="1"/>
  <c r="AF26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AL15" i="1"/>
  <c r="AK15" i="1"/>
  <c r="AJ15" i="1"/>
  <c r="AI15" i="1"/>
  <c r="AH15" i="1"/>
  <c r="AG15" i="1"/>
  <c r="AF15" i="1"/>
  <c r="X15" i="1"/>
  <c r="AL13" i="1"/>
  <c r="AK13" i="1"/>
  <c r="AJ13" i="1"/>
  <c r="AI13" i="1"/>
  <c r="AH13" i="1"/>
  <c r="AG13" i="1"/>
  <c r="AF13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Y10" i="1"/>
  <c r="X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AL10" i="1"/>
  <c r="C65" i="1"/>
  <c r="B65" i="1"/>
  <c r="C53" i="1"/>
  <c r="C67" i="1" s="1"/>
  <c r="B47" i="1"/>
  <c r="Q34" i="1"/>
  <c r="P34" i="1"/>
  <c r="O34" i="1"/>
  <c r="N34" i="1"/>
  <c r="M34" i="1"/>
  <c r="L34" i="1"/>
  <c r="K34" i="1"/>
  <c r="J34" i="1"/>
  <c r="C15" i="1"/>
  <c r="C26" i="1" s="1"/>
  <c r="B15" i="1"/>
  <c r="B26" i="1" s="1"/>
  <c r="C13" i="1"/>
  <c r="X13" i="1" s="1"/>
  <c r="B13" i="1"/>
  <c r="B32" i="1" l="1"/>
  <c r="B34" i="1" s="1"/>
  <c r="B46" i="1"/>
  <c r="B53" i="1" s="1"/>
  <c r="B67" i="1" s="1"/>
  <c r="C32" i="1"/>
  <c r="C34" i="1" s="1"/>
  <c r="X26" i="1"/>
  <c r="X26" i="2"/>
  <c r="B34" i="3"/>
  <c r="X15" i="2"/>
  <c r="C34" i="3"/>
  <c r="B67" i="2"/>
  <c r="C67" i="2"/>
  <c r="S71" i="3"/>
  <c r="AO71" i="3" s="1"/>
  <c r="AN71" i="3" l="1"/>
  <c r="S12" i="3"/>
  <c r="AO12" i="3" s="1"/>
  <c r="S10" i="3"/>
  <c r="AO10" i="3" s="1"/>
  <c r="AN12" i="3" l="1"/>
  <c r="S69" i="3"/>
  <c r="AO69" i="3" s="1"/>
  <c r="S63" i="3"/>
  <c r="S64" i="3"/>
  <c r="S62" i="3"/>
  <c r="S61" i="3"/>
  <c r="AO61" i="3" s="1"/>
  <c r="S60" i="3"/>
  <c r="AO60" i="3" s="1"/>
  <c r="S58" i="3"/>
  <c r="S57" i="3"/>
  <c r="S52" i="3"/>
  <c r="S51" i="3"/>
  <c r="S50" i="3"/>
  <c r="AO50" i="3" s="1"/>
  <c r="S48" i="3"/>
  <c r="S30" i="3"/>
  <c r="S29" i="3"/>
  <c r="S28" i="3"/>
  <c r="AO28" i="3" s="1"/>
  <c r="S24" i="3"/>
  <c r="S23" i="3"/>
  <c r="AO23" i="3" s="1"/>
  <c r="S22" i="3"/>
  <c r="S21" i="3"/>
  <c r="AO21" i="3" s="1"/>
  <c r="S18" i="3"/>
  <c r="AO18" i="3" s="1"/>
  <c r="S17" i="3"/>
  <c r="AO17" i="3" s="1"/>
  <c r="S11" i="3"/>
  <c r="S13" i="3" s="1"/>
  <c r="AO13" i="3" s="1"/>
  <c r="AN10" i="3"/>
  <c r="AM10" i="3"/>
  <c r="AN10" i="2"/>
  <c r="AM10" i="2"/>
  <c r="S65" i="2"/>
  <c r="S47" i="2"/>
  <c r="S13" i="2"/>
  <c r="AO13" i="2" s="1"/>
  <c r="R65" i="2"/>
  <c r="R47" i="2"/>
  <c r="R13" i="2"/>
  <c r="S47" i="1"/>
  <c r="AN17" i="3" l="1"/>
  <c r="AN61" i="3"/>
  <c r="AN18" i="3"/>
  <c r="AN13" i="3"/>
  <c r="S15" i="2"/>
  <c r="AO15" i="2" s="1"/>
  <c r="AN13" i="2"/>
  <c r="R15" i="2"/>
  <c r="AM13" i="2"/>
  <c r="AN23" i="3"/>
  <c r="AN69" i="3"/>
  <c r="AN21" i="3"/>
  <c r="AN60" i="3"/>
  <c r="AN50" i="3"/>
  <c r="AN28" i="3"/>
  <c r="S65" i="3"/>
  <c r="S47" i="3"/>
  <c r="R26" i="2" l="1"/>
  <c r="AM15" i="2"/>
  <c r="S26" i="2"/>
  <c r="AO26" i="2" s="1"/>
  <c r="AN15" i="2"/>
  <c r="S13" i="1"/>
  <c r="R13" i="1"/>
  <c r="AM13" i="1" s="1"/>
  <c r="AN10" i="1"/>
  <c r="S65" i="1"/>
  <c r="R65" i="1"/>
  <c r="R67" i="1" s="1"/>
  <c r="R53" i="1"/>
  <c r="AN13" i="1" l="1"/>
  <c r="AN26" i="2"/>
  <c r="S46" i="2"/>
  <c r="S53" i="2" s="1"/>
  <c r="S67" i="2" s="1"/>
  <c r="S32" i="2"/>
  <c r="S34" i="2" s="1"/>
  <c r="AM26" i="2"/>
  <c r="R46" i="2"/>
  <c r="R53" i="2" s="1"/>
  <c r="R67" i="2" s="1"/>
  <c r="R32" i="2"/>
  <c r="R34" i="2" s="1"/>
  <c r="S15" i="1"/>
  <c r="S26" i="1" l="1"/>
  <c r="S15" i="3"/>
  <c r="AO15" i="3" s="1"/>
  <c r="AM10" i="1"/>
  <c r="R15" i="1"/>
  <c r="AM15" i="1" s="1"/>
  <c r="R15" i="3"/>
  <c r="AM15" i="3" s="1"/>
  <c r="AN15" i="1" l="1"/>
  <c r="R26" i="1"/>
  <c r="AM26" i="1" s="1"/>
  <c r="AN15" i="3"/>
  <c r="S46" i="1"/>
  <c r="S53" i="1" s="1"/>
  <c r="S67" i="1" s="1"/>
  <c r="S32" i="1"/>
  <c r="S34" i="1" s="1"/>
  <c r="S26" i="3"/>
  <c r="AO26" i="3" s="1"/>
  <c r="R32" i="1"/>
  <c r="R34" i="1" s="1"/>
  <c r="F71" i="3"/>
  <c r="F69" i="3"/>
  <c r="F61" i="3"/>
  <c r="F60" i="3"/>
  <c r="F28" i="3"/>
  <c r="F11" i="3"/>
  <c r="F17" i="3"/>
  <c r="F18" i="3"/>
  <c r="F21" i="3"/>
  <c r="F22" i="3"/>
  <c r="F23" i="3"/>
  <c r="F24" i="3"/>
  <c r="F19" i="3"/>
  <c r="E71" i="3"/>
  <c r="E69" i="3"/>
  <c r="E61" i="3"/>
  <c r="E60" i="3"/>
  <c r="E28" i="3"/>
  <c r="E11" i="3"/>
  <c r="E17" i="3"/>
  <c r="E18" i="3"/>
  <c r="E21" i="3"/>
  <c r="E22" i="3"/>
  <c r="E23" i="3"/>
  <c r="E24" i="3"/>
  <c r="E19" i="3"/>
  <c r="D18" i="3"/>
  <c r="D17" i="3"/>
  <c r="D71" i="3"/>
  <c r="Y71" i="3" s="1"/>
  <c r="D69" i="3"/>
  <c r="Y69" i="3" s="1"/>
  <c r="D61" i="3"/>
  <c r="Y61" i="3" s="1"/>
  <c r="D60" i="3"/>
  <c r="Y60" i="3" s="1"/>
  <c r="D50" i="2"/>
  <c r="Y50" i="2" s="1"/>
  <c r="D28" i="3"/>
  <c r="Y28" i="3" s="1"/>
  <c r="D10" i="2"/>
  <c r="D11" i="3"/>
  <c r="D12" i="2"/>
  <c r="D21" i="3"/>
  <c r="D22" i="3"/>
  <c r="D23" i="3"/>
  <c r="D24" i="3"/>
  <c r="D19" i="3"/>
  <c r="D15" i="1"/>
  <c r="D13" i="1"/>
  <c r="Y13" i="1" s="1"/>
  <c r="I12" i="3"/>
  <c r="I11" i="3"/>
  <c r="H12" i="2"/>
  <c r="H12" i="3" s="1"/>
  <c r="H11" i="3"/>
  <c r="G12" i="2"/>
  <c r="G12" i="3" s="1"/>
  <c r="G11" i="3"/>
  <c r="F12" i="2"/>
  <c r="E12" i="2"/>
  <c r="I13" i="2"/>
  <c r="I13" i="1"/>
  <c r="H13" i="1"/>
  <c r="AC13" i="1" s="1"/>
  <c r="G13" i="1"/>
  <c r="F13" i="1"/>
  <c r="E13" i="1"/>
  <c r="Z13" i="1" s="1"/>
  <c r="I71" i="3"/>
  <c r="I69" i="3"/>
  <c r="I61" i="3"/>
  <c r="I60" i="3"/>
  <c r="I50" i="3"/>
  <c r="I28" i="3"/>
  <c r="I10" i="3"/>
  <c r="I17" i="3"/>
  <c r="I18" i="3"/>
  <c r="I21" i="3"/>
  <c r="I22" i="3"/>
  <c r="I23" i="3"/>
  <c r="I24" i="3"/>
  <c r="I15" i="2"/>
  <c r="I26" i="2" s="1"/>
  <c r="I15" i="1"/>
  <c r="H71" i="3"/>
  <c r="G71" i="3"/>
  <c r="H69" i="3"/>
  <c r="G69" i="3"/>
  <c r="H61" i="3"/>
  <c r="G61" i="3"/>
  <c r="H60" i="3"/>
  <c r="G60" i="3"/>
  <c r="H50" i="2"/>
  <c r="H50" i="3" s="1"/>
  <c r="G50" i="2"/>
  <c r="F50" i="2"/>
  <c r="E50" i="2"/>
  <c r="H28" i="3"/>
  <c r="G28" i="3"/>
  <c r="H10" i="2"/>
  <c r="H17" i="3"/>
  <c r="H18" i="3"/>
  <c r="H21" i="3"/>
  <c r="H22" i="3"/>
  <c r="H23" i="3"/>
  <c r="H24" i="3"/>
  <c r="G10" i="2"/>
  <c r="G10" i="3" s="1"/>
  <c r="G17" i="3"/>
  <c r="G18" i="3"/>
  <c r="G21" i="3"/>
  <c r="G22" i="3"/>
  <c r="G23" i="3"/>
  <c r="G24" i="3"/>
  <c r="F10" i="2"/>
  <c r="E10" i="2"/>
  <c r="F15" i="2"/>
  <c r="H15" i="1"/>
  <c r="G15" i="1"/>
  <c r="F15" i="1"/>
  <c r="E15" i="1"/>
  <c r="D63" i="3"/>
  <c r="D51" i="2"/>
  <c r="D52" i="3"/>
  <c r="D47" i="3"/>
  <c r="D48" i="3"/>
  <c r="D57" i="3"/>
  <c r="D58" i="3"/>
  <c r="D62" i="3"/>
  <c r="D64" i="3"/>
  <c r="D29" i="3"/>
  <c r="D30" i="3"/>
  <c r="D65" i="2"/>
  <c r="D53" i="1"/>
  <c r="D65" i="1"/>
  <c r="E53" i="1"/>
  <c r="E65" i="1"/>
  <c r="E63" i="3"/>
  <c r="E51" i="2"/>
  <c r="E51" i="3" s="1"/>
  <c r="E52" i="3"/>
  <c r="E47" i="3"/>
  <c r="E48" i="3"/>
  <c r="E57" i="3"/>
  <c r="E58" i="3"/>
  <c r="E62" i="3"/>
  <c r="E64" i="3"/>
  <c r="E29" i="3"/>
  <c r="E30" i="3"/>
  <c r="E65" i="2"/>
  <c r="F63" i="3"/>
  <c r="F51" i="2"/>
  <c r="F51" i="3" s="1"/>
  <c r="F52" i="3"/>
  <c r="F47" i="3"/>
  <c r="F48" i="3"/>
  <c r="F57" i="3"/>
  <c r="F58" i="3"/>
  <c r="F62" i="3"/>
  <c r="F64" i="3"/>
  <c r="F29" i="3"/>
  <c r="F30" i="3"/>
  <c r="F65" i="2"/>
  <c r="F53" i="1"/>
  <c r="F67" i="1" s="1"/>
  <c r="F65" i="1"/>
  <c r="G63" i="3"/>
  <c r="G51" i="2"/>
  <c r="G51" i="3" s="1"/>
  <c r="G52" i="3"/>
  <c r="G47" i="3"/>
  <c r="G48" i="3"/>
  <c r="G57" i="3"/>
  <c r="G58" i="3"/>
  <c r="G62" i="3"/>
  <c r="G64" i="3"/>
  <c r="G29" i="3"/>
  <c r="G30" i="3"/>
  <c r="G65" i="2"/>
  <c r="G53" i="1"/>
  <c r="G67" i="1" s="1"/>
  <c r="G65" i="1"/>
  <c r="H53" i="1"/>
  <c r="H67" i="1" s="1"/>
  <c r="H65" i="1"/>
  <c r="H51" i="2"/>
  <c r="H51" i="3" s="1"/>
  <c r="H52" i="3"/>
  <c r="H47" i="3"/>
  <c r="H48" i="3"/>
  <c r="H57" i="3"/>
  <c r="H58" i="3"/>
  <c r="H62" i="3"/>
  <c r="H63" i="3"/>
  <c r="H64" i="3"/>
  <c r="H29" i="3"/>
  <c r="H30" i="3"/>
  <c r="H65" i="2"/>
  <c r="I51" i="3"/>
  <c r="I52" i="3"/>
  <c r="I47" i="3"/>
  <c r="I48" i="3"/>
  <c r="I57" i="3"/>
  <c r="I58" i="3"/>
  <c r="I62" i="3"/>
  <c r="I63" i="3"/>
  <c r="I64" i="3"/>
  <c r="I30" i="3"/>
  <c r="I29" i="3"/>
  <c r="I53" i="1"/>
  <c r="I65" i="1"/>
  <c r="I67" i="1" s="1"/>
  <c r="I53" i="2"/>
  <c r="I65" i="2"/>
  <c r="D50" i="3" l="1"/>
  <c r="Y50" i="3" s="1"/>
  <c r="AA50" i="2"/>
  <c r="AB28" i="3"/>
  <c r="AB69" i="3"/>
  <c r="Z71" i="3"/>
  <c r="AC28" i="3"/>
  <c r="AB71" i="3"/>
  <c r="AC71" i="3"/>
  <c r="AA61" i="3"/>
  <c r="AB60" i="3"/>
  <c r="Z28" i="3"/>
  <c r="Z61" i="3"/>
  <c r="F26" i="2"/>
  <c r="AE61" i="3"/>
  <c r="AD61" i="3"/>
  <c r="G26" i="1"/>
  <c r="AB15" i="1"/>
  <c r="G50" i="3"/>
  <c r="AB50" i="2"/>
  <c r="AC69" i="3"/>
  <c r="AE69" i="3"/>
  <c r="AD69" i="3"/>
  <c r="E12" i="3"/>
  <c r="Z12" i="2"/>
  <c r="AE12" i="3"/>
  <c r="AD12" i="3"/>
  <c r="D12" i="3"/>
  <c r="Y12" i="3" s="1"/>
  <c r="Y12" i="2"/>
  <c r="AA28" i="3"/>
  <c r="AN26" i="1"/>
  <c r="F26" i="1"/>
  <c r="AA15" i="1"/>
  <c r="AE13" i="2"/>
  <c r="I67" i="2"/>
  <c r="D67" i="1"/>
  <c r="H26" i="1"/>
  <c r="AC15" i="1"/>
  <c r="AE71" i="3"/>
  <c r="AD71" i="3"/>
  <c r="F12" i="3"/>
  <c r="AA12" i="2"/>
  <c r="AA60" i="3"/>
  <c r="D10" i="3"/>
  <c r="Y10" i="3" s="1"/>
  <c r="Y10" i="2"/>
  <c r="AD50" i="2"/>
  <c r="AC50" i="2"/>
  <c r="AA69" i="3"/>
  <c r="Z10" i="2"/>
  <c r="H15" i="2"/>
  <c r="AD15" i="2" s="1"/>
  <c r="AD10" i="2"/>
  <c r="AC10" i="2"/>
  <c r="AE10" i="3"/>
  <c r="AA13" i="1"/>
  <c r="G13" i="2"/>
  <c r="AB12" i="2"/>
  <c r="F50" i="3"/>
  <c r="F10" i="3"/>
  <c r="AA10" i="2"/>
  <c r="AB10" i="2"/>
  <c r="AC60" i="3"/>
  <c r="AE15" i="2"/>
  <c r="AE28" i="3"/>
  <c r="AD28" i="3"/>
  <c r="AB13" i="1"/>
  <c r="Z60" i="3"/>
  <c r="AA71" i="3"/>
  <c r="I32" i="2"/>
  <c r="I34" i="2" s="1"/>
  <c r="AE26" i="2"/>
  <c r="AB61" i="3"/>
  <c r="AE50" i="3"/>
  <c r="AD50" i="3"/>
  <c r="AC12" i="3"/>
  <c r="D26" i="1"/>
  <c r="Y15" i="1"/>
  <c r="I26" i="1"/>
  <c r="AD15" i="1"/>
  <c r="AE15" i="1"/>
  <c r="H10" i="3"/>
  <c r="AC10" i="3" s="1"/>
  <c r="E10" i="3"/>
  <c r="E67" i="1"/>
  <c r="E26" i="1"/>
  <c r="Z15" i="1"/>
  <c r="E50" i="3"/>
  <c r="Z50" i="3" s="1"/>
  <c r="Z50" i="2"/>
  <c r="AC61" i="3"/>
  <c r="AE60" i="3"/>
  <c r="AD60" i="3"/>
  <c r="AE13" i="1"/>
  <c r="AD13" i="1"/>
  <c r="H13" i="2"/>
  <c r="AC13" i="2" s="1"/>
  <c r="AD12" i="2"/>
  <c r="AC12" i="2"/>
  <c r="Z69" i="3"/>
  <c r="AN26" i="3"/>
  <c r="H53" i="2"/>
  <c r="H67" i="2" s="1"/>
  <c r="E15" i="2"/>
  <c r="E53" i="2"/>
  <c r="E67" i="2" s="1"/>
  <c r="D53" i="2"/>
  <c r="D67" i="2" s="1"/>
  <c r="S46" i="3"/>
  <c r="S53" i="3" s="1"/>
  <c r="S67" i="3" s="1"/>
  <c r="S32" i="3"/>
  <c r="S34" i="3" s="1"/>
  <c r="E13" i="2"/>
  <c r="G53" i="2"/>
  <c r="G67" i="2" s="1"/>
  <c r="F53" i="2"/>
  <c r="F67" i="2" s="1"/>
  <c r="D51" i="3"/>
  <c r="G15" i="2"/>
  <c r="D15" i="2"/>
  <c r="F13" i="2"/>
  <c r="D13" i="2"/>
  <c r="Y13" i="2" s="1"/>
  <c r="I13" i="3"/>
  <c r="I65" i="3"/>
  <c r="E65" i="3"/>
  <c r="F65" i="3"/>
  <c r="D65" i="3"/>
  <c r="H13" i="3"/>
  <c r="G65" i="3"/>
  <c r="G13" i="3"/>
  <c r="H65" i="3"/>
  <c r="G15" i="3"/>
  <c r="I15" i="3"/>
  <c r="E13" i="3"/>
  <c r="Z13" i="2" l="1"/>
  <c r="E15" i="3"/>
  <c r="E26" i="3" s="1"/>
  <c r="D15" i="3"/>
  <c r="Y15" i="3" s="1"/>
  <c r="AA12" i="3"/>
  <c r="D13" i="3"/>
  <c r="Y13" i="3" s="1"/>
  <c r="AA10" i="3"/>
  <c r="AB10" i="3"/>
  <c r="G32" i="1"/>
  <c r="G34" i="1" s="1"/>
  <c r="AB26" i="1"/>
  <c r="AC13" i="3"/>
  <c r="AD13" i="2"/>
  <c r="AD10" i="3"/>
  <c r="I32" i="1"/>
  <c r="I34" i="1" s="1"/>
  <c r="AD26" i="1"/>
  <c r="AE26" i="1"/>
  <c r="H15" i="3"/>
  <c r="AC15" i="3" s="1"/>
  <c r="AE13" i="3"/>
  <c r="AD13" i="3"/>
  <c r="D26" i="3"/>
  <c r="Y26" i="3" s="1"/>
  <c r="E26" i="2"/>
  <c r="Z15" i="2"/>
  <c r="AE15" i="3"/>
  <c r="AA13" i="2"/>
  <c r="E32" i="1"/>
  <c r="E34" i="1" s="1"/>
  <c r="Z26" i="1"/>
  <c r="AA50" i="3"/>
  <c r="H26" i="2"/>
  <c r="AC15" i="2"/>
  <c r="F32" i="1"/>
  <c r="F34" i="1" s="1"/>
  <c r="AA26" i="1"/>
  <c r="F32" i="2"/>
  <c r="F34" i="2" s="1"/>
  <c r="F13" i="3"/>
  <c r="AA13" i="3" s="1"/>
  <c r="D32" i="1"/>
  <c r="D34" i="1" s="1"/>
  <c r="Y26" i="1"/>
  <c r="AB12" i="3"/>
  <c r="AB50" i="3"/>
  <c r="AA15" i="2"/>
  <c r="D26" i="2"/>
  <c r="Y15" i="2"/>
  <c r="F15" i="3"/>
  <c r="G26" i="2"/>
  <c r="AB15" i="2"/>
  <c r="Z10" i="3"/>
  <c r="AB13" i="2"/>
  <c r="H32" i="1"/>
  <c r="H34" i="1" s="1"/>
  <c r="AC26" i="1"/>
  <c r="Z12" i="3"/>
  <c r="AC50" i="3"/>
  <c r="G26" i="3"/>
  <c r="I26" i="3"/>
  <c r="Z15" i="3" l="1"/>
  <c r="Z13" i="3"/>
  <c r="AD15" i="3"/>
  <c r="H26" i="3"/>
  <c r="AC26" i="3" s="1"/>
  <c r="D46" i="3"/>
  <c r="D53" i="3" s="1"/>
  <c r="D67" i="3" s="1"/>
  <c r="D32" i="3"/>
  <c r="D34" i="3" s="1"/>
  <c r="AE26" i="3"/>
  <c r="F26" i="3"/>
  <c r="AB26" i="3" s="1"/>
  <c r="AA15" i="3"/>
  <c r="D32" i="2"/>
  <c r="D34" i="2" s="1"/>
  <c r="Y26" i="2"/>
  <c r="AB13" i="3"/>
  <c r="E32" i="2"/>
  <c r="E34" i="2" s="1"/>
  <c r="Z26" i="2"/>
  <c r="E32" i="3"/>
  <c r="E34" i="3" s="1"/>
  <c r="Z26" i="3"/>
  <c r="H32" i="2"/>
  <c r="H34" i="2" s="1"/>
  <c r="AC26" i="2"/>
  <c r="AD26" i="2"/>
  <c r="AB15" i="3"/>
  <c r="AA26" i="2"/>
  <c r="E46" i="3"/>
  <c r="E53" i="3" s="1"/>
  <c r="E67" i="3" s="1"/>
  <c r="G32" i="2"/>
  <c r="G34" i="2" s="1"/>
  <c r="AB26" i="2"/>
  <c r="G46" i="3"/>
  <c r="G32" i="3"/>
  <c r="G34" i="3" s="1"/>
  <c r="I32" i="3"/>
  <c r="I34" i="3" s="1"/>
  <c r="I46" i="3"/>
  <c r="AD26" i="3" l="1"/>
  <c r="H46" i="3"/>
  <c r="H53" i="3" s="1"/>
  <c r="H67" i="3" s="1"/>
  <c r="H32" i="3"/>
  <c r="H34" i="3" s="1"/>
  <c r="F46" i="3"/>
  <c r="F53" i="3" s="1"/>
  <c r="F67" i="3" s="1"/>
  <c r="AA26" i="3"/>
  <c r="F32" i="3"/>
  <c r="F34" i="3" s="1"/>
  <c r="G53" i="3"/>
  <c r="G67" i="3" s="1"/>
  <c r="I53" i="3"/>
  <c r="I67" i="3" s="1"/>
</calcChain>
</file>

<file path=xl/sharedStrings.xml><?xml version="1.0" encoding="utf-8"?>
<sst xmlns="http://schemas.openxmlformats.org/spreadsheetml/2006/main" count="169" uniqueCount="50">
  <si>
    <t>Vuosimuutos, %:</t>
  </si>
  <si>
    <t>2007-17</t>
  </si>
  <si>
    <t>Kommunernas resultaträkning 2007-2017, mn euro</t>
  </si>
  <si>
    <t>Källa: Statistikcentralen</t>
  </si>
  <si>
    <t>Post i resultaträkningen</t>
  </si>
  <si>
    <t>Verksamhetens intäkter</t>
  </si>
  <si>
    <t>Tillverkning för eget bruk</t>
  </si>
  <si>
    <t>Verksamhetens kostnader</t>
  </si>
  <si>
    <t>Verks.kostn.  + tillverkn. för eget bruk</t>
  </si>
  <si>
    <t>VERKSAMHETSBIDRAG</t>
  </si>
  <si>
    <t>Skatteinkomster</t>
  </si>
  <si>
    <t>Statsandelar</t>
  </si>
  <si>
    <t>Finansiella intäkter och kostnader</t>
  </si>
  <si>
    <t xml:space="preserve">   Ränteintäkter</t>
  </si>
  <si>
    <t xml:space="preserve">   Övriga finansiella intäkter</t>
  </si>
  <si>
    <t xml:space="preserve">   Räntekostnader</t>
  </si>
  <si>
    <t xml:space="preserve">   Övriga finansieringskostnader</t>
  </si>
  <si>
    <t>ÅRSBIDRAG</t>
  </si>
  <si>
    <t>Avskrivningar och nedskrivningar</t>
  </si>
  <si>
    <t>Extraordinära intäkter</t>
  </si>
  <si>
    <t>Extraordinära kostnader</t>
  </si>
  <si>
    <t>RÄKENSKAPSPERIODENS RESULTAT</t>
  </si>
  <si>
    <t>Bokslutsdispositioner</t>
  </si>
  <si>
    <t>Räkenskapsper. över-/underskott</t>
  </si>
  <si>
    <t>Kommunernas finansieringsanalys 2007-2017, mn euro</t>
  </si>
  <si>
    <t>Post i finansieringsanalys</t>
  </si>
  <si>
    <t>Kassaflödet i verksamheten</t>
  </si>
  <si>
    <t xml:space="preserve">  Årsbidrag</t>
  </si>
  <si>
    <t xml:space="preserve">  Extraordinära poster, netto</t>
  </si>
  <si>
    <t xml:space="preserve">  Korr.poster till internt tillförda medel</t>
  </si>
  <si>
    <t>Kassaflödet för investeringarnas del</t>
  </si>
  <si>
    <t xml:space="preserve">  Investeringsutgifter</t>
  </si>
  <si>
    <t xml:space="preserve">  Finansieringsandelar för invest.</t>
  </si>
  <si>
    <t xml:space="preserve">  Försäljning av tillgångar</t>
  </si>
  <si>
    <t>Verksamh. och invester. kassaflöde</t>
  </si>
  <si>
    <t>Kassaflödet för finansieringens del</t>
  </si>
  <si>
    <t>Förändring av utgivna lån</t>
  </si>
  <si>
    <t xml:space="preserve">  Ökning av utgivna lån</t>
  </si>
  <si>
    <t xml:space="preserve">  Minskning av utgivna lån</t>
  </si>
  <si>
    <t>Förändring av lån</t>
  </si>
  <si>
    <t xml:space="preserve">  Ökning av långfristiga lån</t>
  </si>
  <si>
    <t xml:space="preserve">  Minskning av långfristiga lån</t>
  </si>
  <si>
    <t xml:space="preserve">  Förändring av kortfristiga lån</t>
  </si>
  <si>
    <t>Förändringar i eget kapital</t>
  </si>
  <si>
    <t>Övriga förändringar i likviditeten</t>
  </si>
  <si>
    <t>Förändring av likvida medel</t>
  </si>
  <si>
    <t>LIKVIDA MEDEL 31.12.</t>
  </si>
  <si>
    <t>LÅNESTOCK 31.12.</t>
  </si>
  <si>
    <t>Förändring på årsnivå, %:</t>
  </si>
  <si>
    <t>medelt./år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</si>
</sst>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i/>
      <sz val="9"/>
      <color theme="1"/>
      <name val="Arial"/>
      <family val="2"/>
    </font>
    <font>
      <sz val="9"/>
      <color rgb="FF0000FF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i/>
      <sz val="9"/>
      <color rgb="FF0000FF"/>
      <name val="Arial"/>
      <family val="2"/>
    </font>
    <font>
      <sz val="10"/>
      <color theme="9" tint="-0.499984740745262"/>
      <name val="Arial"/>
      <family val="2"/>
    </font>
    <font>
      <i/>
      <sz val="9"/>
      <color theme="9" tint="-0.499984740745262"/>
      <name val="Arial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color theme="9" tint="-0.499984740745262"/>
      <name val="Arial Narrow"/>
      <family val="2"/>
    </font>
    <font>
      <sz val="10"/>
      <name val="Arial Narrow"/>
      <family val="2"/>
    </font>
    <font>
      <i/>
      <sz val="9"/>
      <color rgb="FF0000FF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left"/>
    </xf>
    <xf numFmtId="0" fontId="7" fillId="0" borderId="0" xfId="0" applyFont="1"/>
    <xf numFmtId="3" fontId="8" fillId="0" borderId="0" xfId="0" applyNumberFormat="1" applyFont="1"/>
    <xf numFmtId="3" fontId="7" fillId="0" borderId="0" xfId="0" applyNumberFormat="1" applyFont="1"/>
    <xf numFmtId="3" fontId="3" fillId="0" borderId="0" xfId="0" applyNumberFormat="1" applyFont="1"/>
    <xf numFmtId="0" fontId="7" fillId="0" borderId="0" xfId="0" applyFont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0" fontId="9" fillId="0" borderId="0" xfId="0" applyFont="1"/>
    <xf numFmtId="164" fontId="10" fillId="0" borderId="0" xfId="0" applyNumberFormat="1" applyFont="1"/>
    <xf numFmtId="0" fontId="11" fillId="0" borderId="1" xfId="0" applyFont="1" applyBorder="1"/>
    <xf numFmtId="0" fontId="10" fillId="0" borderId="1" xfId="0" applyFont="1" applyBorder="1"/>
    <xf numFmtId="0" fontId="2" fillId="0" borderId="1" xfId="0" applyFont="1" applyBorder="1"/>
    <xf numFmtId="0" fontId="11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3" fontId="3" fillId="0" borderId="1" xfId="0" applyNumberFormat="1" applyFont="1" applyBorder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3" fontId="16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3" fontId="1" fillId="0" borderId="0" xfId="0" applyNumberFormat="1" applyFont="1"/>
    <xf numFmtId="164" fontId="19" fillId="0" borderId="0" xfId="0" applyNumberFormat="1" applyFont="1"/>
    <xf numFmtId="3" fontId="1" fillId="0" borderId="1" xfId="0" applyNumberFormat="1" applyFont="1" applyBorder="1"/>
    <xf numFmtId="0" fontId="20" fillId="0" borderId="0" xfId="0" applyFont="1"/>
    <xf numFmtId="3" fontId="20" fillId="0" borderId="0" xfId="0" applyNumberFormat="1" applyFont="1"/>
    <xf numFmtId="0" fontId="21" fillId="0" borderId="0" xfId="0" applyFont="1"/>
    <xf numFmtId="0" fontId="0" fillId="0" borderId="1" xfId="0" applyBorder="1"/>
    <xf numFmtId="3" fontId="12" fillId="0" borderId="0" xfId="0" applyNumberFormat="1" applyFont="1"/>
    <xf numFmtId="1" fontId="7" fillId="0" borderId="0" xfId="0" applyNumberFormat="1" applyFont="1"/>
    <xf numFmtId="1" fontId="8" fillId="0" borderId="0" xfId="0" applyNumberFormat="1" applyFont="1"/>
    <xf numFmtId="1" fontId="1" fillId="0" borderId="0" xfId="0" applyNumberFormat="1" applyFont="1"/>
    <xf numFmtId="3" fontId="20" fillId="0" borderId="2" xfId="0" applyNumberFormat="1" applyFont="1" applyBorder="1"/>
    <xf numFmtId="1" fontId="20" fillId="0" borderId="0" xfId="0" applyNumberFormat="1" applyFont="1"/>
    <xf numFmtId="0" fontId="7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164" fontId="22" fillId="0" borderId="0" xfId="0" applyNumberFormat="1" applyFont="1"/>
    <xf numFmtId="164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6" fillId="0" borderId="0" xfId="0" applyFont="1"/>
    <xf numFmtId="0" fontId="27" fillId="0" borderId="0" xfId="0" applyFont="1"/>
    <xf numFmtId="0" fontId="24" fillId="0" borderId="1" xfId="0" applyFont="1" applyBorder="1"/>
    <xf numFmtId="0" fontId="25" fillId="0" borderId="0" xfId="0" applyFont="1" applyAlignment="1">
      <alignment horizontal="center"/>
    </xf>
    <xf numFmtId="164" fontId="28" fillId="0" borderId="0" xfId="0" applyNumberFormat="1" applyFont="1"/>
    <xf numFmtId="164" fontId="25" fillId="0" borderId="0" xfId="0" applyNumberFormat="1" applyFont="1"/>
    <xf numFmtId="0" fontId="29" fillId="0" borderId="0" xfId="0" applyFont="1"/>
    <xf numFmtId="0" fontId="30" fillId="0" borderId="0" xfId="0" applyFont="1"/>
    <xf numFmtId="3" fontId="3" fillId="0" borderId="0" xfId="0" applyNumberFormat="1" applyFont="1" applyBorder="1"/>
    <xf numFmtId="0" fontId="31" fillId="0" borderId="0" xfId="0" applyFont="1"/>
    <xf numFmtId="165" fontId="22" fillId="0" borderId="0" xfId="0" applyNumberFormat="1" applyFont="1"/>
    <xf numFmtId="0" fontId="32" fillId="0" borderId="0" xfId="0" applyFont="1"/>
    <xf numFmtId="3" fontId="3" fillId="0" borderId="2" xfId="0" applyNumberFormat="1" applyFont="1" applyBorder="1"/>
    <xf numFmtId="3" fontId="22" fillId="0" borderId="0" xfId="0" applyNumberFormat="1" applyFont="1"/>
    <xf numFmtId="1" fontId="0" fillId="0" borderId="0" xfId="0" applyNumberFormat="1" applyBorder="1"/>
    <xf numFmtId="1" fontId="20" fillId="0" borderId="2" xfId="0" applyNumberFormat="1" applyFont="1" applyBorder="1"/>
    <xf numFmtId="1" fontId="0" fillId="0" borderId="2" xfId="0" applyNumberFormat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R97"/>
  <sheetViews>
    <sheetView tabSelected="1" workbookViewId="0">
      <pane xSplit="1" ySplit="8" topLeftCell="K9" activePane="bottomRight" state="frozen"/>
      <selection pane="topRight" activeCell="B1" sqref="B1"/>
      <selection pane="bottomLeft" activeCell="A9" sqref="A9"/>
      <selection pane="bottomRight" activeCell="K9" sqref="K9"/>
    </sheetView>
  </sheetViews>
  <sheetFormatPr defaultRowHeight="12.75" x14ac:dyDescent="0.2"/>
  <cols>
    <col min="1" max="1" width="32.140625" customWidth="1"/>
    <col min="2" max="3" width="7.5703125" hidden="1" customWidth="1"/>
    <col min="4" max="10" width="7.85546875" hidden="1" customWidth="1"/>
    <col min="11" max="11" width="0.140625" customWidth="1"/>
    <col min="12" max="16" width="7.140625" customWidth="1"/>
    <col min="17" max="18" width="7.28515625" customWidth="1"/>
    <col min="19" max="22" width="7.140625" customWidth="1"/>
    <col min="23" max="23" width="1.140625" customWidth="1"/>
    <col min="24" max="26" width="5.7109375" hidden="1" customWidth="1"/>
    <col min="27" max="32" width="5.7109375" style="2" hidden="1" customWidth="1"/>
    <col min="33" max="33" width="5" style="2" hidden="1" customWidth="1"/>
    <col min="34" max="42" width="5" style="2" customWidth="1"/>
    <col min="43" max="43" width="6.85546875" style="31" customWidth="1"/>
    <col min="44" max="44" width="8.5703125" customWidth="1"/>
  </cols>
  <sheetData>
    <row r="2" spans="1:44" x14ac:dyDescent="0.2">
      <c r="A2" s="7">
        <v>43371</v>
      </c>
      <c r="B2" s="7"/>
      <c r="C2" s="7"/>
    </row>
    <row r="3" spans="1:44" ht="18" x14ac:dyDescent="0.25">
      <c r="A3" s="5" t="s">
        <v>2</v>
      </c>
      <c r="B3" s="5"/>
      <c r="C3" s="5"/>
    </row>
    <row r="4" spans="1:44" ht="14.25" x14ac:dyDescent="0.2">
      <c r="A4" s="6" t="s">
        <v>3</v>
      </c>
      <c r="B4" s="6"/>
      <c r="C4" s="6"/>
      <c r="V4" s="1"/>
    </row>
    <row r="5" spans="1:44" x14ac:dyDescent="0.2">
      <c r="AQ5" s="70"/>
    </row>
    <row r="6" spans="1:44" ht="13.5" x14ac:dyDescent="0.25">
      <c r="A6" s="8" t="s">
        <v>4</v>
      </c>
      <c r="B6" s="12">
        <v>1997</v>
      </c>
      <c r="C6" s="12">
        <v>1998</v>
      </c>
      <c r="D6" s="12">
        <v>1999</v>
      </c>
      <c r="E6" s="12">
        <v>2000</v>
      </c>
      <c r="F6" s="12">
        <v>2001</v>
      </c>
      <c r="G6" s="12">
        <v>2002</v>
      </c>
      <c r="H6" s="12">
        <v>2003</v>
      </c>
      <c r="I6" s="12">
        <v>2004</v>
      </c>
      <c r="J6" s="12">
        <v>2005</v>
      </c>
      <c r="K6" s="12">
        <v>2006</v>
      </c>
      <c r="L6" s="12">
        <v>2007</v>
      </c>
      <c r="M6" s="12">
        <v>2008</v>
      </c>
      <c r="N6" s="12">
        <v>2009</v>
      </c>
      <c r="O6" s="12">
        <v>2010</v>
      </c>
      <c r="P6" s="12">
        <v>2011</v>
      </c>
      <c r="Q6" s="12">
        <v>2012</v>
      </c>
      <c r="R6" s="12">
        <v>2013</v>
      </c>
      <c r="S6" s="12">
        <v>2014</v>
      </c>
      <c r="T6" s="12">
        <v>2015</v>
      </c>
      <c r="U6" s="12">
        <v>2016</v>
      </c>
      <c r="V6" s="12">
        <v>2017</v>
      </c>
      <c r="X6" s="19" t="s">
        <v>0</v>
      </c>
      <c r="Y6" s="41"/>
      <c r="Z6" s="41"/>
      <c r="AA6" s="21"/>
      <c r="AB6" s="21"/>
      <c r="AC6" s="21"/>
      <c r="AD6" s="21"/>
      <c r="AE6" s="21"/>
      <c r="AF6" s="21"/>
      <c r="AH6" s="56" t="s">
        <v>48</v>
      </c>
      <c r="AI6" s="57"/>
      <c r="AJ6" s="57"/>
      <c r="AK6" s="57"/>
      <c r="AL6" s="57"/>
      <c r="AM6" s="57"/>
      <c r="AN6" s="57"/>
      <c r="AO6" s="57"/>
      <c r="AP6" s="57"/>
      <c r="AQ6" s="58"/>
    </row>
    <row r="7" spans="1:44" ht="13.5" x14ac:dyDescent="0.25">
      <c r="A7" s="1"/>
      <c r="B7" s="1"/>
      <c r="C7" s="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22">
        <v>1998</v>
      </c>
      <c r="Y7" s="22">
        <v>1999</v>
      </c>
      <c r="Z7" s="22">
        <v>2000</v>
      </c>
      <c r="AA7" s="22">
        <v>2001</v>
      </c>
      <c r="AB7" s="22">
        <v>2002</v>
      </c>
      <c r="AC7" s="22">
        <v>2003</v>
      </c>
      <c r="AD7" s="22">
        <v>2004</v>
      </c>
      <c r="AE7" s="22">
        <v>2005</v>
      </c>
      <c r="AF7" s="22">
        <v>2006</v>
      </c>
      <c r="AG7" s="22">
        <v>2007</v>
      </c>
      <c r="AH7" s="62">
        <v>2008</v>
      </c>
      <c r="AI7" s="62">
        <v>2009</v>
      </c>
      <c r="AJ7" s="62">
        <v>2010</v>
      </c>
      <c r="AK7" s="62">
        <v>2011</v>
      </c>
      <c r="AL7" s="62">
        <v>2012</v>
      </c>
      <c r="AM7" s="62">
        <v>2013</v>
      </c>
      <c r="AN7" s="62">
        <v>2014</v>
      </c>
      <c r="AO7" s="62">
        <v>2015</v>
      </c>
      <c r="AP7" s="62">
        <v>2016</v>
      </c>
      <c r="AQ7" s="62">
        <v>2017</v>
      </c>
      <c r="AR7" s="51" t="s">
        <v>1</v>
      </c>
    </row>
    <row r="8" spans="1:44" ht="13.5" x14ac:dyDescent="0.25">
      <c r="A8" s="1"/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Z8" s="23"/>
      <c r="AA8" s="23"/>
      <c r="AB8" s="23"/>
      <c r="AC8" s="23"/>
      <c r="AD8" s="23"/>
      <c r="AE8" s="23"/>
      <c r="AF8" s="23"/>
      <c r="AG8" s="23"/>
      <c r="AH8" s="50"/>
      <c r="AI8" s="50"/>
      <c r="AJ8" s="50"/>
      <c r="AK8" s="50"/>
      <c r="AL8" s="50"/>
      <c r="AM8" s="50"/>
      <c r="AN8" s="50"/>
      <c r="AO8" s="50"/>
      <c r="AP8" s="50"/>
      <c r="AR8" s="51" t="s">
        <v>49</v>
      </c>
    </row>
    <row r="9" spans="1:44" ht="13.5" x14ac:dyDescent="0.25">
      <c r="A9" s="1"/>
      <c r="B9" s="1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Z9" s="23"/>
      <c r="AA9" s="23"/>
      <c r="AB9" s="23"/>
      <c r="AC9" s="23"/>
      <c r="AD9" s="23"/>
      <c r="AE9" s="23"/>
      <c r="AF9" s="23"/>
      <c r="AG9" s="23"/>
      <c r="AH9" s="50"/>
      <c r="AI9" s="50"/>
      <c r="AJ9" s="50"/>
      <c r="AK9" s="50"/>
      <c r="AL9" s="50"/>
      <c r="AM9" s="50"/>
      <c r="AN9" s="50"/>
      <c r="AO9" s="50"/>
      <c r="AP9" s="50"/>
      <c r="AR9" s="54"/>
    </row>
    <row r="10" spans="1:44" ht="15" customHeight="1" x14ac:dyDescent="0.25">
      <c r="A10" s="1" t="s">
        <v>5</v>
      </c>
      <c r="B10" s="35">
        <v>4189.5612481562393</v>
      </c>
      <c r="C10" s="35">
        <v>4302.751722664837</v>
      </c>
      <c r="D10" s="11">
        <v>4397.7762192363261</v>
      </c>
      <c r="E10" s="11">
        <v>4503.4537390698879</v>
      </c>
      <c r="F10" s="11">
        <v>4702.1850000000004</v>
      </c>
      <c r="G10" s="11">
        <v>4989.098</v>
      </c>
      <c r="H10" s="11">
        <v>5288.8639999999996</v>
      </c>
      <c r="I10" s="11">
        <v>5571.9260000000004</v>
      </c>
      <c r="J10" s="11">
        <v>5703.0739999999996</v>
      </c>
      <c r="K10" s="11">
        <v>6159.6629999999996</v>
      </c>
      <c r="L10" s="11">
        <v>6343.0439999999999</v>
      </c>
      <c r="M10" s="11">
        <v>6730.4</v>
      </c>
      <c r="N10" s="11">
        <v>6795.3739999999998</v>
      </c>
      <c r="O10" s="11">
        <v>7143.7790000000005</v>
      </c>
      <c r="P10" s="11">
        <v>7392.7380000000003</v>
      </c>
      <c r="Q10" s="11">
        <v>7520.777</v>
      </c>
      <c r="R10" s="11">
        <v>7656.48</v>
      </c>
      <c r="S10" s="11">
        <v>7638.88</v>
      </c>
      <c r="T10" s="11">
        <v>6322.2830000000004</v>
      </c>
      <c r="U10" s="11">
        <v>6482.48</v>
      </c>
      <c r="V10" s="11">
        <v>6316.9169999999995</v>
      </c>
      <c r="X10" s="18">
        <f>100*(C10-B10)/B10</f>
        <v>2.7017262143717553</v>
      </c>
      <c r="Y10" s="18">
        <f>100*(D10-C10)/C10</f>
        <v>2.2084587421334492</v>
      </c>
      <c r="Z10" s="18">
        <f t="shared" ref="Z10:AK10" si="0">100*(E10-D10)/D10</f>
        <v>2.4029762899557596</v>
      </c>
      <c r="AA10" s="18">
        <f t="shared" si="0"/>
        <v>4.4128633809649633</v>
      </c>
      <c r="AB10" s="18">
        <f t="shared" si="0"/>
        <v>6.1016952757069216</v>
      </c>
      <c r="AC10" s="18">
        <f t="shared" si="0"/>
        <v>6.0084207606264624</v>
      </c>
      <c r="AD10" s="18">
        <f t="shared" si="0"/>
        <v>5.3520377911022257</v>
      </c>
      <c r="AE10" s="18">
        <f t="shared" si="0"/>
        <v>2.3537283158462481</v>
      </c>
      <c r="AF10" s="18">
        <f t="shared" si="0"/>
        <v>8.0060157031102879</v>
      </c>
      <c r="AG10" s="18">
        <f t="shared" si="0"/>
        <v>2.9771271577682143</v>
      </c>
      <c r="AH10" s="52">
        <f t="shared" si="0"/>
        <v>6.1067840614064757</v>
      </c>
      <c r="AI10" s="52">
        <f t="shared" si="0"/>
        <v>0.96538095804112922</v>
      </c>
      <c r="AJ10" s="52">
        <f t="shared" si="0"/>
        <v>5.1270908709366205</v>
      </c>
      <c r="AK10" s="52">
        <f t="shared" si="0"/>
        <v>3.4849762289678869</v>
      </c>
      <c r="AL10" s="52">
        <f t="shared" ref="AL10:AQ10" si="1">100*(Q10-P10)/P10</f>
        <v>1.7319564145246289</v>
      </c>
      <c r="AM10" s="52">
        <f t="shared" si="1"/>
        <v>1.8043747341531269</v>
      </c>
      <c r="AN10" s="52">
        <f t="shared" si="1"/>
        <v>-0.22987064551856015</v>
      </c>
      <c r="AO10" s="52">
        <f t="shared" si="1"/>
        <v>-17.235471692185239</v>
      </c>
      <c r="AP10" s="52">
        <f t="shared" si="1"/>
        <v>2.5338473459666262</v>
      </c>
      <c r="AQ10" s="52">
        <f t="shared" si="1"/>
        <v>-2.5540071083906177</v>
      </c>
      <c r="AR10" s="52">
        <f>100*(EXP(LN(V10/L10)/10)-1)</f>
        <v>-4.1266550280849579E-2</v>
      </c>
    </row>
    <row r="11" spans="1:44" ht="15" customHeight="1" x14ac:dyDescent="0.25">
      <c r="A11" s="1" t="s">
        <v>6</v>
      </c>
      <c r="B11" s="35">
        <v>118.57248815536528</v>
      </c>
      <c r="C11" s="35">
        <v>128.83195166951745</v>
      </c>
      <c r="D11" s="11">
        <v>166.22483698385227</v>
      </c>
      <c r="E11" s="11">
        <v>331.27975875123826</v>
      </c>
      <c r="F11" s="11">
        <v>377.58499999999998</v>
      </c>
      <c r="G11" s="11">
        <v>401.04599999999999</v>
      </c>
      <c r="H11" s="11">
        <v>418.88</v>
      </c>
      <c r="I11" s="11">
        <v>411.05</v>
      </c>
      <c r="J11" s="11">
        <v>364.01</v>
      </c>
      <c r="K11" s="11">
        <v>397.35700000000003</v>
      </c>
      <c r="L11" s="11">
        <v>414.88799999999998</v>
      </c>
      <c r="M11" s="11">
        <v>488.62</v>
      </c>
      <c r="N11" s="11">
        <v>486.57499999999999</v>
      </c>
      <c r="O11" s="11">
        <v>487.16</v>
      </c>
      <c r="P11" s="11">
        <v>629.41899999999998</v>
      </c>
      <c r="Q11" s="11">
        <v>593.75800000000004</v>
      </c>
      <c r="R11" s="11">
        <v>584.42999999999995</v>
      </c>
      <c r="S11" s="11">
        <v>501.92</v>
      </c>
      <c r="T11" s="11">
        <v>509.57</v>
      </c>
      <c r="U11" s="11">
        <v>445.73</v>
      </c>
      <c r="V11" s="11">
        <v>407.44799999999998</v>
      </c>
      <c r="Z11" s="23"/>
      <c r="AA11" s="23"/>
      <c r="AB11" s="23"/>
      <c r="AC11" s="23"/>
      <c r="AD11" s="23"/>
      <c r="AE11" s="23"/>
      <c r="AF11" s="23"/>
      <c r="AG11" s="23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ht="15" customHeight="1" x14ac:dyDescent="0.25">
      <c r="A12" s="1" t="s">
        <v>7</v>
      </c>
      <c r="B12" s="35">
        <v>-16966.46164558431</v>
      </c>
      <c r="C12" s="35">
        <v>-17402.236563046084</v>
      </c>
      <c r="D12" s="11">
        <v>-17911.178105968484</v>
      </c>
      <c r="E12" s="11">
        <v>-18904.909741949265</v>
      </c>
      <c r="F12" s="11">
        <v>-20351.309000000001</v>
      </c>
      <c r="G12" s="11">
        <v>-21454.594000000001</v>
      </c>
      <c r="H12" s="11">
        <v>-22394.117999999999</v>
      </c>
      <c r="I12" s="11">
        <v>-23468.591999999997</v>
      </c>
      <c r="J12" s="11">
        <v>-24461.913</v>
      </c>
      <c r="K12" s="11">
        <v>-25672.734</v>
      </c>
      <c r="L12" s="11">
        <v>-26935.17</v>
      </c>
      <c r="M12" s="11">
        <v>-29154.77</v>
      </c>
      <c r="N12" s="11">
        <v>-30226.12</v>
      </c>
      <c r="O12" s="11">
        <v>-31219.902999999998</v>
      </c>
      <c r="P12" s="11">
        <v>-32861.466999999997</v>
      </c>
      <c r="Q12" s="11">
        <v>-34458.800000000003</v>
      </c>
      <c r="R12" s="11">
        <v>-35411.699999999997</v>
      </c>
      <c r="S12" s="11">
        <v>-35572.43</v>
      </c>
      <c r="T12" s="11">
        <v>-35262.514999999999</v>
      </c>
      <c r="U12" s="11">
        <v>-35501</v>
      </c>
      <c r="V12" s="11">
        <v>-34978.685999999994</v>
      </c>
      <c r="X12" s="18">
        <f t="shared" ref="X12:AK13" si="2">100*(C12-B12)/B12</f>
        <v>2.5684490176252481</v>
      </c>
      <c r="Y12" s="18">
        <f t="shared" si="2"/>
        <v>2.9245754767128282</v>
      </c>
      <c r="Z12" s="18">
        <f t="shared" si="2"/>
        <v>5.5481087290938333</v>
      </c>
      <c r="AA12" s="18">
        <f t="shared" si="2"/>
        <v>7.6509186121171071</v>
      </c>
      <c r="AB12" s="18">
        <f t="shared" si="2"/>
        <v>5.4211991965725632</v>
      </c>
      <c r="AC12" s="18">
        <f t="shared" si="2"/>
        <v>4.3791273794321048</v>
      </c>
      <c r="AD12" s="18">
        <f t="shared" si="2"/>
        <v>4.7980188369106491</v>
      </c>
      <c r="AE12" s="18">
        <f t="shared" si="2"/>
        <v>4.2325547267599335</v>
      </c>
      <c r="AF12" s="18">
        <f t="shared" si="2"/>
        <v>4.9498213815084693</v>
      </c>
      <c r="AG12" s="18">
        <f t="shared" si="2"/>
        <v>4.9174193913277717</v>
      </c>
      <c r="AH12" s="52">
        <f t="shared" si="2"/>
        <v>8.240527162071011</v>
      </c>
      <c r="AI12" s="52">
        <f t="shared" si="2"/>
        <v>3.6746988571681358</v>
      </c>
      <c r="AJ12" s="52">
        <f t="shared" si="2"/>
        <v>3.2878285403485443</v>
      </c>
      <c r="AK12" s="52">
        <f t="shared" si="2"/>
        <v>5.2580688671582312</v>
      </c>
      <c r="AL12" s="52">
        <f t="shared" ref="AL12:AQ13" si="3">100*(Q12-P12)/P12</f>
        <v>4.8608085573294888</v>
      </c>
      <c r="AM12" s="52">
        <f t="shared" si="3"/>
        <v>2.7653313522235079</v>
      </c>
      <c r="AN12" s="52">
        <f t="shared" si="3"/>
        <v>0.45388953368520352</v>
      </c>
      <c r="AO12" s="52">
        <f t="shared" si="3"/>
        <v>-0.87122246076526366</v>
      </c>
      <c r="AP12" s="52">
        <f t="shared" si="3"/>
        <v>0.67631307636452076</v>
      </c>
      <c r="AQ12" s="52">
        <f>100*(V12-U12)/U12</f>
        <v>-1.4712655981521809</v>
      </c>
      <c r="AR12" s="52">
        <f>100*(EXP(LN(V12/L12)/10)-1)</f>
        <v>2.6475001148286159</v>
      </c>
    </row>
    <row r="13" spans="1:44" s="29" customFormat="1" ht="19.5" customHeight="1" x14ac:dyDescent="0.25">
      <c r="A13" s="29" t="s">
        <v>8</v>
      </c>
      <c r="B13" s="30">
        <f t="shared" ref="B13:I13" si="4">B12+B11</f>
        <v>-16847.889157428945</v>
      </c>
      <c r="C13" s="30">
        <f t="shared" si="4"/>
        <v>-17273.404611376565</v>
      </c>
      <c r="D13" s="30">
        <f t="shared" si="4"/>
        <v>-17744.953268984631</v>
      </c>
      <c r="E13" s="30">
        <f t="shared" si="4"/>
        <v>-18573.629983198025</v>
      </c>
      <c r="F13" s="30">
        <f t="shared" si="4"/>
        <v>-19973.724000000002</v>
      </c>
      <c r="G13" s="30">
        <f t="shared" si="4"/>
        <v>-21053.548000000003</v>
      </c>
      <c r="H13" s="30">
        <f t="shared" si="4"/>
        <v>-21975.237999999998</v>
      </c>
      <c r="I13" s="30">
        <f t="shared" si="4"/>
        <v>-23057.541999999998</v>
      </c>
      <c r="J13" s="30">
        <v>-24097.903000000002</v>
      </c>
      <c r="K13" s="30">
        <v>-25275.377</v>
      </c>
      <c r="L13" s="30">
        <v>-26520.281999999999</v>
      </c>
      <c r="M13" s="30">
        <v>-28666.15</v>
      </c>
      <c r="N13" s="30">
        <v>-29739.544999999998</v>
      </c>
      <c r="O13" s="30">
        <v>-30732.742999999999</v>
      </c>
      <c r="P13" s="30">
        <v>-32232.047999999995</v>
      </c>
      <c r="Q13" s="30">
        <v>-33865.042000000001</v>
      </c>
      <c r="R13" s="30">
        <f>R12+R11</f>
        <v>-34827.269999999997</v>
      </c>
      <c r="S13" s="30">
        <f>S12+S11</f>
        <v>-35070.51</v>
      </c>
      <c r="T13" s="30">
        <f>T12+T11</f>
        <v>-34752.945</v>
      </c>
      <c r="U13" s="30">
        <f>U12+U11</f>
        <v>-35055.269999999997</v>
      </c>
      <c r="V13" s="30">
        <f>V12+V11</f>
        <v>-34571.237999999998</v>
      </c>
      <c r="X13" s="36">
        <f t="shared" si="2"/>
        <v>2.5256306589599862</v>
      </c>
      <c r="Y13" s="36">
        <f t="shared" si="2"/>
        <v>2.7299114923614742</v>
      </c>
      <c r="Z13" s="36">
        <f t="shared" si="2"/>
        <v>4.6699289744639101</v>
      </c>
      <c r="AA13" s="36">
        <f t="shared" si="2"/>
        <v>7.5380742378766143</v>
      </c>
      <c r="AB13" s="36">
        <f t="shared" si="2"/>
        <v>5.4062226953771884</v>
      </c>
      <c r="AC13" s="36">
        <f t="shared" si="2"/>
        <v>4.3778369327582931</v>
      </c>
      <c r="AD13" s="36">
        <f t="shared" si="2"/>
        <v>4.925107068237442</v>
      </c>
      <c r="AE13" s="36">
        <f t="shared" si="2"/>
        <v>4.5120204052973403</v>
      </c>
      <c r="AF13" s="36">
        <f t="shared" si="2"/>
        <v>4.8862093934065474</v>
      </c>
      <c r="AG13" s="36">
        <f t="shared" si="2"/>
        <v>4.925366691859824</v>
      </c>
      <c r="AH13" s="63">
        <f t="shared" si="2"/>
        <v>8.0914222556155408</v>
      </c>
      <c r="AI13" s="63">
        <f t="shared" si="2"/>
        <v>3.7444686503070583</v>
      </c>
      <c r="AJ13" s="63">
        <f t="shared" si="2"/>
        <v>3.3396543222164308</v>
      </c>
      <c r="AK13" s="63">
        <f t="shared" si="2"/>
        <v>4.8785264628022187</v>
      </c>
      <c r="AL13" s="63">
        <f t="shared" si="3"/>
        <v>5.0663674861740287</v>
      </c>
      <c r="AM13" s="63">
        <f t="shared" si="3"/>
        <v>2.8413607164579791</v>
      </c>
      <c r="AN13" s="63">
        <f t="shared" si="3"/>
        <v>0.69841822227238959</v>
      </c>
      <c r="AO13" s="63">
        <f t="shared" si="3"/>
        <v>-0.90550436819995572</v>
      </c>
      <c r="AP13" s="63">
        <f t="shared" si="3"/>
        <v>0.86992627531277444</v>
      </c>
      <c r="AQ13" s="63">
        <f t="shared" si="3"/>
        <v>-1.3807681412808952</v>
      </c>
      <c r="AR13" s="63">
        <f t="shared" ref="AR13:AR17" si="5">100*(EXP(LN(V13/L13)/10)-1)</f>
        <v>2.686577540255497</v>
      </c>
    </row>
    <row r="14" spans="1:44" ht="13.5" x14ac:dyDescent="0.25">
      <c r="A14" s="1"/>
      <c r="B14" s="35"/>
      <c r="C14" s="3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Z14" s="23"/>
      <c r="AA14" s="23"/>
      <c r="AB14" s="23"/>
      <c r="AC14" s="23"/>
      <c r="AD14" s="23"/>
      <c r="AE14" s="23"/>
      <c r="AF14" s="23"/>
      <c r="AG14" s="2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ht="13.5" x14ac:dyDescent="0.25">
      <c r="A15" s="8" t="s">
        <v>9</v>
      </c>
      <c r="B15" s="10">
        <f>B10+B11+B12</f>
        <v>-12658.327909272706</v>
      </c>
      <c r="C15" s="10">
        <f>C10+C11+C12</f>
        <v>-12970.652888711731</v>
      </c>
      <c r="D15" s="10">
        <f t="shared" ref="D15:I15" si="6">D10+D11+D12</f>
        <v>-13347.177049748305</v>
      </c>
      <c r="E15" s="10">
        <f t="shared" si="6"/>
        <v>-14070.176244128139</v>
      </c>
      <c r="F15" s="10">
        <f t="shared" si="6"/>
        <v>-15271.539000000001</v>
      </c>
      <c r="G15" s="10">
        <f t="shared" si="6"/>
        <v>-16064.45</v>
      </c>
      <c r="H15" s="10">
        <f t="shared" si="6"/>
        <v>-16686.374</v>
      </c>
      <c r="I15" s="10">
        <f t="shared" si="6"/>
        <v>-17485.615999999995</v>
      </c>
      <c r="J15" s="10">
        <v>-18394.829000000002</v>
      </c>
      <c r="K15" s="10">
        <v>-19115.714</v>
      </c>
      <c r="L15" s="10">
        <v>-20177.237999999998</v>
      </c>
      <c r="M15" s="10">
        <v>-21935.75</v>
      </c>
      <c r="N15" s="10">
        <v>-22944.170999999998</v>
      </c>
      <c r="O15" s="10">
        <v>-23588.964</v>
      </c>
      <c r="P15" s="10">
        <v>-24839.309999999998</v>
      </c>
      <c r="Q15" s="10">
        <v>-26344.265000000003</v>
      </c>
      <c r="R15" s="10">
        <f>R10+R13</f>
        <v>-27170.789999999997</v>
      </c>
      <c r="S15" s="10">
        <f>S10+S13</f>
        <v>-27431.63</v>
      </c>
      <c r="T15" s="10">
        <f>T10+T13</f>
        <v>-28430.662</v>
      </c>
      <c r="U15" s="10">
        <f>U10+U13</f>
        <v>-28572.789999999997</v>
      </c>
      <c r="V15" s="10">
        <f>V10+V13</f>
        <v>-28254.320999999996</v>
      </c>
      <c r="X15" s="24">
        <f t="shared" ref="X15:AQ15" si="7">100*(C15-B15)/B15</f>
        <v>2.4673478335968451</v>
      </c>
      <c r="Y15" s="24">
        <f t="shared" si="7"/>
        <v>2.9028928941908556</v>
      </c>
      <c r="Z15" s="24">
        <f t="shared" si="7"/>
        <v>5.4168697372113463</v>
      </c>
      <c r="AA15" s="24">
        <f t="shared" si="7"/>
        <v>8.538363237441482</v>
      </c>
      <c r="AB15" s="24">
        <f t="shared" si="7"/>
        <v>5.1920831292772789</v>
      </c>
      <c r="AC15" s="24">
        <f t="shared" si="7"/>
        <v>3.8714303944423807</v>
      </c>
      <c r="AD15" s="24">
        <f t="shared" si="7"/>
        <v>4.7897883626484381</v>
      </c>
      <c r="AE15" s="24">
        <f t="shared" si="7"/>
        <v>5.1997767765230991</v>
      </c>
      <c r="AF15" s="24">
        <f t="shared" si="7"/>
        <v>3.9189546149083436</v>
      </c>
      <c r="AG15" s="24">
        <f t="shared" si="7"/>
        <v>5.5531485771339621</v>
      </c>
      <c r="AH15" s="64">
        <f t="shared" si="7"/>
        <v>8.715325655572892</v>
      </c>
      <c r="AI15" s="64">
        <f t="shared" si="7"/>
        <v>4.5971576080143075</v>
      </c>
      <c r="AJ15" s="64">
        <f t="shared" si="7"/>
        <v>2.8102693272291317</v>
      </c>
      <c r="AK15" s="64">
        <f t="shared" si="7"/>
        <v>5.3005549544269845</v>
      </c>
      <c r="AL15" s="64">
        <f t="shared" si="7"/>
        <v>6.0587633070323026</v>
      </c>
      <c r="AM15" s="64">
        <f t="shared" si="7"/>
        <v>3.1374001134592069</v>
      </c>
      <c r="AN15" s="64">
        <f t="shared" si="7"/>
        <v>0.96000153105597519</v>
      </c>
      <c r="AO15" s="64">
        <f t="shared" si="7"/>
        <v>3.6418980570968595</v>
      </c>
      <c r="AP15" s="64">
        <f t="shared" si="7"/>
        <v>0.49991097639582566</v>
      </c>
      <c r="AQ15" s="64">
        <f t="shared" si="7"/>
        <v>-1.1145883898632265</v>
      </c>
      <c r="AR15" s="64">
        <f t="shared" si="5"/>
        <v>3.4242346648899691</v>
      </c>
    </row>
    <row r="16" spans="1:44" ht="13.5" x14ac:dyDescent="0.25">
      <c r="A16" s="1"/>
      <c r="B16" s="35"/>
      <c r="C16" s="3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Z16" s="23"/>
      <c r="AA16" s="23"/>
      <c r="AB16" s="23"/>
      <c r="AC16" s="23"/>
      <c r="AD16" s="23"/>
      <c r="AE16" s="23"/>
      <c r="AF16" s="23"/>
      <c r="AG16" s="23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ht="15.75" customHeight="1" x14ac:dyDescent="0.25">
      <c r="A17" s="1" t="s">
        <v>10</v>
      </c>
      <c r="B17" s="35">
        <v>10995.117504494821</v>
      </c>
      <c r="C17" s="35">
        <v>11796.364786157461</v>
      </c>
      <c r="D17" s="11">
        <v>12107.238135603198</v>
      </c>
      <c r="E17" s="11">
        <v>12918.407495799505</v>
      </c>
      <c r="F17" s="11">
        <v>14103.073</v>
      </c>
      <c r="G17" s="11">
        <v>14076.744000000001</v>
      </c>
      <c r="H17" s="11">
        <v>13504.23</v>
      </c>
      <c r="I17" s="11">
        <v>13680.898999999999</v>
      </c>
      <c r="J17" s="11">
        <v>14255.29</v>
      </c>
      <c r="K17" s="11">
        <v>15166.924000000001</v>
      </c>
      <c r="L17" s="11">
        <v>16296.266</v>
      </c>
      <c r="M17" s="11">
        <v>17530.599999999999</v>
      </c>
      <c r="N17" s="11">
        <v>17610.871999999999</v>
      </c>
      <c r="O17" s="11">
        <v>18352.394</v>
      </c>
      <c r="P17" s="11">
        <v>19066.726999999999</v>
      </c>
      <c r="Q17" s="11">
        <v>19319.099999999999</v>
      </c>
      <c r="R17" s="11">
        <v>20642.86</v>
      </c>
      <c r="S17" s="11">
        <v>21177.8</v>
      </c>
      <c r="T17" s="11">
        <v>21768.09</v>
      </c>
      <c r="U17" s="11">
        <v>22100.1</v>
      </c>
      <c r="V17" s="11">
        <v>22546.446999999993</v>
      </c>
      <c r="X17" s="18">
        <f t="shared" ref="X17:AG18" si="8">100*(C17-B17)/B17</f>
        <v>7.2873007617707444</v>
      </c>
      <c r="Y17" s="18">
        <f t="shared" si="8"/>
        <v>2.6353317745017026</v>
      </c>
      <c r="Z17" s="18">
        <f t="shared" si="8"/>
        <v>6.6998711936699955</v>
      </c>
      <c r="AA17" s="18">
        <f t="shared" si="8"/>
        <v>9.1703679775211899</v>
      </c>
      <c r="AB17" s="18">
        <f t="shared" si="8"/>
        <v>-0.18668980866793872</v>
      </c>
      <c r="AC17" s="18">
        <f t="shared" si="8"/>
        <v>-4.067091082994768</v>
      </c>
      <c r="AD17" s="18">
        <f t="shared" si="8"/>
        <v>1.3082493411323701</v>
      </c>
      <c r="AE17" s="18">
        <f t="shared" si="8"/>
        <v>4.1984887104275934</v>
      </c>
      <c r="AF17" s="18">
        <f t="shared" si="8"/>
        <v>6.395057554072908</v>
      </c>
      <c r="AG17" s="18">
        <f t="shared" si="8"/>
        <v>7.4460846510472303</v>
      </c>
      <c r="AH17" s="52">
        <f t="shared" ref="AH17:AQ18" si="9">100*(M17-L17)/L17</f>
        <v>7.5743363541071247</v>
      </c>
      <c r="AI17" s="52">
        <f t="shared" si="9"/>
        <v>0.45789647815819684</v>
      </c>
      <c r="AJ17" s="52">
        <f t="shared" si="9"/>
        <v>4.2105921841916789</v>
      </c>
      <c r="AK17" s="52">
        <f t="shared" si="9"/>
        <v>3.8923150843426679</v>
      </c>
      <c r="AL17" s="52">
        <f t="shared" si="9"/>
        <v>1.3236304269736467</v>
      </c>
      <c r="AM17" s="52">
        <f t="shared" si="9"/>
        <v>6.8520790305966743</v>
      </c>
      <c r="AN17" s="52">
        <f t="shared" si="9"/>
        <v>2.5914044856187499</v>
      </c>
      <c r="AO17" s="52">
        <f t="shared" si="9"/>
        <v>2.7873055747055919</v>
      </c>
      <c r="AP17" s="52">
        <f t="shared" si="9"/>
        <v>1.5252142011540673</v>
      </c>
      <c r="AQ17" s="52">
        <f t="shared" si="9"/>
        <v>2.0196605445223974</v>
      </c>
      <c r="AR17" s="52">
        <f t="shared" si="5"/>
        <v>3.2996858586562094</v>
      </c>
    </row>
    <row r="18" spans="1:44" ht="15.75" customHeight="1" x14ac:dyDescent="0.25">
      <c r="A18" s="1" t="s">
        <v>11</v>
      </c>
      <c r="B18" s="35">
        <v>3329.2800043056109</v>
      </c>
      <c r="C18" s="35">
        <v>3183.6292599899421</v>
      </c>
      <c r="D18" s="11">
        <v>3193.0531658854334</v>
      </c>
      <c r="E18" s="11">
        <v>3350.3431874639446</v>
      </c>
      <c r="F18" s="11">
        <v>3667.04</v>
      </c>
      <c r="G18" s="11">
        <v>3892.3040000000001</v>
      </c>
      <c r="H18" s="11">
        <v>4289.2039999999997</v>
      </c>
      <c r="I18" s="11">
        <v>4735.3869999999997</v>
      </c>
      <c r="J18" s="11">
        <v>5067.9170000000004</v>
      </c>
      <c r="K18" s="11">
        <v>5496.6490000000003</v>
      </c>
      <c r="L18" s="11">
        <v>5756.6090000000004</v>
      </c>
      <c r="M18" s="11">
        <v>6426</v>
      </c>
      <c r="N18" s="11">
        <v>6910.41</v>
      </c>
      <c r="O18" s="11">
        <v>7432.5479999999998</v>
      </c>
      <c r="P18" s="11">
        <v>7660.4870000000001</v>
      </c>
      <c r="Q18" s="11">
        <v>8070.9549999999999</v>
      </c>
      <c r="R18" s="11">
        <v>8288.2099999999991</v>
      </c>
      <c r="S18" s="11">
        <v>8196.2000000000007</v>
      </c>
      <c r="T18" s="11">
        <v>8233.2000000000007</v>
      </c>
      <c r="U18" s="11">
        <v>8829.6</v>
      </c>
      <c r="V18" s="11">
        <v>8540.700000000008</v>
      </c>
      <c r="X18" s="18">
        <f t="shared" si="8"/>
        <v>-4.3748421318514854</v>
      </c>
      <c r="Y18" s="18">
        <f t="shared" si="8"/>
        <v>0.29601141106238887</v>
      </c>
      <c r="Z18" s="18">
        <f t="shared" si="8"/>
        <v>4.9260069722294988</v>
      </c>
      <c r="AA18" s="18">
        <f t="shared" si="8"/>
        <v>9.4526678258229513</v>
      </c>
      <c r="AB18" s="18">
        <f t="shared" si="8"/>
        <v>6.1429381735677859</v>
      </c>
      <c r="AC18" s="18">
        <f t="shared" si="8"/>
        <v>10.197045246208919</v>
      </c>
      <c r="AD18" s="18">
        <f t="shared" si="8"/>
        <v>10.402466285119571</v>
      </c>
      <c r="AE18" s="18">
        <f t="shared" si="8"/>
        <v>7.0222349303235552</v>
      </c>
      <c r="AF18" s="18">
        <f t="shared" si="8"/>
        <v>8.4597281289334436</v>
      </c>
      <c r="AG18" s="18">
        <f t="shared" si="8"/>
        <v>4.7294269654111085</v>
      </c>
      <c r="AH18" s="52">
        <f t="shared" si="9"/>
        <v>11.628217236918463</v>
      </c>
      <c r="AI18" s="52">
        <f t="shared" si="9"/>
        <v>7.5382819794584481</v>
      </c>
      <c r="AJ18" s="52">
        <f t="shared" si="9"/>
        <v>7.5558179615970671</v>
      </c>
      <c r="AK18" s="52">
        <f t="shared" si="9"/>
        <v>3.0667679509099748</v>
      </c>
      <c r="AL18" s="52">
        <f t="shared" si="9"/>
        <v>5.3582494167798975</v>
      </c>
      <c r="AM18" s="52">
        <f t="shared" si="9"/>
        <v>2.691812802821961</v>
      </c>
      <c r="AN18" s="52">
        <f t="shared" si="9"/>
        <v>-1.1101311380864916</v>
      </c>
      <c r="AO18" s="52">
        <f t="shared" si="9"/>
        <v>0.45142871086601105</v>
      </c>
      <c r="AP18" s="52">
        <f t="shared" si="9"/>
        <v>7.2438420055385464</v>
      </c>
      <c r="AQ18" s="52">
        <f t="shared" si="9"/>
        <v>-3.2719488991572931</v>
      </c>
      <c r="AR18" s="52">
        <f>100*(EXP(LN(V18/L18)/10)-1)</f>
        <v>4.0237901627497186</v>
      </c>
    </row>
    <row r="19" spans="1:44" ht="15.75" customHeight="1" x14ac:dyDescent="0.25">
      <c r="A19" s="1"/>
      <c r="B19" s="35">
        <v>-695.62526384480964</v>
      </c>
      <c r="C19" s="35">
        <v>-750.11815201833917</v>
      </c>
      <c r="D19" s="11">
        <v>-771.32782686062092</v>
      </c>
      <c r="E19" s="11">
        <v>-815.66939635671315</v>
      </c>
      <c r="F19" s="11">
        <v>-881.46699999999998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Z19" s="23"/>
      <c r="AA19" s="23"/>
      <c r="AB19" s="23"/>
      <c r="AC19" s="23"/>
      <c r="AD19" s="23"/>
      <c r="AE19" s="23"/>
      <c r="AF19" s="23"/>
      <c r="AG19" s="23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2"/>
    </row>
    <row r="20" spans="1:44" ht="15.75" customHeight="1" x14ac:dyDescent="0.25">
      <c r="A20" s="1" t="s">
        <v>12</v>
      </c>
      <c r="B20" s="35"/>
      <c r="C20" s="3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Z20" s="23"/>
      <c r="AA20" s="23"/>
      <c r="AB20" s="23"/>
      <c r="AC20" s="23"/>
      <c r="AD20" s="23"/>
      <c r="AE20" s="23"/>
      <c r="AF20" s="23"/>
      <c r="AG20" s="2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2"/>
    </row>
    <row r="21" spans="1:44" ht="15.75" customHeight="1" x14ac:dyDescent="0.25">
      <c r="A21" s="1" t="s">
        <v>13</v>
      </c>
      <c r="B21" s="35">
        <v>246.39531226611365</v>
      </c>
      <c r="C21" s="35">
        <v>225.8763852378093</v>
      </c>
      <c r="D21" s="11">
        <v>198.18727052859782</v>
      </c>
      <c r="E21" s="11">
        <v>226.60396620768182</v>
      </c>
      <c r="F21" s="11">
        <v>234.37299999999999</v>
      </c>
      <c r="G21" s="11">
        <v>173.24</v>
      </c>
      <c r="H21" s="11">
        <v>165.68299999999999</v>
      </c>
      <c r="I21" s="11">
        <v>143.56399999999999</v>
      </c>
      <c r="J21" s="11">
        <v>147.459</v>
      </c>
      <c r="K21" s="11">
        <v>187.91399999999999</v>
      </c>
      <c r="L21" s="11">
        <v>237.21600000000001</v>
      </c>
      <c r="M21" s="11">
        <v>261</v>
      </c>
      <c r="N21" s="11">
        <v>193.673</v>
      </c>
      <c r="O21" s="11">
        <v>226.28700000000001</v>
      </c>
      <c r="P21" s="11">
        <v>251.22200000000001</v>
      </c>
      <c r="Q21" s="11">
        <v>220.46100000000001</v>
      </c>
      <c r="R21" s="11">
        <v>205.24</v>
      </c>
      <c r="S21" s="11">
        <v>200.73</v>
      </c>
      <c r="T21" s="11">
        <v>251.40600000000001</v>
      </c>
      <c r="U21" s="11">
        <v>246.11</v>
      </c>
      <c r="V21" s="11">
        <v>247.85799999999992</v>
      </c>
      <c r="X21" s="18">
        <f t="shared" ref="X21:AQ21" si="10">100*(C21-B21)/B21</f>
        <v>-8.3276450511945406</v>
      </c>
      <c r="Y21" s="18">
        <f t="shared" si="10"/>
        <v>-12.258525688756514</v>
      </c>
      <c r="Z21" s="18">
        <f t="shared" si="10"/>
        <v>14.338305181403443</v>
      </c>
      <c r="AA21" s="18">
        <f t="shared" si="10"/>
        <v>3.4284632887660376</v>
      </c>
      <c r="AB21" s="18">
        <f t="shared" si="10"/>
        <v>-26.083635913693126</v>
      </c>
      <c r="AC21" s="18">
        <f t="shared" si="10"/>
        <v>-4.3621565458323808</v>
      </c>
      <c r="AD21" s="18">
        <f t="shared" si="10"/>
        <v>-13.350192838130647</v>
      </c>
      <c r="AE21" s="18">
        <f t="shared" si="10"/>
        <v>2.713075701429335</v>
      </c>
      <c r="AF21" s="18">
        <f t="shared" si="10"/>
        <v>27.434744573067753</v>
      </c>
      <c r="AG21" s="18">
        <f t="shared" si="10"/>
        <v>26.236469874517081</v>
      </c>
      <c r="AH21" s="52">
        <f t="shared" si="10"/>
        <v>10.026305139619584</v>
      </c>
      <c r="AI21" s="52">
        <f t="shared" si="10"/>
        <v>-25.795785440613027</v>
      </c>
      <c r="AJ21" s="52">
        <f t="shared" si="10"/>
        <v>16.839724690586714</v>
      </c>
      <c r="AK21" s="52">
        <f t="shared" si="10"/>
        <v>11.019192441457088</v>
      </c>
      <c r="AL21" s="52">
        <f t="shared" si="10"/>
        <v>-12.244548646217288</v>
      </c>
      <c r="AM21" s="52">
        <f t="shared" si="10"/>
        <v>-6.9041689913408737</v>
      </c>
      <c r="AN21" s="52">
        <f t="shared" si="10"/>
        <v>-2.1974274020658835</v>
      </c>
      <c r="AO21" s="52">
        <f t="shared" si="10"/>
        <v>25.245852637871774</v>
      </c>
      <c r="AP21" s="52">
        <f t="shared" si="10"/>
        <v>-2.1065527473489065</v>
      </c>
      <c r="AQ21" s="52">
        <f t="shared" si="10"/>
        <v>0.71025151355081273</v>
      </c>
      <c r="AR21" s="52">
        <f t="shared" ref="AR21:AR28" si="11">100*(EXP(LN(V21/L21)/10)-1)</f>
        <v>0.43981318223258459</v>
      </c>
    </row>
    <row r="22" spans="1:44" ht="15.75" customHeight="1" x14ac:dyDescent="0.25">
      <c r="A22" s="1" t="s">
        <v>14</v>
      </c>
      <c r="B22" s="35">
        <v>123.44993802274909</v>
      </c>
      <c r="C22" s="35">
        <v>148.84631491843726</v>
      </c>
      <c r="D22" s="11">
        <v>200.44452068963776</v>
      </c>
      <c r="E22" s="11">
        <v>141.5123121971566</v>
      </c>
      <c r="F22" s="11">
        <v>144.45699999999999</v>
      </c>
      <c r="G22" s="11">
        <v>162.428</v>
      </c>
      <c r="H22" s="11">
        <v>178.50700000000001</v>
      </c>
      <c r="I22" s="11">
        <v>233.678</v>
      </c>
      <c r="J22" s="11">
        <v>260.85300000000001</v>
      </c>
      <c r="K22" s="11">
        <v>263.55700000000002</v>
      </c>
      <c r="L22" s="11">
        <v>283.11500000000001</v>
      </c>
      <c r="M22" s="11">
        <v>257.07</v>
      </c>
      <c r="N22" s="11">
        <v>318.32500000000005</v>
      </c>
      <c r="O22" s="11">
        <v>305.7</v>
      </c>
      <c r="P22" s="11">
        <v>290.01900000000001</v>
      </c>
      <c r="Q22" s="11">
        <v>367.80099999999999</v>
      </c>
      <c r="R22" s="11">
        <v>349.74</v>
      </c>
      <c r="S22" s="11">
        <v>329.69</v>
      </c>
      <c r="T22" s="11">
        <v>360.14699999999999</v>
      </c>
      <c r="U22" s="11">
        <v>334.4</v>
      </c>
      <c r="V22" s="11">
        <v>404.84099999999989</v>
      </c>
      <c r="Z22" s="23"/>
      <c r="AA22" s="23"/>
      <c r="AB22" s="23"/>
      <c r="AC22" s="23"/>
      <c r="AD22" s="23"/>
      <c r="AE22" s="23"/>
      <c r="AF22" s="23"/>
      <c r="AG22" s="23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44" ht="15.75" customHeight="1" x14ac:dyDescent="0.25">
      <c r="A23" s="1" t="s">
        <v>15</v>
      </c>
      <c r="B23" s="35">
        <v>-252.11370176580502</v>
      </c>
      <c r="C23" s="35">
        <v>-229.57651961996257</v>
      </c>
      <c r="D23" s="11">
        <v>-190.65598336957783</v>
      </c>
      <c r="E23" s="11">
        <v>-204.30325628644422</v>
      </c>
      <c r="F23" s="11">
        <v>-220.946</v>
      </c>
      <c r="G23" s="11">
        <v>-186.167</v>
      </c>
      <c r="H23" s="11">
        <v>-168.96700000000001</v>
      </c>
      <c r="I23" s="11">
        <v>-173.24799999999999</v>
      </c>
      <c r="J23" s="11">
        <v>-193.43299999999999</v>
      </c>
      <c r="K23" s="11">
        <v>-247.09399999999999</v>
      </c>
      <c r="L23" s="11">
        <v>-330.53300000000002</v>
      </c>
      <c r="M23" s="11">
        <v>-387</v>
      </c>
      <c r="N23" s="11">
        <v>-261.59899999999999</v>
      </c>
      <c r="O23" s="11">
        <v>-211.06399999999999</v>
      </c>
      <c r="P23" s="11">
        <v>-257.48599999999999</v>
      </c>
      <c r="Q23" s="11">
        <v>-236.68700000000001</v>
      </c>
      <c r="R23" s="11">
        <v>-201.29</v>
      </c>
      <c r="S23" s="11">
        <v>-215.88</v>
      </c>
      <c r="T23" s="11">
        <v>-194.452</v>
      </c>
      <c r="U23" s="11">
        <v>-177.27</v>
      </c>
      <c r="V23" s="11">
        <v>-170.346</v>
      </c>
      <c r="X23" s="18">
        <f t="shared" ref="X23:AQ23" si="12">100*(C23-B23)/B23</f>
        <v>-8.9392928619079299</v>
      </c>
      <c r="Y23" s="18">
        <f t="shared" si="12"/>
        <v>-16.953186813186818</v>
      </c>
      <c r="Z23" s="18">
        <f t="shared" si="12"/>
        <v>7.1580616960820951</v>
      </c>
      <c r="AA23" s="18">
        <f t="shared" si="12"/>
        <v>8.1460981171155424</v>
      </c>
      <c r="AB23" s="18">
        <f t="shared" si="12"/>
        <v>-15.740950277443355</v>
      </c>
      <c r="AC23" s="18">
        <f t="shared" si="12"/>
        <v>-9.2390165818861494</v>
      </c>
      <c r="AD23" s="18">
        <f t="shared" si="12"/>
        <v>2.5336308273212977</v>
      </c>
      <c r="AE23" s="18">
        <f t="shared" si="12"/>
        <v>11.650928149242706</v>
      </c>
      <c r="AF23" s="18">
        <f t="shared" si="12"/>
        <v>27.74138849110545</v>
      </c>
      <c r="AG23" s="18">
        <f t="shared" si="12"/>
        <v>33.768120634252561</v>
      </c>
      <c r="AH23" s="52">
        <f t="shared" si="12"/>
        <v>17.083619487312912</v>
      </c>
      <c r="AI23" s="52">
        <f t="shared" si="12"/>
        <v>-32.403359173126617</v>
      </c>
      <c r="AJ23" s="52">
        <f t="shared" si="12"/>
        <v>-19.317734395009158</v>
      </c>
      <c r="AK23" s="52">
        <f t="shared" si="12"/>
        <v>21.994276617518857</v>
      </c>
      <c r="AL23" s="52">
        <f t="shared" si="12"/>
        <v>-8.0777207304474725</v>
      </c>
      <c r="AM23" s="52">
        <f t="shared" si="12"/>
        <v>-14.955193990375482</v>
      </c>
      <c r="AN23" s="52">
        <f t="shared" si="12"/>
        <v>7.2482487952705075</v>
      </c>
      <c r="AO23" s="52">
        <f t="shared" si="12"/>
        <v>-9.925884750787473</v>
      </c>
      <c r="AP23" s="52">
        <f t="shared" si="12"/>
        <v>-8.8361137967210368</v>
      </c>
      <c r="AQ23" s="52">
        <f t="shared" si="12"/>
        <v>-3.9059062447114608</v>
      </c>
      <c r="AR23" s="52">
        <f t="shared" si="11"/>
        <v>-6.4138219697429282</v>
      </c>
    </row>
    <row r="24" spans="1:44" ht="15.75" customHeight="1" x14ac:dyDescent="0.25">
      <c r="A24" s="1" t="s">
        <v>16</v>
      </c>
      <c r="B24" s="35">
        <v>-107.47208500890555</v>
      </c>
      <c r="C24" s="35">
        <v>-129.16832752244048</v>
      </c>
      <c r="D24" s="11">
        <v>-62.369128769722131</v>
      </c>
      <c r="E24" s="11">
        <v>-52.54577654888466</v>
      </c>
      <c r="F24" s="11">
        <v>-54.036999999999999</v>
      </c>
      <c r="G24" s="11">
        <v>-72.593000000000004</v>
      </c>
      <c r="H24" s="11">
        <v>-29.038</v>
      </c>
      <c r="I24" s="11">
        <v>-27.561</v>
      </c>
      <c r="J24" s="11">
        <v>-21.423999999999999</v>
      </c>
      <c r="K24" s="11">
        <v>-24.934999999999999</v>
      </c>
      <c r="L24" s="11">
        <v>-40.755000000000003</v>
      </c>
      <c r="M24" s="11">
        <v>-216</v>
      </c>
      <c r="N24" s="11">
        <v>-10.41</v>
      </c>
      <c r="O24" s="11">
        <v>-36.493000000000002</v>
      </c>
      <c r="P24" s="11">
        <v>-98.230999999999995</v>
      </c>
      <c r="Q24" s="11">
        <v>-44.548999999999999</v>
      </c>
      <c r="R24" s="11">
        <v>-40.42</v>
      </c>
      <c r="S24" s="11">
        <v>-34.58</v>
      </c>
      <c r="T24" s="11">
        <v>-75.688999999999993</v>
      </c>
      <c r="U24" s="11">
        <v>-42.1</v>
      </c>
      <c r="V24" s="11">
        <v>-29.343</v>
      </c>
      <c r="Z24" s="23"/>
      <c r="AA24" s="23"/>
      <c r="AB24" s="23"/>
      <c r="AC24" s="23"/>
      <c r="AD24" s="23"/>
      <c r="AE24" s="23"/>
      <c r="AF24" s="23"/>
      <c r="AG24" s="23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ht="13.5" x14ac:dyDescent="0.25">
      <c r="A25" s="1"/>
      <c r="B25" s="35"/>
      <c r="C25" s="3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Z25" s="23"/>
      <c r="AA25" s="23"/>
      <c r="AB25" s="23"/>
      <c r="AC25" s="23"/>
      <c r="AD25" s="23"/>
      <c r="AE25" s="23"/>
      <c r="AF25" s="23"/>
      <c r="AG25" s="23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</row>
    <row r="26" spans="1:44" ht="13.5" x14ac:dyDescent="0.25">
      <c r="A26" s="8" t="s">
        <v>17</v>
      </c>
      <c r="B26" s="10">
        <f t="shared" ref="B26:G26" si="13">B15+B17+B18+B21+B22+B23+B24+B19</f>
        <v>980.70379919706863</v>
      </c>
      <c r="C26" s="10">
        <f t="shared" si="13"/>
        <v>1275.2008584311761</v>
      </c>
      <c r="D26" s="10">
        <f t="shared" si="13"/>
        <v>1327.3931039586414</v>
      </c>
      <c r="E26" s="10">
        <f t="shared" si="13"/>
        <v>1494.1722883481075</v>
      </c>
      <c r="F26" s="10">
        <f t="shared" si="13"/>
        <v>1720.9539999999997</v>
      </c>
      <c r="G26" s="10">
        <f t="shared" si="13"/>
        <v>1981.5059999999996</v>
      </c>
      <c r="H26" s="10">
        <f>H15+H17+H18+H21+H22+H23+H24</f>
        <v>1253.2449999999994</v>
      </c>
      <c r="I26" s="10">
        <f>I15+I17+I18+I21+I22+I23+I24</f>
        <v>1107.1030000000048</v>
      </c>
      <c r="J26" s="10">
        <v>1121.8329999999999</v>
      </c>
      <c r="K26" s="10">
        <v>1727.3010000000013</v>
      </c>
      <c r="L26" s="10">
        <v>2024.6800000000026</v>
      </c>
      <c r="M26" s="10">
        <v>1935.9199999999987</v>
      </c>
      <c r="N26" s="10">
        <v>1817.1000000000008</v>
      </c>
      <c r="O26" s="10">
        <v>2480.4079999999999</v>
      </c>
      <c r="P26" s="10">
        <v>2073.4280000000017</v>
      </c>
      <c r="Q26" s="10">
        <v>1352.8159999999953</v>
      </c>
      <c r="R26" s="10">
        <f>R15+R17+R18+R21+R22+R23+R24</f>
        <v>2073.5500000000025</v>
      </c>
      <c r="S26" s="10">
        <f>S15+S17+S18+S21+S22+S23+S24</f>
        <v>2222.329999999999</v>
      </c>
      <c r="T26" s="10">
        <f>T15+T17+T18+T21+T22+T23+T24</f>
        <v>1912.0400000000004</v>
      </c>
      <c r="U26" s="10">
        <f>U15+U17+U18+U21+U22+U23+U24</f>
        <v>2718.050000000002</v>
      </c>
      <c r="V26" s="10">
        <f>V15+V17+V18+V21+V22+V23+V24</f>
        <v>3285.8360000000043</v>
      </c>
      <c r="X26" s="24">
        <f t="shared" ref="X26:AQ26" si="14">100*(C26-B26)/B26</f>
        <v>30.029154518950676</v>
      </c>
      <c r="Y26" s="24">
        <f t="shared" si="14"/>
        <v>4.0928646795043031</v>
      </c>
      <c r="Z26" s="24">
        <f t="shared" si="14"/>
        <v>12.564415461560403</v>
      </c>
      <c r="AA26" s="24">
        <f t="shared" si="14"/>
        <v>15.177748471202898</v>
      </c>
      <c r="AB26" s="24">
        <f t="shared" si="14"/>
        <v>15.139974688457677</v>
      </c>
      <c r="AC26" s="24">
        <f t="shared" si="14"/>
        <v>-36.752904104252039</v>
      </c>
      <c r="AD26" s="24">
        <f t="shared" si="14"/>
        <v>-11.661087816029161</v>
      </c>
      <c r="AE26" s="24">
        <f t="shared" si="14"/>
        <v>1.3304995108851616</v>
      </c>
      <c r="AF26" s="24">
        <f t="shared" si="14"/>
        <v>53.971313020743864</v>
      </c>
      <c r="AG26" s="24">
        <f t="shared" si="14"/>
        <v>17.216397142131047</v>
      </c>
      <c r="AH26" s="64">
        <f t="shared" si="14"/>
        <v>-4.3839026414052462</v>
      </c>
      <c r="AI26" s="64">
        <f t="shared" si="14"/>
        <v>-6.1376503161286609</v>
      </c>
      <c r="AJ26" s="64">
        <f t="shared" si="14"/>
        <v>36.503659677508047</v>
      </c>
      <c r="AK26" s="64">
        <f t="shared" si="14"/>
        <v>-16.407784525771493</v>
      </c>
      <c r="AL26" s="64">
        <f t="shared" si="14"/>
        <v>-34.754618920937013</v>
      </c>
      <c r="AM26" s="64">
        <f t="shared" si="14"/>
        <v>53.2765727194245</v>
      </c>
      <c r="AN26" s="64">
        <f t="shared" si="14"/>
        <v>7.1751344312891607</v>
      </c>
      <c r="AO26" s="64">
        <f t="shared" si="14"/>
        <v>-13.962372824917935</v>
      </c>
      <c r="AP26" s="64">
        <f t="shared" si="14"/>
        <v>42.154452835714807</v>
      </c>
      <c r="AQ26" s="64">
        <f t="shared" si="14"/>
        <v>20.889461194606497</v>
      </c>
      <c r="AR26" s="64">
        <f t="shared" si="11"/>
        <v>4.9612391042938464</v>
      </c>
    </row>
    <row r="27" spans="1:44" ht="13.5" x14ac:dyDescent="0.25">
      <c r="A27" s="1"/>
      <c r="B27" s="35"/>
      <c r="C27" s="3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Z27" s="23"/>
      <c r="AA27" s="23"/>
      <c r="AB27" s="23"/>
      <c r="AC27" s="23"/>
      <c r="AD27" s="23"/>
      <c r="AE27" s="23"/>
      <c r="AF27" s="23"/>
      <c r="AG27" s="23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</row>
    <row r="28" spans="1:44" ht="15" customHeight="1" x14ac:dyDescent="0.25">
      <c r="A28" s="1" t="s">
        <v>18</v>
      </c>
      <c r="B28" s="35">
        <v>-1044.1106474730605</v>
      </c>
      <c r="C28" s="35">
        <v>-1160.7015454788561</v>
      </c>
      <c r="D28" s="11">
        <v>-1160.7015454788561</v>
      </c>
      <c r="E28" s="11">
        <v>-1196.4270156902517</v>
      </c>
      <c r="F28" s="11">
        <v>-1214.991</v>
      </c>
      <c r="G28" s="11">
        <v>-1306.2040000000002</v>
      </c>
      <c r="H28" s="11">
        <v>-1339.2380000000001</v>
      </c>
      <c r="I28" s="11">
        <v>-1404.452</v>
      </c>
      <c r="J28" s="11">
        <v>-1454.3789999999999</v>
      </c>
      <c r="K28" s="11">
        <v>-1463.422</v>
      </c>
      <c r="L28" s="11">
        <v>-1501.2349999999999</v>
      </c>
      <c r="M28" s="11">
        <v>-1578.3</v>
      </c>
      <c r="N28" s="11">
        <v>-1668.1889999999999</v>
      </c>
      <c r="O28" s="11">
        <v>-1705.595</v>
      </c>
      <c r="P28" s="11">
        <v>-1755.1690000000001</v>
      </c>
      <c r="Q28" s="11">
        <v>-1902.8920000000001</v>
      </c>
      <c r="R28" s="11">
        <v>-2069.48</v>
      </c>
      <c r="S28" s="11">
        <v>-2076.62</v>
      </c>
      <c r="T28" s="11">
        <v>-2091.9479999999999</v>
      </c>
      <c r="U28" s="11">
        <v>-2124.94</v>
      </c>
      <c r="V28" s="11">
        <v>-2205.9360000000001</v>
      </c>
      <c r="X28" s="18">
        <f t="shared" ref="X28:AQ28" si="15">100*(C28-B28)/B28</f>
        <v>11.166527061855664</v>
      </c>
      <c r="Y28" s="18">
        <f t="shared" si="15"/>
        <v>0</v>
      </c>
      <c r="Z28" s="18">
        <f t="shared" si="15"/>
        <v>3.077920448245524</v>
      </c>
      <c r="AA28" s="18">
        <f t="shared" si="15"/>
        <v>1.5516186166222807</v>
      </c>
      <c r="AB28" s="18">
        <f t="shared" si="15"/>
        <v>7.5072984079717626</v>
      </c>
      <c r="AC28" s="18">
        <f t="shared" si="15"/>
        <v>2.5290077200804677</v>
      </c>
      <c r="AD28" s="18">
        <f t="shared" si="15"/>
        <v>4.8694854835361552</v>
      </c>
      <c r="AE28" s="18">
        <f t="shared" si="15"/>
        <v>3.5549096729542846</v>
      </c>
      <c r="AF28" s="18">
        <f t="shared" si="15"/>
        <v>0.62177740465175313</v>
      </c>
      <c r="AG28" s="18">
        <f t="shared" si="15"/>
        <v>2.5838753278275082</v>
      </c>
      <c r="AH28" s="52">
        <f t="shared" si="15"/>
        <v>5.1334401342894393</v>
      </c>
      <c r="AI28" s="52">
        <f t="shared" si="15"/>
        <v>5.6953050750807774</v>
      </c>
      <c r="AJ28" s="52">
        <f t="shared" si="15"/>
        <v>2.2423118723358191</v>
      </c>
      <c r="AK28" s="52">
        <f t="shared" si="15"/>
        <v>2.9065516725834719</v>
      </c>
      <c r="AL28" s="52">
        <f t="shared" si="15"/>
        <v>8.4164544838702113</v>
      </c>
      <c r="AM28" s="52">
        <f t="shared" si="15"/>
        <v>8.7544642575616454</v>
      </c>
      <c r="AN28" s="52">
        <f t="shared" si="15"/>
        <v>0.34501420646731895</v>
      </c>
      <c r="AO28" s="52">
        <f t="shared" si="15"/>
        <v>0.73812252602787098</v>
      </c>
      <c r="AP28" s="52">
        <f t="shared" si="15"/>
        <v>1.5770946505362557</v>
      </c>
      <c r="AQ28" s="52">
        <f t="shared" si="15"/>
        <v>3.8116840946097343</v>
      </c>
      <c r="AR28" s="52">
        <f t="shared" si="11"/>
        <v>3.923657447633544</v>
      </c>
    </row>
    <row r="29" spans="1:44" ht="15" customHeight="1" x14ac:dyDescent="0.25">
      <c r="A29" s="1" t="s">
        <v>19</v>
      </c>
      <c r="B29" s="35">
        <v>228.06282828180895</v>
      </c>
      <c r="C29" s="35">
        <v>423.78261374128999</v>
      </c>
      <c r="D29" s="11">
        <v>423.78261374128999</v>
      </c>
      <c r="E29" s="11">
        <v>677.12492830989629</v>
      </c>
      <c r="F29" s="11">
        <v>185.566</v>
      </c>
      <c r="G29" s="11">
        <v>355.36200000000002</v>
      </c>
      <c r="H29" s="11">
        <v>246.381</v>
      </c>
      <c r="I29" s="11">
        <v>163.023</v>
      </c>
      <c r="J29" s="11">
        <v>322.44400000000002</v>
      </c>
      <c r="K29" s="11">
        <v>790.11599999999999</v>
      </c>
      <c r="L29" s="11">
        <v>228.92</v>
      </c>
      <c r="M29" s="11">
        <v>273</v>
      </c>
      <c r="N29" s="11">
        <v>163.928</v>
      </c>
      <c r="O29" s="11">
        <v>1083.3710000000001</v>
      </c>
      <c r="P29" s="11">
        <v>139.81299999999999</v>
      </c>
      <c r="Q29" s="11">
        <v>271.53100000000001</v>
      </c>
      <c r="R29" s="11">
        <v>386.9</v>
      </c>
      <c r="S29" s="11">
        <v>1955.65</v>
      </c>
      <c r="T29" s="11">
        <v>346.56099999999998</v>
      </c>
      <c r="U29" s="11">
        <v>334.2</v>
      </c>
      <c r="V29" s="11">
        <v>152.50200000000001</v>
      </c>
      <c r="Z29" s="23"/>
      <c r="AA29" s="23"/>
      <c r="AB29" s="23"/>
      <c r="AC29" s="23"/>
      <c r="AD29" s="23"/>
      <c r="AE29" s="23"/>
      <c r="AF29" s="23"/>
      <c r="AG29" s="23"/>
      <c r="AH29" s="50"/>
      <c r="AI29" s="50"/>
      <c r="AJ29" s="50"/>
      <c r="AK29" s="50"/>
      <c r="AL29" s="50"/>
      <c r="AM29" s="50"/>
      <c r="AN29" s="50"/>
      <c r="AO29" s="50"/>
      <c r="AP29" s="50"/>
      <c r="AQ29" s="54"/>
    </row>
    <row r="30" spans="1:44" ht="15" customHeight="1" x14ac:dyDescent="0.25">
      <c r="A30" s="1" t="s">
        <v>20</v>
      </c>
      <c r="B30" s="35">
        <v>-554.1792176906788</v>
      </c>
      <c r="C30" s="35">
        <v>-62.429508235321819</v>
      </c>
      <c r="D30" s="11">
        <v>-62.429508235321819</v>
      </c>
      <c r="E30" s="11">
        <v>-21.262317663264223</v>
      </c>
      <c r="F30" s="11">
        <v>-19.797000000000001</v>
      </c>
      <c r="G30" s="11">
        <v>-25.837</v>
      </c>
      <c r="H30" s="11">
        <v>-20.315000000000001</v>
      </c>
      <c r="I30" s="11">
        <v>-20.146999999999998</v>
      </c>
      <c r="J30" s="11">
        <v>-38.67</v>
      </c>
      <c r="K30" s="11">
        <v>-33.762999999999998</v>
      </c>
      <c r="L30" s="11">
        <v>-9.8819999999999997</v>
      </c>
      <c r="M30" s="11">
        <v>-14.37</v>
      </c>
      <c r="N30" s="11">
        <v>-8.9280000000000008</v>
      </c>
      <c r="O30" s="11">
        <v>-24.795000000000002</v>
      </c>
      <c r="P30" s="11">
        <v>-31.042999999999999</v>
      </c>
      <c r="Q30" s="11">
        <v>-29.087</v>
      </c>
      <c r="R30" s="11">
        <v>-18.13</v>
      </c>
      <c r="S30" s="11">
        <v>-46.31</v>
      </c>
      <c r="T30" s="11">
        <v>-15.73</v>
      </c>
      <c r="U30" s="11">
        <v>-21.95</v>
      </c>
      <c r="V30" s="11">
        <v>-29.742999999999999</v>
      </c>
      <c r="Z30" s="23"/>
      <c r="AA30" s="23"/>
      <c r="AB30" s="23"/>
      <c r="AC30" s="23"/>
      <c r="AD30" s="23"/>
      <c r="AE30" s="23"/>
      <c r="AF30" s="23"/>
      <c r="AG30" s="23"/>
      <c r="AH30" s="50"/>
      <c r="AI30" s="50"/>
      <c r="AJ30" s="50"/>
      <c r="AK30" s="50"/>
      <c r="AL30" s="50"/>
      <c r="AM30" s="50"/>
      <c r="AN30" s="50"/>
      <c r="AO30" s="50"/>
      <c r="AP30" s="50"/>
      <c r="AQ30" s="54"/>
    </row>
    <row r="31" spans="1:44" ht="13.5" x14ac:dyDescent="0.25">
      <c r="A31" s="4"/>
      <c r="B31" s="35"/>
      <c r="C31" s="3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Z31" s="23"/>
      <c r="AA31" s="23"/>
      <c r="AB31" s="23"/>
      <c r="AC31" s="23"/>
      <c r="AD31" s="23"/>
      <c r="AE31" s="23"/>
      <c r="AF31" s="23"/>
      <c r="AG31" s="23"/>
      <c r="AH31" s="50"/>
      <c r="AI31" s="50"/>
      <c r="AJ31" s="50"/>
      <c r="AK31" s="50"/>
      <c r="AL31" s="50"/>
      <c r="AM31" s="50"/>
      <c r="AN31" s="50"/>
      <c r="AO31" s="50"/>
      <c r="AP31" s="50"/>
      <c r="AQ31" s="54"/>
    </row>
    <row r="32" spans="1:44" ht="13.5" x14ac:dyDescent="0.25">
      <c r="A32" s="8" t="s">
        <v>21</v>
      </c>
      <c r="B32" s="10">
        <f>B26+B28+B29+B30</f>
        <v>-389.52323768486167</v>
      </c>
      <c r="C32" s="10">
        <f>C26+C28+C29+C30</f>
        <v>475.85241845828818</v>
      </c>
      <c r="D32" s="9">
        <f t="shared" ref="D32:I32" si="16">D26+D28+D29+D30</f>
        <v>528.04466398575346</v>
      </c>
      <c r="E32" s="9">
        <f t="shared" si="16"/>
        <v>953.60788330448793</v>
      </c>
      <c r="F32" s="9">
        <f t="shared" si="16"/>
        <v>671.73199999999974</v>
      </c>
      <c r="G32" s="9">
        <f t="shared" si="16"/>
        <v>1004.8269999999995</v>
      </c>
      <c r="H32" s="9">
        <f t="shared" si="16"/>
        <v>140.07299999999938</v>
      </c>
      <c r="I32" s="9">
        <f t="shared" si="16"/>
        <v>-154.47299999999515</v>
      </c>
      <c r="J32" s="9">
        <v>-48.772000000000034</v>
      </c>
      <c r="K32" s="9">
        <v>1020.2320000000012</v>
      </c>
      <c r="L32" s="9">
        <v>742.48300000000268</v>
      </c>
      <c r="M32" s="9">
        <v>616.24999999999875</v>
      </c>
      <c r="N32" s="9">
        <v>303.91100000000097</v>
      </c>
      <c r="O32" s="9">
        <v>1833.3889999999999</v>
      </c>
      <c r="P32" s="9">
        <v>427.02900000000159</v>
      </c>
      <c r="Q32" s="9">
        <v>-307.63200000000478</v>
      </c>
      <c r="R32" s="9">
        <f>R26+R28+R29+R30</f>
        <v>372.84000000000242</v>
      </c>
      <c r="S32" s="9">
        <f>S26+S28+S29+S30</f>
        <v>2055.0499999999993</v>
      </c>
      <c r="T32" s="9">
        <f>T26+T28+T29+T30</f>
        <v>150.92300000000054</v>
      </c>
      <c r="U32" s="9">
        <f>U26+U28+U29+U30</f>
        <v>905.36000000000195</v>
      </c>
      <c r="V32" s="9">
        <f>V26+V28+V29+V30</f>
        <v>1202.6590000000042</v>
      </c>
      <c r="Z32" s="23"/>
      <c r="AA32" s="23"/>
      <c r="AB32" s="23"/>
      <c r="AC32" s="23"/>
      <c r="AD32" s="23"/>
      <c r="AE32" s="23"/>
      <c r="AF32" s="23"/>
      <c r="AG32" s="23"/>
      <c r="AH32" s="50"/>
      <c r="AI32" s="50"/>
      <c r="AJ32" s="50"/>
      <c r="AK32" s="50"/>
      <c r="AL32" s="50"/>
      <c r="AM32" s="50"/>
      <c r="AN32" s="50"/>
      <c r="AO32" s="50"/>
      <c r="AP32" s="50"/>
      <c r="AQ32" s="54"/>
    </row>
    <row r="33" spans="1:44" ht="13.5" x14ac:dyDescent="0.25">
      <c r="A33" s="8"/>
      <c r="B33" s="10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Z33" s="23"/>
      <c r="AA33" s="23"/>
      <c r="AB33" s="23"/>
      <c r="AC33" s="23"/>
      <c r="AD33" s="23"/>
      <c r="AE33" s="23"/>
      <c r="AF33" s="23"/>
      <c r="AG33" s="23"/>
      <c r="AH33" s="50"/>
      <c r="AI33" s="50"/>
      <c r="AJ33" s="50"/>
      <c r="AK33" s="50"/>
      <c r="AL33" s="50"/>
      <c r="AM33" s="50"/>
      <c r="AN33" s="50"/>
      <c r="AO33" s="50"/>
      <c r="AP33" s="50"/>
      <c r="AQ33" s="54"/>
    </row>
    <row r="34" spans="1:44" s="1" customFormat="1" ht="13.5" x14ac:dyDescent="0.25">
      <c r="A34" s="1" t="s">
        <v>22</v>
      </c>
      <c r="B34" s="35">
        <f>B36-B32</f>
        <v>314.14323768486167</v>
      </c>
      <c r="C34" s="35">
        <f t="shared" ref="C34:S34" si="17">C36-C32</f>
        <v>-329.22941845828819</v>
      </c>
      <c r="D34" s="35">
        <f t="shared" si="17"/>
        <v>-243.53866398575349</v>
      </c>
      <c r="E34" s="35">
        <f t="shared" si="17"/>
        <v>-546.61788330448792</v>
      </c>
      <c r="F34" s="35">
        <f t="shared" si="17"/>
        <v>-159.75599999999974</v>
      </c>
      <c r="G34" s="35">
        <f t="shared" si="17"/>
        <v>-192.7229999999995</v>
      </c>
      <c r="H34" s="35">
        <f t="shared" si="17"/>
        <v>-63.501999999999384</v>
      </c>
      <c r="I34" s="35">
        <f t="shared" si="17"/>
        <v>52.308999999995152</v>
      </c>
      <c r="J34" s="35">
        <f t="shared" si="17"/>
        <v>29.504000000000033</v>
      </c>
      <c r="K34" s="35">
        <f t="shared" si="17"/>
        <v>-494.16200000000117</v>
      </c>
      <c r="L34" s="35">
        <f t="shared" si="17"/>
        <v>-184.8810000000027</v>
      </c>
      <c r="M34" s="35">
        <f t="shared" si="17"/>
        <v>126.20500000000129</v>
      </c>
      <c r="N34" s="35">
        <f t="shared" si="17"/>
        <v>-3.70700000000096</v>
      </c>
      <c r="O34" s="35">
        <f t="shared" si="17"/>
        <v>9.86200000000008</v>
      </c>
      <c r="P34" s="35">
        <f t="shared" si="17"/>
        <v>46.040999999998405</v>
      </c>
      <c r="Q34" s="35">
        <f t="shared" si="17"/>
        <v>24.813000000004763</v>
      </c>
      <c r="R34" s="35">
        <f t="shared" si="17"/>
        <v>24.014999999996746</v>
      </c>
      <c r="S34" s="35">
        <f t="shared" si="17"/>
        <v>415.77000000000089</v>
      </c>
      <c r="T34" s="35">
        <v>19.390999999999998</v>
      </c>
      <c r="U34" s="35">
        <v>-29</v>
      </c>
      <c r="V34" s="35">
        <v>-19.632000000000001</v>
      </c>
      <c r="Z34" s="23"/>
      <c r="AA34" s="23"/>
      <c r="AB34" s="23"/>
      <c r="AC34" s="23"/>
      <c r="AD34" s="23"/>
      <c r="AE34" s="23"/>
      <c r="AF34" s="23"/>
      <c r="AG34" s="23"/>
      <c r="AH34" s="50"/>
      <c r="AI34" s="50"/>
      <c r="AJ34" s="50"/>
      <c r="AK34" s="50"/>
      <c r="AL34" s="50"/>
      <c r="AM34" s="50"/>
      <c r="AN34" s="50"/>
      <c r="AO34" s="50"/>
      <c r="AP34" s="50"/>
      <c r="AQ34" s="54"/>
    </row>
    <row r="35" spans="1:44" ht="13.5" x14ac:dyDescent="0.25">
      <c r="A35" s="8"/>
      <c r="B35" s="10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Z35" s="23"/>
      <c r="AA35" s="23"/>
      <c r="AB35" s="23"/>
      <c r="AC35" s="23"/>
      <c r="AD35" s="23"/>
      <c r="AE35" s="23"/>
      <c r="AF35" s="23"/>
      <c r="AG35" s="23"/>
      <c r="AH35" s="50"/>
      <c r="AI35" s="50"/>
      <c r="AJ35" s="50"/>
      <c r="AK35" s="50"/>
      <c r="AL35" s="50"/>
      <c r="AM35" s="50"/>
      <c r="AN35" s="50"/>
      <c r="AO35" s="50"/>
      <c r="AP35" s="50"/>
      <c r="AQ35" s="54"/>
    </row>
    <row r="36" spans="1:44" s="1" customFormat="1" x14ac:dyDescent="0.2">
      <c r="A36" s="8" t="s">
        <v>23</v>
      </c>
      <c r="B36" s="10">
        <v>-75.38</v>
      </c>
      <c r="C36" s="10">
        <v>146.62299999999999</v>
      </c>
      <c r="D36" s="10">
        <v>284.50599999999997</v>
      </c>
      <c r="E36" s="10">
        <v>406.99</v>
      </c>
      <c r="F36" s="10">
        <v>511.976</v>
      </c>
      <c r="G36" s="10">
        <v>812.10400000000004</v>
      </c>
      <c r="H36" s="10">
        <v>76.570999999999998</v>
      </c>
      <c r="I36" s="10">
        <v>-102.164</v>
      </c>
      <c r="J36" s="10">
        <v>-19.268000000000001</v>
      </c>
      <c r="K36" s="10">
        <v>526.07000000000005</v>
      </c>
      <c r="L36" s="10">
        <v>557.60199999999998</v>
      </c>
      <c r="M36" s="10">
        <v>742.45500000000004</v>
      </c>
      <c r="N36" s="10">
        <v>300.20400000000001</v>
      </c>
      <c r="O36" s="10">
        <v>1843.251</v>
      </c>
      <c r="P36" s="10">
        <v>473.07</v>
      </c>
      <c r="Q36" s="10">
        <v>-282.81900000000002</v>
      </c>
      <c r="R36" s="10">
        <v>396.85499999999917</v>
      </c>
      <c r="S36" s="10">
        <v>2470.8200000000002</v>
      </c>
      <c r="T36" s="10">
        <f>T32+T34</f>
        <v>170.31400000000053</v>
      </c>
      <c r="U36" s="10">
        <f>U32+U34</f>
        <v>876.36000000000195</v>
      </c>
      <c r="V36" s="10">
        <f>V32+V34</f>
        <v>1183.0270000000041</v>
      </c>
      <c r="Z36" s="17"/>
      <c r="AA36" s="17"/>
      <c r="AB36" s="17"/>
      <c r="AC36" s="17"/>
      <c r="AD36" s="17"/>
      <c r="AE36" s="17"/>
      <c r="AF36" s="17"/>
      <c r="AG36" s="17"/>
      <c r="AH36" s="65"/>
      <c r="AI36" s="65"/>
      <c r="AJ36" s="65"/>
      <c r="AK36" s="65"/>
      <c r="AL36" s="65"/>
      <c r="AM36" s="65"/>
      <c r="AN36" s="65"/>
      <c r="AO36" s="65"/>
      <c r="AP36" s="65"/>
      <c r="AQ36" s="66"/>
    </row>
    <row r="37" spans="1:44" ht="13.5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Z37" s="23"/>
      <c r="AA37" s="23"/>
      <c r="AB37" s="23"/>
      <c r="AC37" s="23"/>
      <c r="AD37" s="23"/>
      <c r="AE37" s="23"/>
      <c r="AF37" s="23"/>
      <c r="AG37" s="23"/>
      <c r="AH37" s="50"/>
      <c r="AI37" s="50"/>
      <c r="AJ37" s="50"/>
      <c r="AK37" s="50"/>
      <c r="AL37" s="50"/>
      <c r="AM37" s="50"/>
      <c r="AN37" s="50"/>
      <c r="AO37" s="50"/>
      <c r="AP37" s="50"/>
      <c r="AQ37" s="54"/>
    </row>
    <row r="38" spans="1:44" ht="13.5" x14ac:dyDescent="0.25">
      <c r="A38" s="7">
        <v>43371</v>
      </c>
      <c r="B38" s="7"/>
      <c r="C38" s="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Z38" s="23"/>
      <c r="AA38" s="23"/>
      <c r="AB38" s="23"/>
      <c r="AC38" s="23"/>
      <c r="AD38" s="23"/>
      <c r="AE38" s="23"/>
      <c r="AF38" s="23"/>
      <c r="AG38" s="23"/>
      <c r="AH38" s="50"/>
      <c r="AI38" s="50"/>
      <c r="AJ38" s="50"/>
      <c r="AK38" s="50"/>
      <c r="AL38" s="50"/>
      <c r="AM38" s="50"/>
      <c r="AN38" s="50"/>
      <c r="AO38" s="50"/>
      <c r="AP38" s="50"/>
      <c r="AQ38" s="54"/>
    </row>
    <row r="39" spans="1:44" ht="18" x14ac:dyDescent="0.25">
      <c r="A39" s="5" t="s">
        <v>24</v>
      </c>
      <c r="B39" s="5"/>
      <c r="C39" s="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Z39" s="23"/>
      <c r="AA39" s="23"/>
      <c r="AB39" s="23"/>
      <c r="AC39" s="23"/>
      <c r="AD39" s="23"/>
      <c r="AE39" s="23"/>
      <c r="AF39" s="23"/>
      <c r="AG39" s="23"/>
      <c r="AH39" s="50"/>
      <c r="AI39" s="50"/>
      <c r="AJ39" s="50"/>
      <c r="AK39" s="50"/>
      <c r="AL39" s="50"/>
      <c r="AM39" s="50"/>
      <c r="AN39" s="50"/>
      <c r="AO39" s="50"/>
      <c r="AP39" s="50"/>
      <c r="AQ39" s="54"/>
    </row>
    <row r="40" spans="1:44" ht="15" x14ac:dyDescent="0.25">
      <c r="A40" s="6" t="s">
        <v>3</v>
      </c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"/>
      <c r="Z40" s="23"/>
      <c r="AA40" s="23"/>
      <c r="AB40" s="23"/>
      <c r="AC40" s="23"/>
      <c r="AD40" s="23"/>
      <c r="AE40" s="23"/>
      <c r="AF40" s="23"/>
      <c r="AG40" s="23"/>
      <c r="AH40" s="50"/>
      <c r="AI40" s="50"/>
      <c r="AJ40" s="50"/>
      <c r="AK40" s="50"/>
      <c r="AL40" s="50"/>
      <c r="AM40" s="50"/>
      <c r="AN40" s="50"/>
      <c r="AO40" s="50"/>
      <c r="AP40" s="50"/>
      <c r="AQ40" s="54"/>
    </row>
    <row r="41" spans="1:44" ht="8.2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Z41" s="23"/>
      <c r="AA41" s="23"/>
      <c r="AB41" s="23"/>
      <c r="AH41" s="55"/>
      <c r="AI41" s="55"/>
      <c r="AJ41" s="55"/>
      <c r="AK41" s="55"/>
      <c r="AL41" s="55"/>
      <c r="AM41" s="55"/>
      <c r="AN41" s="55"/>
      <c r="AO41" s="55"/>
      <c r="AP41" s="55"/>
      <c r="AQ41" s="54"/>
    </row>
    <row r="42" spans="1:44" ht="13.5" customHeight="1" x14ac:dyDescent="0.25">
      <c r="A42" s="8" t="s">
        <v>25</v>
      </c>
      <c r="B42" s="12">
        <v>1997</v>
      </c>
      <c r="C42" s="12">
        <v>1998</v>
      </c>
      <c r="D42" s="12">
        <v>1999</v>
      </c>
      <c r="E42" s="12">
        <v>2000</v>
      </c>
      <c r="F42" s="12">
        <v>2001</v>
      </c>
      <c r="G42" s="12">
        <v>2002</v>
      </c>
      <c r="H42" s="12">
        <v>2003</v>
      </c>
      <c r="I42" s="12">
        <v>2004</v>
      </c>
      <c r="J42" s="12">
        <v>2005</v>
      </c>
      <c r="K42" s="12">
        <v>2006</v>
      </c>
      <c r="L42" s="12">
        <v>2007</v>
      </c>
      <c r="M42" s="12">
        <v>2008</v>
      </c>
      <c r="N42" s="12">
        <v>2009</v>
      </c>
      <c r="O42" s="12">
        <v>2010</v>
      </c>
      <c r="P42" s="12">
        <v>2011</v>
      </c>
      <c r="Q42" s="12">
        <v>2012</v>
      </c>
      <c r="R42" s="12">
        <v>2013</v>
      </c>
      <c r="S42" s="12">
        <v>2014</v>
      </c>
      <c r="T42" s="12">
        <v>2015</v>
      </c>
      <c r="U42" s="12">
        <v>2016</v>
      </c>
      <c r="V42" s="12">
        <v>2017</v>
      </c>
      <c r="X42" s="19" t="s">
        <v>0</v>
      </c>
      <c r="Y42" s="41"/>
      <c r="Z42" s="41"/>
      <c r="AA42" s="21"/>
      <c r="AB42" s="21"/>
      <c r="AC42" s="21"/>
      <c r="AD42" s="21"/>
      <c r="AE42" s="21"/>
      <c r="AF42" s="21"/>
      <c r="AG42" s="19" t="s">
        <v>0</v>
      </c>
      <c r="AH42" s="56" t="s">
        <v>48</v>
      </c>
      <c r="AI42" s="57"/>
      <c r="AJ42" s="57"/>
      <c r="AK42" s="57"/>
      <c r="AL42" s="57"/>
      <c r="AM42" s="57"/>
      <c r="AN42" s="57"/>
      <c r="AO42" s="57"/>
      <c r="AP42" s="57"/>
      <c r="AQ42" s="58"/>
    </row>
    <row r="43" spans="1:44" ht="13.5" customHeight="1" x14ac:dyDescent="0.2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X43" s="22">
        <v>1998</v>
      </c>
      <c r="Y43" s="22">
        <v>1999</v>
      </c>
      <c r="Z43" s="22">
        <v>2000</v>
      </c>
      <c r="AA43" s="22">
        <v>2001</v>
      </c>
      <c r="AB43" s="22">
        <v>2002</v>
      </c>
      <c r="AC43" s="22">
        <v>2003</v>
      </c>
      <c r="AD43" s="22">
        <v>2004</v>
      </c>
      <c r="AE43" s="22">
        <v>2005</v>
      </c>
      <c r="AF43" s="22">
        <v>2006</v>
      </c>
      <c r="AG43" s="22">
        <v>2007</v>
      </c>
      <c r="AH43" s="62">
        <v>2008</v>
      </c>
      <c r="AI43" s="62">
        <v>2009</v>
      </c>
      <c r="AJ43" s="62">
        <v>2010</v>
      </c>
      <c r="AK43" s="62">
        <v>2011</v>
      </c>
      <c r="AL43" s="62">
        <v>2012</v>
      </c>
      <c r="AM43" s="62">
        <v>2013</v>
      </c>
      <c r="AN43" s="62">
        <v>2014</v>
      </c>
      <c r="AO43" s="62">
        <v>2015</v>
      </c>
      <c r="AP43" s="62">
        <v>2016</v>
      </c>
      <c r="AQ43" s="62">
        <v>2017</v>
      </c>
      <c r="AR43" s="51" t="s">
        <v>1</v>
      </c>
    </row>
    <row r="44" spans="1:44" ht="13.5" customHeight="1" x14ac:dyDescent="0.2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Z44" s="23"/>
      <c r="AA44" s="23"/>
      <c r="AB44" s="23"/>
      <c r="AC44" s="23"/>
      <c r="AD44" s="23"/>
      <c r="AE44" s="23"/>
      <c r="AF44" s="23"/>
      <c r="AG44" s="23"/>
      <c r="AH44" s="50"/>
      <c r="AI44" s="50"/>
      <c r="AJ44" s="50"/>
      <c r="AK44" s="50"/>
      <c r="AL44" s="50"/>
      <c r="AM44" s="50"/>
      <c r="AN44" s="50"/>
      <c r="AO44" s="50"/>
      <c r="AP44" s="50"/>
      <c r="AR44" s="51" t="s">
        <v>49</v>
      </c>
    </row>
    <row r="45" spans="1:44" ht="14.25" customHeight="1" x14ac:dyDescent="0.25">
      <c r="A45" s="8" t="s">
        <v>26</v>
      </c>
      <c r="B45" s="8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Z45" s="23"/>
      <c r="AA45" s="23"/>
      <c r="AB45" s="23"/>
      <c r="AC45" s="23"/>
      <c r="AD45" s="23"/>
      <c r="AE45" s="23"/>
      <c r="AF45" s="23"/>
      <c r="AG45" s="23"/>
      <c r="AH45" s="50"/>
      <c r="AI45" s="50"/>
      <c r="AJ45" s="50"/>
      <c r="AK45" s="50"/>
      <c r="AL45" s="50"/>
      <c r="AM45" s="50"/>
      <c r="AN45" s="50"/>
      <c r="AO45" s="50"/>
      <c r="AP45" s="50"/>
      <c r="AR45" s="54"/>
    </row>
    <row r="46" spans="1:44" ht="15" customHeight="1" x14ac:dyDescent="0.25">
      <c r="A46" s="1" t="s">
        <v>27</v>
      </c>
      <c r="B46" s="35">
        <f>B26</f>
        <v>980.70379919706863</v>
      </c>
      <c r="C46" s="35">
        <v>1275.2008584311766</v>
      </c>
      <c r="D46" s="11">
        <v>1327.3932721465658</v>
      </c>
      <c r="E46" s="11">
        <v>1494.1769976100495</v>
      </c>
      <c r="F46" s="11">
        <v>1720.9539999999995</v>
      </c>
      <c r="G46" s="11">
        <v>1981.5059999999996</v>
      </c>
      <c r="H46" s="11">
        <v>1253.2449999999999</v>
      </c>
      <c r="I46" s="11">
        <v>1107.1030000000012</v>
      </c>
      <c r="J46" s="11">
        <v>1121.8330000000001</v>
      </c>
      <c r="K46" s="11">
        <v>1727.3009999999999</v>
      </c>
      <c r="L46" s="11">
        <v>2024.68</v>
      </c>
      <c r="M46" s="11">
        <v>1936</v>
      </c>
      <c r="N46" s="11">
        <v>1817</v>
      </c>
      <c r="O46" s="11">
        <v>2480.4079999999999</v>
      </c>
      <c r="P46" s="11">
        <v>2073.4279999999999</v>
      </c>
      <c r="Q46" s="11">
        <v>1352.856</v>
      </c>
      <c r="R46" s="11">
        <v>2073.54</v>
      </c>
      <c r="S46" s="11">
        <f>S26</f>
        <v>2222.329999999999</v>
      </c>
      <c r="T46" s="11">
        <f>T26</f>
        <v>1912.0400000000004</v>
      </c>
      <c r="U46" s="11">
        <f>U26</f>
        <v>2718.050000000002</v>
      </c>
      <c r="V46" s="11">
        <v>3285.8360000000043</v>
      </c>
      <c r="Z46" s="23"/>
      <c r="AA46" s="23"/>
      <c r="AB46" s="23"/>
      <c r="AC46" s="23"/>
      <c r="AD46" s="23"/>
      <c r="AE46" s="23"/>
      <c r="AF46" s="23"/>
      <c r="AG46" s="23"/>
      <c r="AH46" s="50"/>
      <c r="AI46" s="50"/>
      <c r="AJ46" s="50"/>
      <c r="AK46" s="50"/>
      <c r="AL46" s="50"/>
      <c r="AM46" s="50"/>
      <c r="AN46" s="50"/>
      <c r="AO46" s="50"/>
      <c r="AP46" s="50"/>
      <c r="AR46" s="54"/>
    </row>
    <row r="47" spans="1:44" ht="15" customHeight="1" x14ac:dyDescent="0.25">
      <c r="A47" s="1" t="s">
        <v>28</v>
      </c>
      <c r="B47" s="35">
        <f>B29+B30</f>
        <v>-326.11638940886985</v>
      </c>
      <c r="C47" s="35">
        <v>353.19464556917313</v>
      </c>
      <c r="D47" s="11">
        <v>365.15112526132202</v>
      </c>
      <c r="E47" s="11">
        <v>656.70725041332173</v>
      </c>
      <c r="F47" s="11">
        <v>167.471</v>
      </c>
      <c r="G47" s="11">
        <v>329.52499999999998</v>
      </c>
      <c r="H47" s="11">
        <v>226.066</v>
      </c>
      <c r="I47" s="11">
        <v>142.876</v>
      </c>
      <c r="J47" s="11">
        <v>283.774</v>
      </c>
      <c r="K47" s="11">
        <v>756.35299999999995</v>
      </c>
      <c r="L47" s="11">
        <v>219.03799999999998</v>
      </c>
      <c r="M47" s="11">
        <v>259</v>
      </c>
      <c r="N47" s="11">
        <v>155</v>
      </c>
      <c r="O47" s="11">
        <v>1058.576</v>
      </c>
      <c r="P47" s="11">
        <v>108.77</v>
      </c>
      <c r="Q47" s="11">
        <v>242.44399999999999</v>
      </c>
      <c r="R47" s="11">
        <v>368.76</v>
      </c>
      <c r="S47" s="11">
        <f>S29+S30</f>
        <v>1909.3400000000001</v>
      </c>
      <c r="T47" s="11">
        <f>T29+T30</f>
        <v>330.83099999999996</v>
      </c>
      <c r="U47" s="11">
        <f>U29+U30</f>
        <v>312.25</v>
      </c>
      <c r="V47" s="11">
        <v>122.75900000000001</v>
      </c>
      <c r="Z47" s="23"/>
      <c r="AA47" s="23"/>
      <c r="AB47" s="23"/>
      <c r="AC47" s="23"/>
      <c r="AD47" s="23"/>
      <c r="AE47" s="23"/>
      <c r="AF47" s="23"/>
      <c r="AG47" s="23"/>
      <c r="AH47" s="50"/>
      <c r="AI47" s="50"/>
      <c r="AJ47" s="50"/>
      <c r="AK47" s="50"/>
      <c r="AL47" s="50"/>
      <c r="AM47" s="50"/>
      <c r="AN47" s="50"/>
      <c r="AO47" s="50"/>
      <c r="AP47" s="50"/>
      <c r="AR47" s="54"/>
    </row>
    <row r="48" spans="1:44" ht="15" customHeight="1" x14ac:dyDescent="0.25">
      <c r="A48" s="1" t="s">
        <v>29</v>
      </c>
      <c r="B48" s="35">
        <v>49</v>
      </c>
      <c r="C48" s="35">
        <v>-311.82041565964147</v>
      </c>
      <c r="D48" s="11">
        <v>-506.55142429945528</v>
      </c>
      <c r="E48" s="11">
        <v>-734.55891875345822</v>
      </c>
      <c r="F48" s="11">
        <v>-274.721</v>
      </c>
      <c r="G48" s="11">
        <v>-470.05799999999999</v>
      </c>
      <c r="H48" s="11">
        <v>-446.66800000000001</v>
      </c>
      <c r="I48" s="11">
        <v>-383.39299999999997</v>
      </c>
      <c r="J48" s="11">
        <v>-604.60900000000004</v>
      </c>
      <c r="K48" s="11">
        <v>-1004.189</v>
      </c>
      <c r="L48" s="11">
        <v>-511.44</v>
      </c>
      <c r="M48" s="11">
        <v>-536</v>
      </c>
      <c r="N48" s="11">
        <v>-382.5</v>
      </c>
      <c r="O48" s="11">
        <v>-1370.386</v>
      </c>
      <c r="P48" s="11">
        <v>-453.65300000000002</v>
      </c>
      <c r="Q48" s="11">
        <v>-546.46600000000001</v>
      </c>
      <c r="R48" s="11">
        <v>-642.91</v>
      </c>
      <c r="S48" s="11">
        <v>-2623.7</v>
      </c>
      <c r="T48" s="11">
        <v>-614.322</v>
      </c>
      <c r="U48" s="11">
        <v>-641.26</v>
      </c>
      <c r="V48" s="11">
        <v>-545.12199999999996</v>
      </c>
      <c r="Z48" s="23"/>
      <c r="AA48" s="23"/>
      <c r="AB48" s="23"/>
      <c r="AC48" s="23"/>
      <c r="AD48" s="23"/>
      <c r="AE48" s="23"/>
      <c r="AF48" s="23"/>
      <c r="AG48" s="23"/>
      <c r="AH48" s="50"/>
      <c r="AI48" s="50"/>
      <c r="AJ48" s="50"/>
      <c r="AK48" s="50"/>
      <c r="AL48" s="50"/>
      <c r="AM48" s="50"/>
      <c r="AN48" s="50"/>
      <c r="AO48" s="50"/>
      <c r="AP48" s="50"/>
      <c r="AR48" s="54"/>
    </row>
    <row r="49" spans="1:44" ht="14.25" customHeight="1" x14ac:dyDescent="0.25">
      <c r="A49" s="8" t="s">
        <v>30</v>
      </c>
      <c r="B49" s="35"/>
      <c r="C49" s="35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Z49" s="23"/>
      <c r="AA49" s="23"/>
      <c r="AB49" s="23"/>
      <c r="AC49" s="23"/>
      <c r="AD49" s="23"/>
      <c r="AE49" s="23"/>
      <c r="AF49" s="23"/>
      <c r="AG49" s="23"/>
      <c r="AH49" s="50"/>
      <c r="AI49" s="50"/>
      <c r="AJ49" s="50"/>
      <c r="AK49" s="50"/>
      <c r="AL49" s="50"/>
      <c r="AM49" s="50"/>
      <c r="AN49" s="50"/>
      <c r="AO49" s="50"/>
      <c r="AP49" s="50"/>
      <c r="AR49" s="54"/>
    </row>
    <row r="50" spans="1:44" ht="15" customHeight="1" x14ac:dyDescent="0.25">
      <c r="A50" s="1" t="s">
        <v>31</v>
      </c>
      <c r="B50" s="35">
        <v>-2096.9670671221197</v>
      </c>
      <c r="C50" s="35">
        <v>-2296.606135831933</v>
      </c>
      <c r="D50" s="11">
        <v>-2130.4495831462241</v>
      </c>
      <c r="E50" s="11">
        <v>-2577.9533715792677</v>
      </c>
      <c r="F50" s="11">
        <v>-2682.1859999999997</v>
      </c>
      <c r="G50" s="11">
        <v>-2614.8969999999999</v>
      </c>
      <c r="H50" s="11">
        <v>-2729.462</v>
      </c>
      <c r="I50" s="11">
        <v>-2833.1669999999999</v>
      </c>
      <c r="J50" s="11">
        <v>-2717.8409999999999</v>
      </c>
      <c r="K50" s="11">
        <v>-2947.4560000000001</v>
      </c>
      <c r="L50" s="11">
        <v>-3219.9450000000002</v>
      </c>
      <c r="M50" s="11">
        <v>-3536</v>
      </c>
      <c r="N50" s="11">
        <v>-3330</v>
      </c>
      <c r="O50" s="11">
        <v>-3717.8270000000002</v>
      </c>
      <c r="P50" s="11">
        <v>-3588.7060000000001</v>
      </c>
      <c r="Q50" s="11">
        <v>-3776.73</v>
      </c>
      <c r="R50" s="11">
        <v>-3834.4</v>
      </c>
      <c r="S50" s="11">
        <v>-6812.92</v>
      </c>
      <c r="T50" s="11">
        <v>-3627.4520000000002</v>
      </c>
      <c r="U50" s="11">
        <v>-3477</v>
      </c>
      <c r="V50" s="11">
        <v>-3501.9589999999998</v>
      </c>
      <c r="X50" s="18">
        <f t="shared" ref="X50:AQ50" si="18">100*(C50-B50)/B50</f>
        <v>9.5203721527109249</v>
      </c>
      <c r="Y50" s="18">
        <f t="shared" si="18"/>
        <v>-7.2348736726473817</v>
      </c>
      <c r="Z50" s="18">
        <f t="shared" si="18"/>
        <v>21.005133938545264</v>
      </c>
      <c r="AA50" s="18">
        <f t="shared" si="18"/>
        <v>4.0432317190003539</v>
      </c>
      <c r="AB50" s="18">
        <f t="shared" si="18"/>
        <v>-2.5087372762366131</v>
      </c>
      <c r="AC50" s="18">
        <f t="shared" si="18"/>
        <v>4.3812433147462428</v>
      </c>
      <c r="AD50" s="18">
        <f t="shared" si="18"/>
        <v>3.799466708091189</v>
      </c>
      <c r="AE50" s="18">
        <f t="shared" si="18"/>
        <v>-4.0705683780730197</v>
      </c>
      <c r="AF50" s="18">
        <f t="shared" si="18"/>
        <v>8.4484338855731522</v>
      </c>
      <c r="AG50" s="18">
        <f t="shared" si="18"/>
        <v>9.2448877947626702</v>
      </c>
      <c r="AH50" s="52">
        <f t="shared" si="18"/>
        <v>9.8155403275521742</v>
      </c>
      <c r="AI50" s="52">
        <f t="shared" si="18"/>
        <v>-5.8257918552036196</v>
      </c>
      <c r="AJ50" s="52">
        <f t="shared" si="18"/>
        <v>11.646456456456464</v>
      </c>
      <c r="AK50" s="52">
        <f t="shared" si="18"/>
        <v>-3.4730233547714859</v>
      </c>
      <c r="AL50" s="52">
        <f t="shared" si="18"/>
        <v>5.2393258182754412</v>
      </c>
      <c r="AM50" s="52">
        <f t="shared" si="18"/>
        <v>1.5269823365715864</v>
      </c>
      <c r="AN50" s="52">
        <f t="shared" si="18"/>
        <v>77.678906738994371</v>
      </c>
      <c r="AO50" s="52">
        <f t="shared" si="18"/>
        <v>-46.756280713702786</v>
      </c>
      <c r="AP50" s="52">
        <f t="shared" si="18"/>
        <v>-4.1475945098653328</v>
      </c>
      <c r="AQ50" s="52">
        <f t="shared" si="18"/>
        <v>0.71783146390566099</v>
      </c>
      <c r="AR50" s="53">
        <f>100*(EXP(LN(V50/L50)/10)-1)</f>
        <v>0.84311685342348675</v>
      </c>
    </row>
    <row r="51" spans="1:44" ht="15" customHeight="1" x14ac:dyDescent="0.25">
      <c r="A51" s="1" t="s">
        <v>32</v>
      </c>
      <c r="B51" s="35">
        <v>242.02242617811436</v>
      </c>
      <c r="C51" s="35">
        <v>285.58309913164572</v>
      </c>
      <c r="D51" s="11">
        <v>260.91531233338884</v>
      </c>
      <c r="E51" s="11">
        <v>201.00525923646046</v>
      </c>
      <c r="F51" s="11">
        <v>171.935</v>
      </c>
      <c r="G51" s="11">
        <v>155.68600000000001</v>
      </c>
      <c r="H51" s="11">
        <v>172.62</v>
      </c>
      <c r="I51" s="11">
        <v>186.536</v>
      </c>
      <c r="J51" s="11">
        <v>189.393</v>
      </c>
      <c r="K51" s="11">
        <v>173.28899999999999</v>
      </c>
      <c r="L51" s="11">
        <v>207.54599999999999</v>
      </c>
      <c r="M51" s="11">
        <v>198.49</v>
      </c>
      <c r="N51" s="11">
        <v>223.6</v>
      </c>
      <c r="O51" s="11">
        <v>237.12200000000001</v>
      </c>
      <c r="P51" s="11">
        <v>227.46700000000001</v>
      </c>
      <c r="Q51" s="11">
        <v>194.03</v>
      </c>
      <c r="R51" s="11">
        <v>208.32</v>
      </c>
      <c r="S51" s="11">
        <v>221.43</v>
      </c>
      <c r="T51" s="11">
        <v>197.07400000000001</v>
      </c>
      <c r="U51" s="11">
        <v>137.4</v>
      </c>
      <c r="V51" s="11">
        <v>139.59100000000001</v>
      </c>
      <c r="Z51" s="18"/>
      <c r="AA51" s="18"/>
      <c r="AB51" s="18"/>
      <c r="AC51" s="18"/>
      <c r="AD51" s="18"/>
      <c r="AE51" s="18"/>
      <c r="AF51" s="18"/>
      <c r="AG51" s="18"/>
      <c r="AH51" s="52"/>
      <c r="AI51" s="52"/>
      <c r="AJ51" s="52"/>
      <c r="AK51" s="52"/>
      <c r="AL51" s="52"/>
      <c r="AM51" s="52"/>
      <c r="AN51" s="52"/>
      <c r="AO51" s="52"/>
      <c r="AP51" s="52"/>
      <c r="AR51" s="53"/>
    </row>
    <row r="52" spans="1:44" ht="15" customHeight="1" x14ac:dyDescent="0.25">
      <c r="A52" s="1" t="s">
        <v>33</v>
      </c>
      <c r="B52" s="37">
        <v>177.10188656397111</v>
      </c>
      <c r="C52" s="37">
        <v>452.08914632854163</v>
      </c>
      <c r="D52" s="28">
        <v>674.4345942382181</v>
      </c>
      <c r="E52" s="28">
        <v>922.20652468241906</v>
      </c>
      <c r="F52" s="28">
        <v>444.80799999999999</v>
      </c>
      <c r="G52" s="28">
        <v>692.00599999999997</v>
      </c>
      <c r="H52" s="28">
        <v>648.43299999999999</v>
      </c>
      <c r="I52" s="28">
        <v>608.62300000000005</v>
      </c>
      <c r="J52" s="28">
        <v>890.14400000000001</v>
      </c>
      <c r="K52" s="28">
        <v>1551.4749999999999</v>
      </c>
      <c r="L52" s="28">
        <v>823.98</v>
      </c>
      <c r="M52" s="28">
        <v>871.4</v>
      </c>
      <c r="N52" s="28">
        <v>630.46400000000006</v>
      </c>
      <c r="O52" s="28">
        <v>2383.7829999999999</v>
      </c>
      <c r="P52" s="28">
        <v>705.60900000000004</v>
      </c>
      <c r="Q52" s="28">
        <v>842.37699999999995</v>
      </c>
      <c r="R52" s="28">
        <v>939.77</v>
      </c>
      <c r="S52" s="28">
        <v>5028.47</v>
      </c>
      <c r="T52" s="28">
        <v>918.54499999999996</v>
      </c>
      <c r="U52" s="28">
        <v>898</v>
      </c>
      <c r="V52" s="67">
        <v>975.10599999999999</v>
      </c>
      <c r="Z52" s="18"/>
      <c r="AA52" s="18"/>
      <c r="AB52" s="18"/>
      <c r="AC52" s="18"/>
      <c r="AD52" s="18"/>
      <c r="AE52" s="18"/>
      <c r="AF52" s="18"/>
      <c r="AG52" s="18"/>
      <c r="AH52" s="52"/>
      <c r="AI52" s="52"/>
      <c r="AJ52" s="52"/>
      <c r="AK52" s="52"/>
      <c r="AL52" s="52"/>
      <c r="AM52" s="52"/>
      <c r="AN52" s="52"/>
      <c r="AO52" s="52"/>
      <c r="AP52" s="52"/>
      <c r="AR52" s="53"/>
    </row>
    <row r="53" spans="1:44" s="38" customFormat="1" ht="17.25" customHeight="1" x14ac:dyDescent="0.25">
      <c r="A53" s="38" t="s">
        <v>34</v>
      </c>
      <c r="B53" s="39">
        <f>B46+B47+B48+B50+B51+B52</f>
        <v>-974.25534459183552</v>
      </c>
      <c r="C53" s="39">
        <f>C46+C47+C48+C50+C51+C52</f>
        <v>-242.35880203103733</v>
      </c>
      <c r="D53" s="39">
        <f t="shared" ref="D53:I53" si="19">D46+D47+D48+D50+D51+D52</f>
        <v>-9.1067034661846264</v>
      </c>
      <c r="E53" s="39">
        <f t="shared" si="19"/>
        <v>-38.416258390475377</v>
      </c>
      <c r="F53" s="39">
        <f t="shared" si="19"/>
        <v>-451.73900000000026</v>
      </c>
      <c r="G53" s="39">
        <f t="shared" si="19"/>
        <v>73.767999999999574</v>
      </c>
      <c r="H53" s="39">
        <f t="shared" si="19"/>
        <v>-875.76600000000008</v>
      </c>
      <c r="I53" s="39">
        <f t="shared" si="19"/>
        <v>-1171.4219999999987</v>
      </c>
      <c r="J53" s="39">
        <v>-837.30599999999981</v>
      </c>
      <c r="K53" s="39">
        <v>256.77299999999991</v>
      </c>
      <c r="L53" s="39">
        <v>-456.1410000000003</v>
      </c>
      <c r="M53" s="39">
        <v>-807.11</v>
      </c>
      <c r="N53" s="39">
        <v>-886.43600000000004</v>
      </c>
      <c r="O53" s="39">
        <v>1071.6759999999997</v>
      </c>
      <c r="P53" s="39">
        <v>-927.08500000000015</v>
      </c>
      <c r="Q53" s="39">
        <v>-1691.489</v>
      </c>
      <c r="R53" s="39">
        <f>R46+R47+R48+R50+R51+R52</f>
        <v>-886.91999999999985</v>
      </c>
      <c r="S53" s="39">
        <f>S46+S47+S48+S50+S51+S52</f>
        <v>-55.050000000000182</v>
      </c>
      <c r="T53" s="39">
        <f>T46+T47+T48+T50+T51+T52</f>
        <v>-883.28399999999976</v>
      </c>
      <c r="U53" s="39">
        <f>U46+U47+U48+U50+U51+U52</f>
        <v>-52.55999999999824</v>
      </c>
      <c r="V53" s="46">
        <f>V46+V47+V48+V50+V51+V52</f>
        <v>476.21100000000467</v>
      </c>
      <c r="Z53" s="40"/>
      <c r="AA53" s="40"/>
      <c r="AB53" s="40"/>
      <c r="AC53" s="40"/>
      <c r="AD53" s="40"/>
      <c r="AE53" s="40"/>
      <c r="AF53" s="40"/>
      <c r="AG53" s="40"/>
      <c r="AH53" s="59"/>
      <c r="AI53" s="59"/>
      <c r="AJ53" s="59"/>
      <c r="AK53" s="59"/>
      <c r="AL53" s="59"/>
      <c r="AM53" s="59"/>
      <c r="AN53" s="59"/>
      <c r="AO53" s="59"/>
      <c r="AP53" s="59"/>
      <c r="AR53" s="53"/>
    </row>
    <row r="54" spans="1:44" ht="7.5" customHeight="1" x14ac:dyDescent="0.25">
      <c r="A54" s="1"/>
      <c r="B54" s="35"/>
      <c r="C54" s="3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Z54" s="23"/>
      <c r="AA54" s="23"/>
      <c r="AB54" s="23"/>
      <c r="AC54" s="23"/>
      <c r="AD54" s="23"/>
      <c r="AE54" s="23"/>
      <c r="AF54" s="23"/>
      <c r="AG54" s="23"/>
      <c r="AH54" s="50"/>
      <c r="AI54" s="50"/>
      <c r="AJ54" s="50"/>
      <c r="AK54" s="50"/>
      <c r="AL54" s="50"/>
      <c r="AM54" s="50"/>
      <c r="AN54" s="50"/>
      <c r="AO54" s="50"/>
      <c r="AP54" s="50"/>
      <c r="AR54" s="53"/>
    </row>
    <row r="55" spans="1:44" ht="14.25" customHeight="1" x14ac:dyDescent="0.25">
      <c r="A55" s="8" t="s">
        <v>35</v>
      </c>
      <c r="B55" s="35"/>
      <c r="C55" s="3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Z55" s="23"/>
      <c r="AA55" s="23"/>
      <c r="AB55" s="23"/>
      <c r="AC55" s="23"/>
      <c r="AD55" s="23"/>
      <c r="AE55" s="23"/>
      <c r="AF55" s="23"/>
      <c r="AG55" s="23"/>
      <c r="AH55" s="50"/>
      <c r="AI55" s="50"/>
      <c r="AJ55" s="50"/>
      <c r="AK55" s="50"/>
      <c r="AL55" s="50"/>
      <c r="AM55" s="50"/>
      <c r="AN55" s="50"/>
      <c r="AO55" s="50"/>
      <c r="AP55" s="50"/>
      <c r="AR55" s="53"/>
    </row>
    <row r="56" spans="1:44" ht="15" customHeight="1" x14ac:dyDescent="0.25">
      <c r="A56" s="1" t="s">
        <v>36</v>
      </c>
      <c r="B56" s="35"/>
      <c r="C56" s="3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Z56" s="23"/>
      <c r="AA56" s="23"/>
      <c r="AB56" s="23"/>
      <c r="AC56" s="23"/>
      <c r="AD56" s="23"/>
      <c r="AE56" s="23"/>
      <c r="AF56" s="23"/>
      <c r="AG56" s="23"/>
      <c r="AH56" s="50"/>
      <c r="AI56" s="50"/>
      <c r="AJ56" s="50"/>
      <c r="AK56" s="50"/>
      <c r="AL56" s="50"/>
      <c r="AM56" s="50"/>
      <c r="AN56" s="50"/>
      <c r="AO56" s="50"/>
      <c r="AP56" s="50"/>
      <c r="AR56" s="53"/>
    </row>
    <row r="57" spans="1:44" ht="15" customHeight="1" x14ac:dyDescent="0.25">
      <c r="A57" s="1" t="s">
        <v>37</v>
      </c>
      <c r="B57" s="35">
        <v>-132.53208605167069</v>
      </c>
      <c r="C57" s="35">
        <v>-141.27785822766927</v>
      </c>
      <c r="D57" s="11">
        <v>-151.04436292936273</v>
      </c>
      <c r="E57" s="11">
        <v>-310.99024005462746</v>
      </c>
      <c r="F57" s="11">
        <v>-288.01900000000001</v>
      </c>
      <c r="G57" s="11">
        <v>-444.25799999999998</v>
      </c>
      <c r="H57" s="11">
        <v>-263.81400000000002</v>
      </c>
      <c r="I57" s="11">
        <v>-188.60599999999999</v>
      </c>
      <c r="J57" s="11">
        <v>-424.96</v>
      </c>
      <c r="K57" s="11">
        <v>-515.23500000000001</v>
      </c>
      <c r="L57" s="11">
        <v>-149.28800000000001</v>
      </c>
      <c r="M57" s="11">
        <v>-364</v>
      </c>
      <c r="N57" s="11">
        <v>-303.64699999999999</v>
      </c>
      <c r="O57" s="11">
        <v>-1342.038</v>
      </c>
      <c r="P57" s="11">
        <v>-357.07799999999997</v>
      </c>
      <c r="Q57" s="11">
        <v>-315.17500000000001</v>
      </c>
      <c r="R57" s="11">
        <v>-719.56</v>
      </c>
      <c r="S57" s="11">
        <v>-1334.45</v>
      </c>
      <c r="T57" s="11">
        <v>-512.64700000000005</v>
      </c>
      <c r="U57" s="11">
        <v>-270.04000000000002</v>
      </c>
      <c r="V57" s="11">
        <v>-326.33600000000001</v>
      </c>
      <c r="Z57" s="23"/>
      <c r="AA57" s="23"/>
      <c r="AB57" s="23"/>
      <c r="AC57" s="23"/>
      <c r="AD57" s="23"/>
      <c r="AE57" s="23"/>
      <c r="AF57" s="23"/>
      <c r="AG57" s="23"/>
      <c r="AH57" s="50"/>
      <c r="AI57" s="50"/>
      <c r="AJ57" s="50"/>
      <c r="AK57" s="50"/>
      <c r="AL57" s="50"/>
      <c r="AM57" s="50"/>
      <c r="AN57" s="50"/>
      <c r="AO57" s="50"/>
      <c r="AP57" s="50"/>
      <c r="AR57" s="53"/>
    </row>
    <row r="58" spans="1:44" ht="15" customHeight="1" x14ac:dyDescent="0.25">
      <c r="A58" s="1" t="s">
        <v>38</v>
      </c>
      <c r="B58" s="35">
        <v>196.27531018058338</v>
      </c>
      <c r="C58" s="35">
        <v>180.46564509320135</v>
      </c>
      <c r="D58" s="11">
        <v>253.51201618640604</v>
      </c>
      <c r="E58" s="11">
        <v>275.9698136309587</v>
      </c>
      <c r="F58" s="11">
        <v>221.095</v>
      </c>
      <c r="G58" s="11">
        <v>199.93100000000001</v>
      </c>
      <c r="H58" s="11">
        <v>198.94300000000001</v>
      </c>
      <c r="I58" s="11">
        <v>152.88200000000001</v>
      </c>
      <c r="J58" s="11">
        <v>137.55799999999999</v>
      </c>
      <c r="K58" s="11">
        <v>131.88399999999999</v>
      </c>
      <c r="L58" s="11">
        <v>119.544</v>
      </c>
      <c r="M58" s="11">
        <v>112</v>
      </c>
      <c r="N58" s="11">
        <v>151.80099999999999</v>
      </c>
      <c r="O58" s="11">
        <v>185.547</v>
      </c>
      <c r="P58" s="11">
        <v>256.20299999999997</v>
      </c>
      <c r="Q58" s="11">
        <v>238.17699999999999</v>
      </c>
      <c r="R58" s="11">
        <v>853.63</v>
      </c>
      <c r="S58" s="11">
        <v>286.94</v>
      </c>
      <c r="T58" s="11">
        <v>313.72800000000001</v>
      </c>
      <c r="U58" s="11">
        <v>165.69</v>
      </c>
      <c r="V58" s="11">
        <v>258.24400000000003</v>
      </c>
      <c r="Z58" s="23"/>
      <c r="AA58" s="23"/>
      <c r="AB58" s="23"/>
      <c r="AC58" s="23"/>
      <c r="AD58" s="23"/>
      <c r="AE58" s="23"/>
      <c r="AF58" s="23"/>
      <c r="AG58" s="23"/>
      <c r="AH58" s="50"/>
      <c r="AI58" s="50"/>
      <c r="AJ58" s="50"/>
      <c r="AK58" s="50"/>
      <c r="AL58" s="50"/>
      <c r="AM58" s="50"/>
      <c r="AN58" s="50"/>
      <c r="AO58" s="50"/>
      <c r="AP58" s="50"/>
      <c r="AR58" s="53"/>
    </row>
    <row r="59" spans="1:44" ht="15" customHeight="1" x14ac:dyDescent="0.25">
      <c r="A59" s="1" t="s">
        <v>39</v>
      </c>
      <c r="B59" s="35"/>
      <c r="C59" s="3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Z59" s="23"/>
      <c r="AA59" s="23"/>
      <c r="AB59" s="23"/>
      <c r="AC59" s="23"/>
      <c r="AD59" s="23"/>
      <c r="AE59" s="23"/>
      <c r="AF59" s="23"/>
      <c r="AG59" s="23"/>
      <c r="AH59" s="50"/>
      <c r="AI59" s="50"/>
      <c r="AJ59" s="50"/>
      <c r="AK59" s="50"/>
      <c r="AL59" s="50"/>
      <c r="AM59" s="50"/>
      <c r="AN59" s="50"/>
      <c r="AO59" s="50"/>
      <c r="AP59" s="50"/>
      <c r="AR59" s="53"/>
    </row>
    <row r="60" spans="1:44" ht="15" customHeight="1" x14ac:dyDescent="0.25">
      <c r="A60" s="1" t="s">
        <v>40</v>
      </c>
      <c r="B60" s="35">
        <v>609.3448575700545</v>
      </c>
      <c r="C60" s="35">
        <v>705.38016357957724</v>
      </c>
      <c r="D60" s="11">
        <v>682.30293000186691</v>
      </c>
      <c r="E60" s="11">
        <v>670.66533461828908</v>
      </c>
      <c r="F60" s="11">
        <v>822.702</v>
      </c>
      <c r="G60" s="11">
        <v>1295.5519999999999</v>
      </c>
      <c r="H60" s="11">
        <v>1280.5</v>
      </c>
      <c r="I60" s="11">
        <v>1659.711</v>
      </c>
      <c r="J60" s="11">
        <v>1419.9480000000001</v>
      </c>
      <c r="K60" s="11">
        <v>1324.8030000000001</v>
      </c>
      <c r="L60" s="11">
        <v>1405.73</v>
      </c>
      <c r="M60" s="11">
        <v>1339</v>
      </c>
      <c r="N60" s="11">
        <v>2159.8220000000001</v>
      </c>
      <c r="O60" s="11">
        <v>1827.3040000000001</v>
      </c>
      <c r="P60" s="11">
        <v>1764.588</v>
      </c>
      <c r="Q60" s="11">
        <v>2134.7069999999999</v>
      </c>
      <c r="R60" s="11">
        <v>2727.45</v>
      </c>
      <c r="S60" s="11">
        <v>2529.1999999999998</v>
      </c>
      <c r="T60" s="11">
        <v>2268.92</v>
      </c>
      <c r="U60" s="11">
        <v>2216.61</v>
      </c>
      <c r="V60" s="11">
        <v>1696.4949999999999</v>
      </c>
      <c r="X60" s="18">
        <f t="shared" ref="X60:AG61" si="20">100*(C60-B60)/B60</f>
        <v>15.760419541816164</v>
      </c>
      <c r="Y60" s="18">
        <f t="shared" si="20"/>
        <v>-3.2716022889842549</v>
      </c>
      <c r="Z60" s="18">
        <f t="shared" si="20"/>
        <v>-1.7056346780668212</v>
      </c>
      <c r="AA60" s="18">
        <f t="shared" si="20"/>
        <v>22.669527935008446</v>
      </c>
      <c r="AB60" s="18">
        <f t="shared" si="20"/>
        <v>57.475246200933015</v>
      </c>
      <c r="AC60" s="18">
        <f t="shared" si="20"/>
        <v>-1.1618213703502374</v>
      </c>
      <c r="AD60" s="18">
        <f t="shared" si="20"/>
        <v>29.614291292463879</v>
      </c>
      <c r="AE60" s="18">
        <f t="shared" si="20"/>
        <v>-14.446069225304882</v>
      </c>
      <c r="AF60" s="18">
        <f t="shared" si="20"/>
        <v>-6.7005974866685243</v>
      </c>
      <c r="AG60" s="18">
        <f t="shared" si="20"/>
        <v>6.1086063361873348</v>
      </c>
      <c r="AH60" s="52">
        <f t="shared" ref="AH60:AQ61" si="21">100*(M60-L60)/L60</f>
        <v>-4.7469997794740113</v>
      </c>
      <c r="AI60" s="52">
        <f t="shared" si="21"/>
        <v>61.301120238984325</v>
      </c>
      <c r="AJ60" s="52">
        <f t="shared" si="21"/>
        <v>-15.395620565028045</v>
      </c>
      <c r="AK60" s="52">
        <f t="shared" si="21"/>
        <v>-3.4321601660150756</v>
      </c>
      <c r="AL60" s="52">
        <f t="shared" si="21"/>
        <v>20.974811117382639</v>
      </c>
      <c r="AM60" s="52">
        <f t="shared" si="21"/>
        <v>27.766948813115803</v>
      </c>
      <c r="AN60" s="52">
        <f t="shared" si="21"/>
        <v>-7.2686942015435667</v>
      </c>
      <c r="AO60" s="52">
        <f t="shared" si="21"/>
        <v>-10.29100110706942</v>
      </c>
      <c r="AP60" s="52">
        <f t="shared" si="21"/>
        <v>-2.3055021772473223</v>
      </c>
      <c r="AQ60" s="52">
        <f t="shared" si="21"/>
        <v>-23.464434429150828</v>
      </c>
      <c r="AR60" s="53">
        <f t="shared" ref="AR60:AR71" si="22">100*(EXP(LN(V60/L60)/10)-1)</f>
        <v>1.897860884455338</v>
      </c>
    </row>
    <row r="61" spans="1:44" ht="15" customHeight="1" x14ac:dyDescent="0.25">
      <c r="A61" s="1" t="s">
        <v>41</v>
      </c>
      <c r="B61" s="35">
        <v>-725.73090268142005</v>
      </c>
      <c r="C61" s="35">
        <v>-741.03600398941762</v>
      </c>
      <c r="D61" s="11">
        <v>-850.95387782492651</v>
      </c>
      <c r="E61" s="11">
        <v>-674.87205103494443</v>
      </c>
      <c r="F61" s="11">
        <v>-656.11500000000001</v>
      </c>
      <c r="G61" s="11">
        <v>-769.20899999999995</v>
      </c>
      <c r="H61" s="11">
        <v>-711.60400000000004</v>
      </c>
      <c r="I61" s="11">
        <v>-787.22299999999996</v>
      </c>
      <c r="J61" s="11">
        <v>-749.69500000000005</v>
      </c>
      <c r="K61" s="11">
        <v>-883.71400000000006</v>
      </c>
      <c r="L61" s="11">
        <v>-968.15099999999995</v>
      </c>
      <c r="M61" s="11">
        <v>-967</v>
      </c>
      <c r="N61" s="11">
        <v>-1197.566</v>
      </c>
      <c r="O61" s="11">
        <v>-1158.673</v>
      </c>
      <c r="P61" s="11">
        <v>-1321.2370000000001</v>
      </c>
      <c r="Q61" s="11">
        <v>-1358.5260000000001</v>
      </c>
      <c r="R61" s="11">
        <v>-1519.18</v>
      </c>
      <c r="S61" s="11">
        <v>-1791.26</v>
      </c>
      <c r="T61" s="11">
        <v>-1792.289</v>
      </c>
      <c r="U61" s="11">
        <v>-1902.1</v>
      </c>
      <c r="V61" s="11">
        <v>-1852.0519999999999</v>
      </c>
      <c r="X61" s="18">
        <f t="shared" si="20"/>
        <v>2.1089223638470549</v>
      </c>
      <c r="Y61" s="18">
        <f t="shared" si="20"/>
        <v>14.83300045392647</v>
      </c>
      <c r="Z61" s="18">
        <f t="shared" si="20"/>
        <v>-20.692287958080001</v>
      </c>
      <c r="AA61" s="18">
        <f t="shared" si="20"/>
        <v>-2.7793492123699157</v>
      </c>
      <c r="AB61" s="18">
        <f t="shared" si="20"/>
        <v>17.236917308703497</v>
      </c>
      <c r="AC61" s="18">
        <f t="shared" si="20"/>
        <v>-7.4888619347927436</v>
      </c>
      <c r="AD61" s="18">
        <f t="shared" si="20"/>
        <v>10.626556343134652</v>
      </c>
      <c r="AE61" s="18">
        <f t="shared" si="20"/>
        <v>-4.7671371390317496</v>
      </c>
      <c r="AF61" s="18">
        <f t="shared" si="20"/>
        <v>17.876469764370846</v>
      </c>
      <c r="AG61" s="18">
        <f t="shared" si="20"/>
        <v>9.5547880875486744</v>
      </c>
      <c r="AH61" s="52">
        <f t="shared" si="21"/>
        <v>-0.11888641337972627</v>
      </c>
      <c r="AI61" s="52">
        <f t="shared" si="21"/>
        <v>23.843433298862465</v>
      </c>
      <c r="AJ61" s="52">
        <f t="shared" si="21"/>
        <v>-3.2476706920537182</v>
      </c>
      <c r="AK61" s="52">
        <f t="shared" si="21"/>
        <v>14.030187982286641</v>
      </c>
      <c r="AL61" s="52">
        <f t="shared" si="21"/>
        <v>2.8222794245090008</v>
      </c>
      <c r="AM61" s="52">
        <f t="shared" si="21"/>
        <v>11.82561099309104</v>
      </c>
      <c r="AN61" s="52">
        <f t="shared" si="21"/>
        <v>17.909661791229475</v>
      </c>
      <c r="AO61" s="52">
        <f t="shared" si="21"/>
        <v>5.7445596954099148E-2</v>
      </c>
      <c r="AP61" s="52">
        <f t="shared" si="21"/>
        <v>6.1268578895479422</v>
      </c>
      <c r="AQ61" s="52">
        <f t="shared" si="21"/>
        <v>-2.6311970979443773</v>
      </c>
      <c r="AR61" s="53">
        <f t="shared" si="22"/>
        <v>6.7016186781971854</v>
      </c>
    </row>
    <row r="62" spans="1:44" ht="15" customHeight="1" x14ac:dyDescent="0.25">
      <c r="A62" s="1" t="s">
        <v>42</v>
      </c>
      <c r="B62" s="35">
        <v>176.26094693166357</v>
      </c>
      <c r="C62" s="35">
        <v>31.619330174764073</v>
      </c>
      <c r="D62" s="11">
        <v>13.966493601290336</v>
      </c>
      <c r="E62" s="11">
        <v>181.18918955283874</v>
      </c>
      <c r="F62" s="11">
        <v>12.79</v>
      </c>
      <c r="G62" s="11">
        <v>-94.497</v>
      </c>
      <c r="H62" s="11">
        <v>116.19799999999999</v>
      </c>
      <c r="I62" s="11">
        <v>69.366</v>
      </c>
      <c r="J62" s="11">
        <v>172.14699999999999</v>
      </c>
      <c r="K62" s="11">
        <v>172.63800000000001</v>
      </c>
      <c r="L62" s="11">
        <v>52.728000000000002</v>
      </c>
      <c r="M62" s="11">
        <v>116</v>
      </c>
      <c r="N62" s="11">
        <v>179.61699999999999</v>
      </c>
      <c r="O62" s="11">
        <v>6.681</v>
      </c>
      <c r="P62" s="11">
        <v>44.851999999999997</v>
      </c>
      <c r="Q62" s="11">
        <v>464.20400000000001</v>
      </c>
      <c r="R62" s="11">
        <v>363.2</v>
      </c>
      <c r="S62" s="11">
        <v>130.80000000000001</v>
      </c>
      <c r="T62" s="11">
        <v>334.27199999999999</v>
      </c>
      <c r="U62" s="11">
        <v>250.53</v>
      </c>
      <c r="V62" s="11">
        <v>172.91499999999999</v>
      </c>
      <c r="Z62" s="23"/>
      <c r="AA62" s="23"/>
      <c r="AB62" s="23"/>
      <c r="AC62" s="23"/>
      <c r="AD62" s="23"/>
      <c r="AE62" s="23"/>
      <c r="AF62" s="23"/>
      <c r="AG62" s="23"/>
      <c r="AH62" s="50"/>
      <c r="AI62" s="50"/>
      <c r="AJ62" s="50"/>
      <c r="AK62" s="50"/>
      <c r="AL62" s="50"/>
      <c r="AM62" s="50"/>
      <c r="AN62" s="50"/>
      <c r="AO62" s="50"/>
      <c r="AP62" s="50"/>
      <c r="AR62" s="53"/>
    </row>
    <row r="63" spans="1:44" ht="15" customHeight="1" x14ac:dyDescent="0.25">
      <c r="A63" s="1" t="s">
        <v>43</v>
      </c>
      <c r="B63" s="35">
        <v>0</v>
      </c>
      <c r="C63" s="35">
        <v>0</v>
      </c>
      <c r="D63" s="11"/>
      <c r="E63" s="11">
        <v>33.00957157489492</v>
      </c>
      <c r="F63" s="11">
        <v>41.091000000000001</v>
      </c>
      <c r="G63" s="11">
        <v>46.527000000000001</v>
      </c>
      <c r="H63" s="11">
        <v>23.704000000000001</v>
      </c>
      <c r="I63" s="11">
        <v>-1.2569999999999999</v>
      </c>
      <c r="J63" s="11">
        <v>0</v>
      </c>
      <c r="K63" s="11">
        <v>17.227</v>
      </c>
      <c r="L63" s="11">
        <v>-6.859</v>
      </c>
      <c r="M63" s="11">
        <v>0</v>
      </c>
      <c r="N63" s="11">
        <v>4.0940000000000003</v>
      </c>
      <c r="O63" s="11">
        <v>5.0339999999999998</v>
      </c>
      <c r="P63" s="11">
        <v>26.132999999999999</v>
      </c>
      <c r="Q63" s="11">
        <v>-6.8929999999999998</v>
      </c>
      <c r="R63" s="11">
        <v>-10.33</v>
      </c>
      <c r="S63" s="11">
        <v>4.25</v>
      </c>
      <c r="T63" s="11">
        <v>-8.4879999999999995</v>
      </c>
      <c r="U63" s="11">
        <v>3.1</v>
      </c>
      <c r="V63" s="11">
        <v>-0.72099999999999997</v>
      </c>
      <c r="Z63" s="23"/>
      <c r="AA63" s="23"/>
      <c r="AB63" s="23"/>
      <c r="AC63" s="23"/>
      <c r="AD63" s="23"/>
      <c r="AE63" s="23"/>
      <c r="AF63" s="23"/>
      <c r="AG63" s="23"/>
      <c r="AH63" s="50"/>
      <c r="AI63" s="50"/>
      <c r="AJ63" s="50"/>
      <c r="AK63" s="50"/>
      <c r="AL63" s="50"/>
      <c r="AM63" s="50"/>
      <c r="AN63" s="50"/>
      <c r="AO63" s="50"/>
      <c r="AP63" s="50"/>
      <c r="AR63" s="53"/>
    </row>
    <row r="64" spans="1:44" ht="15" customHeight="1" x14ac:dyDescent="0.25">
      <c r="A64" s="1" t="s">
        <v>44</v>
      </c>
      <c r="B64" s="37">
        <v>-57.352082923375264</v>
      </c>
      <c r="C64" s="37">
        <v>-35.487652483378824</v>
      </c>
      <c r="D64" s="28">
        <v>20.687114954765857</v>
      </c>
      <c r="E64" s="28">
        <v>170.46451823409404</v>
      </c>
      <c r="F64" s="28">
        <v>274.56200000000001</v>
      </c>
      <c r="G64" s="28">
        <v>-123.07899999999999</v>
      </c>
      <c r="H64" s="28">
        <v>164.43100000000001</v>
      </c>
      <c r="I64" s="28">
        <v>140.09700000000001</v>
      </c>
      <c r="J64" s="28">
        <v>187.697</v>
      </c>
      <c r="K64" s="28">
        <v>237.09399999999999</v>
      </c>
      <c r="L64" s="28">
        <v>191.71800000000002</v>
      </c>
      <c r="M64" s="28">
        <v>256</v>
      </c>
      <c r="N64" s="28">
        <v>2.7</v>
      </c>
      <c r="O64" s="28">
        <v>-132.422</v>
      </c>
      <c r="P64" s="28">
        <v>292.31900000000002</v>
      </c>
      <c r="Q64" s="28">
        <v>120.163</v>
      </c>
      <c r="R64" s="28">
        <v>166.89</v>
      </c>
      <c r="S64" s="28">
        <v>217.41</v>
      </c>
      <c r="T64" s="28">
        <v>96.35</v>
      </c>
      <c r="U64" s="28">
        <v>70.33</v>
      </c>
      <c r="V64" s="67">
        <v>172.99</v>
      </c>
      <c r="Z64" s="23"/>
      <c r="AA64" s="23"/>
      <c r="AB64" s="23"/>
      <c r="AC64" s="23"/>
      <c r="AD64" s="23"/>
      <c r="AE64" s="23"/>
      <c r="AF64" s="23"/>
      <c r="AG64" s="23"/>
      <c r="AH64" s="50"/>
      <c r="AI64" s="50"/>
      <c r="AJ64" s="50"/>
      <c r="AK64" s="50"/>
      <c r="AL64" s="50"/>
      <c r="AM64" s="50"/>
      <c r="AN64" s="50"/>
      <c r="AO64" s="50"/>
      <c r="AP64" s="50"/>
      <c r="AR64" s="53"/>
    </row>
    <row r="65" spans="1:44" ht="17.25" customHeight="1" x14ac:dyDescent="0.25">
      <c r="A65" s="1" t="s">
        <v>35</v>
      </c>
      <c r="B65" s="35">
        <f>B57+B58+B60+B61+B62+B63+B64</f>
        <v>66.266043025835501</v>
      </c>
      <c r="C65" s="35">
        <f>C57+C58+C60+C61+C62+C63+C64</f>
        <v>-0.33637585292305516</v>
      </c>
      <c r="D65" s="11">
        <f t="shared" ref="D65:I65" si="23">D57+D58+D60+D61+D62+D63+D64</f>
        <v>-31.529686009960148</v>
      </c>
      <c r="E65" s="11">
        <f t="shared" si="23"/>
        <v>345.4361365215035</v>
      </c>
      <c r="F65" s="11">
        <f t="shared" si="23"/>
        <v>428.10599999999999</v>
      </c>
      <c r="G65" s="11">
        <f t="shared" si="23"/>
        <v>110.96699999999994</v>
      </c>
      <c r="H65" s="11">
        <f t="shared" si="23"/>
        <v>808.35799999999983</v>
      </c>
      <c r="I65" s="11">
        <f t="shared" si="23"/>
        <v>1044.9700000000003</v>
      </c>
      <c r="J65" s="11">
        <v>742.69500000000005</v>
      </c>
      <c r="K65" s="11">
        <v>484.69700000000006</v>
      </c>
      <c r="L65" s="11">
        <v>645.42200000000025</v>
      </c>
      <c r="M65" s="11">
        <v>492</v>
      </c>
      <c r="N65" s="11">
        <v>996.82100000000014</v>
      </c>
      <c r="O65" s="11">
        <v>-608.56699999999989</v>
      </c>
      <c r="P65" s="11">
        <v>705.77999999999986</v>
      </c>
      <c r="Q65" s="11">
        <v>1276.6569999999997</v>
      </c>
      <c r="R65" s="11">
        <f>R57+R58+R60+R61+R62+R63+R64</f>
        <v>1862.1</v>
      </c>
      <c r="S65" s="11">
        <f>S57+S58+S60+S61+S62+S63+S64</f>
        <v>42.889999999999844</v>
      </c>
      <c r="T65" s="11">
        <f>T57+T58+T60+T61+T62+T63+T64</f>
        <v>699.84600000000012</v>
      </c>
      <c r="U65" s="11">
        <f>U57+U58+U60+U61+U62+U63+U64</f>
        <v>534.12000000000035</v>
      </c>
      <c r="V65" s="71">
        <f>V57+V58+V60+V61+V62+V63+V64</f>
        <v>121.53499999999988</v>
      </c>
      <c r="Z65" s="23"/>
      <c r="AA65" s="23"/>
      <c r="AB65" s="23"/>
      <c r="AC65" s="23"/>
      <c r="AD65" s="23"/>
      <c r="AE65" s="23"/>
      <c r="AF65" s="23"/>
      <c r="AG65" s="23"/>
      <c r="AH65" s="50"/>
      <c r="AI65" s="72"/>
      <c r="AJ65" s="50"/>
      <c r="AK65" s="50"/>
      <c r="AL65" s="50"/>
      <c r="AM65" s="50"/>
      <c r="AN65" s="50"/>
      <c r="AO65" s="50"/>
      <c r="AP65" s="50"/>
      <c r="AR65" s="53"/>
    </row>
    <row r="66" spans="1:44" ht="9.75" customHeight="1" x14ac:dyDescent="0.25">
      <c r="A66" s="1"/>
      <c r="B66" s="35"/>
      <c r="C66" s="35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Z66" s="23"/>
      <c r="AA66" s="23"/>
      <c r="AB66" s="23"/>
      <c r="AC66" s="23"/>
      <c r="AD66" s="23"/>
      <c r="AE66" s="23"/>
      <c r="AF66" s="23"/>
      <c r="AG66" s="23"/>
      <c r="AH66" s="50"/>
      <c r="AI66" s="50"/>
      <c r="AJ66" s="50"/>
      <c r="AK66" s="50"/>
      <c r="AL66" s="50"/>
      <c r="AM66" s="50"/>
      <c r="AN66" s="50"/>
      <c r="AO66" s="50"/>
      <c r="AP66" s="50"/>
      <c r="AR66" s="53"/>
    </row>
    <row r="67" spans="1:44" ht="14.25" customHeight="1" x14ac:dyDescent="0.25">
      <c r="A67" s="8" t="s">
        <v>45</v>
      </c>
      <c r="B67" s="35">
        <f>B53+B65</f>
        <v>-907.98930156599999</v>
      </c>
      <c r="C67" s="35">
        <f>C53+C65</f>
        <v>-242.69517788396038</v>
      </c>
      <c r="D67" s="27">
        <f t="shared" ref="D67:I67" si="24">D53+D65</f>
        <v>-40.636389476144771</v>
      </c>
      <c r="E67" s="27">
        <f t="shared" si="24"/>
        <v>307.01987813102812</v>
      </c>
      <c r="F67" s="27">
        <f t="shared" si="24"/>
        <v>-23.633000000000266</v>
      </c>
      <c r="G67" s="27">
        <f t="shared" si="24"/>
        <v>184.7349999999995</v>
      </c>
      <c r="H67" s="27">
        <f t="shared" si="24"/>
        <v>-67.408000000000243</v>
      </c>
      <c r="I67" s="27">
        <f t="shared" si="24"/>
        <v>-126.45199999999841</v>
      </c>
      <c r="J67" s="27">
        <v>-94.610999999999763</v>
      </c>
      <c r="K67" s="27">
        <v>741.47</v>
      </c>
      <c r="L67" s="27">
        <v>189.28099999999995</v>
      </c>
      <c r="M67" s="27">
        <v>-315.11</v>
      </c>
      <c r="N67" s="27">
        <v>110.3850000000001</v>
      </c>
      <c r="O67" s="27">
        <v>463.10899999999981</v>
      </c>
      <c r="P67" s="27">
        <v>-221.30500000000029</v>
      </c>
      <c r="Q67" s="27">
        <v>-414.83200000000033</v>
      </c>
      <c r="R67" s="27">
        <f>R53+R65</f>
        <v>975.18000000000006</v>
      </c>
      <c r="S67" s="27">
        <f>S53+S65</f>
        <v>-12.160000000000338</v>
      </c>
      <c r="T67" s="27">
        <f>T53+T65</f>
        <v>-183.43799999999965</v>
      </c>
      <c r="U67" s="27">
        <f>U53+U65</f>
        <v>481.56000000000211</v>
      </c>
      <c r="V67" s="27">
        <f>V53+V65</f>
        <v>597.74600000000453</v>
      </c>
      <c r="Z67" s="23"/>
      <c r="AA67" s="23"/>
      <c r="AB67" s="23"/>
      <c r="AC67" s="23"/>
      <c r="AD67" s="23"/>
      <c r="AE67" s="23"/>
      <c r="AF67" s="23"/>
      <c r="AG67" s="23"/>
      <c r="AH67" s="50"/>
      <c r="AI67" s="50"/>
      <c r="AJ67" s="50"/>
      <c r="AK67" s="50"/>
      <c r="AL67" s="50"/>
      <c r="AM67" s="50"/>
      <c r="AN67" s="50"/>
      <c r="AO67" s="50"/>
      <c r="AP67" s="50"/>
      <c r="AR67" s="53"/>
    </row>
    <row r="68" spans="1:44" ht="8.25" customHeight="1" x14ac:dyDescent="0.25">
      <c r="A68" s="1"/>
      <c r="B68" s="35"/>
      <c r="C68" s="3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Z68" s="23"/>
      <c r="AA68" s="23"/>
      <c r="AB68" s="23"/>
      <c r="AC68" s="23"/>
      <c r="AD68" s="23"/>
      <c r="AE68" s="23"/>
      <c r="AF68" s="23"/>
      <c r="AG68" s="23"/>
      <c r="AH68" s="50"/>
      <c r="AI68" s="50"/>
      <c r="AJ68" s="50"/>
      <c r="AK68" s="50"/>
      <c r="AL68" s="50"/>
      <c r="AM68" s="50"/>
      <c r="AN68" s="50"/>
      <c r="AO68" s="50"/>
      <c r="AP68" s="50"/>
      <c r="AR68" s="53"/>
    </row>
    <row r="69" spans="1:44" ht="14.25" customHeight="1" x14ac:dyDescent="0.25">
      <c r="A69" s="1" t="s">
        <v>46</v>
      </c>
      <c r="B69" s="35">
        <v>2239.2540529085577</v>
      </c>
      <c r="C69" s="35">
        <v>2167.9423720888772</v>
      </c>
      <c r="D69" s="11">
        <v>2236.7093695811955</v>
      </c>
      <c r="E69" s="11">
        <v>2666.3743560504763</v>
      </c>
      <c r="F69" s="11">
        <v>2659.8560000000002</v>
      </c>
      <c r="G69" s="11">
        <v>2819.0230000000001</v>
      </c>
      <c r="H69" s="11">
        <v>2765.627</v>
      </c>
      <c r="I69" s="11">
        <v>2641.152</v>
      </c>
      <c r="J69" s="11">
        <v>2538.5479999999998</v>
      </c>
      <c r="K69" s="11">
        <v>3525.0070000000001</v>
      </c>
      <c r="L69" s="11">
        <v>3727.087</v>
      </c>
      <c r="M69" s="11">
        <v>3411</v>
      </c>
      <c r="N69" s="11">
        <v>3548.0590000000002</v>
      </c>
      <c r="O69" s="11">
        <v>4009.3249999999998</v>
      </c>
      <c r="P69" s="11">
        <v>3790.3580000000002</v>
      </c>
      <c r="Q69" s="11">
        <v>3369.7779999999998</v>
      </c>
      <c r="R69" s="11">
        <v>4347.99</v>
      </c>
      <c r="S69" s="11">
        <v>4341.22</v>
      </c>
      <c r="T69" s="11">
        <v>4148.4629999999997</v>
      </c>
      <c r="U69" s="11">
        <v>4631.87</v>
      </c>
      <c r="V69" s="11">
        <v>5229.7049999999999</v>
      </c>
      <c r="X69" s="18">
        <f t="shared" ref="X69:AQ69" si="25">100*(C69-B69)/B69</f>
        <v>-3.1846176956586989</v>
      </c>
      <c r="Y69" s="18">
        <f t="shared" si="25"/>
        <v>3.1719937936384923</v>
      </c>
      <c r="Z69" s="18">
        <f t="shared" si="25"/>
        <v>19.209692252048459</v>
      </c>
      <c r="AA69" s="18">
        <f t="shared" si="25"/>
        <v>-0.24446514930226435</v>
      </c>
      <c r="AB69" s="18">
        <f t="shared" si="25"/>
        <v>5.984045752852782</v>
      </c>
      <c r="AC69" s="18">
        <f t="shared" si="25"/>
        <v>-1.8941314065192154</v>
      </c>
      <c r="AD69" s="18">
        <f t="shared" si="25"/>
        <v>-4.5007877056450454</v>
      </c>
      <c r="AE69" s="18">
        <f t="shared" si="25"/>
        <v>-3.8848199573519535</v>
      </c>
      <c r="AF69" s="18">
        <f t="shared" si="25"/>
        <v>38.859182493299329</v>
      </c>
      <c r="AG69" s="18">
        <f t="shared" si="25"/>
        <v>5.7327545732533274</v>
      </c>
      <c r="AH69" s="52">
        <f t="shared" si="25"/>
        <v>-8.4808055191628196</v>
      </c>
      <c r="AI69" s="52">
        <f t="shared" si="25"/>
        <v>4.0181471709176249</v>
      </c>
      <c r="AJ69" s="52">
        <f t="shared" si="25"/>
        <v>13.000516620495871</v>
      </c>
      <c r="AK69" s="52">
        <f t="shared" si="25"/>
        <v>-5.4614430109806431</v>
      </c>
      <c r="AL69" s="52">
        <f t="shared" si="25"/>
        <v>-11.096049502448063</v>
      </c>
      <c r="AM69" s="52">
        <f t="shared" si="25"/>
        <v>29.028974609009854</v>
      </c>
      <c r="AN69" s="52">
        <f t="shared" si="25"/>
        <v>-0.15570412995428987</v>
      </c>
      <c r="AO69" s="52">
        <f t="shared" si="25"/>
        <v>-4.4401573751157626</v>
      </c>
      <c r="AP69" s="52">
        <f t="shared" si="25"/>
        <v>11.652677148138965</v>
      </c>
      <c r="AQ69" s="52">
        <f t="shared" si="25"/>
        <v>12.906990049375306</v>
      </c>
      <c r="AR69" s="53">
        <f t="shared" si="22"/>
        <v>3.4453006391230723</v>
      </c>
    </row>
    <row r="70" spans="1:44" ht="8.25" customHeight="1" x14ac:dyDescent="0.25">
      <c r="A70" s="1"/>
      <c r="B70" s="35"/>
      <c r="C70" s="3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Z70" s="23"/>
      <c r="AA70" s="23"/>
      <c r="AB70" s="23"/>
      <c r="AC70" s="23"/>
      <c r="AD70" s="23"/>
      <c r="AE70" s="23"/>
      <c r="AF70" s="23"/>
      <c r="AG70" s="23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3"/>
    </row>
    <row r="71" spans="1:44" ht="14.25" customHeight="1" x14ac:dyDescent="0.25">
      <c r="A71" s="1" t="s">
        <v>47</v>
      </c>
      <c r="B71" s="35">
        <v>3822.4070046907614</v>
      </c>
      <c r="C71" s="35">
        <v>3830.311837234452</v>
      </c>
      <c r="D71" s="11">
        <v>3667.4430221352122</v>
      </c>
      <c r="E71" s="11">
        <v>3836.3153049331199</v>
      </c>
      <c r="F71" s="11">
        <v>4051.373</v>
      </c>
      <c r="G71" s="11">
        <v>4485.0659999999998</v>
      </c>
      <c r="H71" s="11">
        <v>5214.7309999999998</v>
      </c>
      <c r="I71" s="11">
        <v>6152.5479999999998</v>
      </c>
      <c r="J71" s="11">
        <v>7094.9719999999998</v>
      </c>
      <c r="K71" s="11">
        <v>7713.768</v>
      </c>
      <c r="L71" s="11">
        <v>8199.7480000000014</v>
      </c>
      <c r="M71" s="11">
        <v>8677</v>
      </c>
      <c r="N71" s="11">
        <v>9835.8430000000008</v>
      </c>
      <c r="O71" s="11">
        <v>10510.764999999999</v>
      </c>
      <c r="P71" s="11">
        <v>10994.163</v>
      </c>
      <c r="Q71" s="11">
        <v>12261.618</v>
      </c>
      <c r="R71" s="11">
        <v>13836.15</v>
      </c>
      <c r="S71" s="11">
        <v>14727.35</v>
      </c>
      <c r="T71" s="11">
        <v>15544.401</v>
      </c>
      <c r="U71" s="11">
        <v>16124.56</v>
      </c>
      <c r="V71" s="11">
        <v>16170.236000000001</v>
      </c>
      <c r="X71" s="18">
        <f t="shared" ref="X71:AQ71" si="26">100*(C71-B71)/B71</f>
        <v>0.20680248162976977</v>
      </c>
      <c r="Y71" s="18">
        <f t="shared" si="26"/>
        <v>-4.2521032756652453</v>
      </c>
      <c r="Z71" s="18">
        <f t="shared" si="26"/>
        <v>4.604632758536737</v>
      </c>
      <c r="AA71" s="18">
        <f t="shared" si="26"/>
        <v>5.6058399264090024</v>
      </c>
      <c r="AB71" s="18">
        <f t="shared" si="26"/>
        <v>10.704840062862633</v>
      </c>
      <c r="AC71" s="18">
        <f t="shared" si="26"/>
        <v>16.268768397165172</v>
      </c>
      <c r="AD71" s="18">
        <f t="shared" si="26"/>
        <v>17.983995722885801</v>
      </c>
      <c r="AE71" s="18">
        <f t="shared" si="26"/>
        <v>15.317621252203152</v>
      </c>
      <c r="AF71" s="18">
        <f t="shared" si="26"/>
        <v>8.7216129957947732</v>
      </c>
      <c r="AG71" s="18">
        <f t="shared" si="26"/>
        <v>6.3001635517168957</v>
      </c>
      <c r="AH71" s="52">
        <f t="shared" si="26"/>
        <v>5.8203252099942402</v>
      </c>
      <c r="AI71" s="52">
        <f t="shared" si="26"/>
        <v>13.355341707963591</v>
      </c>
      <c r="AJ71" s="52">
        <f t="shared" si="26"/>
        <v>6.8618622725067757</v>
      </c>
      <c r="AK71" s="52">
        <f t="shared" si="26"/>
        <v>4.5990753289603665</v>
      </c>
      <c r="AL71" s="52">
        <f t="shared" si="26"/>
        <v>11.528435588957521</v>
      </c>
      <c r="AM71" s="52">
        <f t="shared" si="26"/>
        <v>12.841143803370805</v>
      </c>
      <c r="AN71" s="52">
        <f t="shared" si="26"/>
        <v>6.4410981378490462</v>
      </c>
      <c r="AO71" s="52">
        <f t="shared" si="26"/>
        <v>5.5478480514145412</v>
      </c>
      <c r="AP71" s="52">
        <f t="shared" si="26"/>
        <v>3.7322699021982233</v>
      </c>
      <c r="AQ71" s="52">
        <f t="shared" si="26"/>
        <v>0.28326974503491131</v>
      </c>
      <c r="AR71" s="53">
        <f t="shared" si="22"/>
        <v>7.0265645659401077</v>
      </c>
    </row>
    <row r="72" spans="1:44" ht="7.5" customHeight="1" x14ac:dyDescent="0.25">
      <c r="A72" s="1"/>
      <c r="B72" s="1"/>
      <c r="C72" s="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Z72" s="23"/>
      <c r="AA72" s="23"/>
      <c r="AB72" s="23"/>
      <c r="AC72" s="23"/>
      <c r="AD72" s="23"/>
      <c r="AE72" s="23"/>
      <c r="AF72" s="23"/>
      <c r="AG72" s="23"/>
      <c r="AH72" s="50"/>
      <c r="AI72" s="50"/>
      <c r="AJ72" s="50"/>
      <c r="AK72" s="50"/>
      <c r="AL72" s="50"/>
      <c r="AM72" s="50"/>
      <c r="AN72" s="50"/>
      <c r="AO72" s="50"/>
      <c r="AP72" s="50"/>
      <c r="AQ72" s="54"/>
    </row>
    <row r="73" spans="1:44" ht="13.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Z73" s="23"/>
      <c r="AA73" s="23"/>
      <c r="AB73" s="23"/>
      <c r="AC73" s="23"/>
      <c r="AD73" s="23"/>
      <c r="AE73" s="23"/>
      <c r="AF73" s="23"/>
      <c r="AG73" s="23"/>
      <c r="AH73" s="50"/>
      <c r="AI73" s="50"/>
      <c r="AJ73" s="50"/>
      <c r="AK73" s="50"/>
      <c r="AL73" s="50"/>
      <c r="AM73" s="50"/>
      <c r="AN73" s="50"/>
      <c r="AO73" s="50"/>
      <c r="AP73" s="50"/>
      <c r="AQ73" s="54"/>
    </row>
    <row r="74" spans="1:44" x14ac:dyDescent="0.2">
      <c r="A74" s="25"/>
      <c r="B74" s="25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25"/>
      <c r="T74" s="25"/>
      <c r="U74" s="25"/>
      <c r="V74" s="25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4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4" x14ac:dyDescent="0.2"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4" x14ac:dyDescent="0.2"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4" x14ac:dyDescent="0.2"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4" x14ac:dyDescent="0.2"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4" x14ac:dyDescent="0.2"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26:42" x14ac:dyDescent="0.2"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26:42" x14ac:dyDescent="0.2"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26:42" x14ac:dyDescent="0.2"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26:42" x14ac:dyDescent="0.2"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26:42" x14ac:dyDescent="0.2"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26:42" x14ac:dyDescent="0.2"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26:42" x14ac:dyDescent="0.2"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26:42" x14ac:dyDescent="0.2"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26:42" x14ac:dyDescent="0.2"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26:42" x14ac:dyDescent="0.2"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26:42" x14ac:dyDescent="0.2"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26:42" x14ac:dyDescent="0.2"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26:42" x14ac:dyDescent="0.2">
      <c r="Z93" s="17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26:42" x14ac:dyDescent="0.2">
      <c r="Z94" s="17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26:42" x14ac:dyDescent="0.2">
      <c r="Z95" s="17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26:42" x14ac:dyDescent="0.2">
      <c r="Z96" s="17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26:42" x14ac:dyDescent="0.2">
      <c r="Z97" s="17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</sheetData>
  <phoneticPr fontId="6" type="noConversion"/>
  <pageMargins left="0.19685039370078741" right="0.11811023622047245" top="0.74803149606299213" bottom="0.62992125984251968" header="0.51181102362204722" footer="0.27559055118110237"/>
  <pageSetup paperSize="9" scale="93" fitToHeight="0" orientation="landscape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R74"/>
  <sheetViews>
    <sheetView workbookViewId="0">
      <pane xSplit="1" ySplit="8" topLeftCell="K9" activePane="bottomRight" state="frozen"/>
      <selection pane="topRight" activeCell="B1" sqref="B1"/>
      <selection pane="bottomLeft" activeCell="A9" sqref="A9"/>
      <selection pane="bottomRight" activeCell="K9" sqref="K9"/>
    </sheetView>
  </sheetViews>
  <sheetFormatPr defaultRowHeight="12.75" x14ac:dyDescent="0.2"/>
  <cols>
    <col min="1" max="1" width="30.7109375" customWidth="1"/>
    <col min="2" max="10" width="7.140625" hidden="1" customWidth="1"/>
    <col min="11" max="11" width="0.140625" customWidth="1"/>
    <col min="12" max="14" width="6.85546875" customWidth="1"/>
    <col min="15" max="15" width="7.42578125" customWidth="1"/>
    <col min="16" max="16" width="8" customWidth="1"/>
    <col min="17" max="17" width="7.140625" customWidth="1"/>
    <col min="18" max="18" width="7" customWidth="1"/>
    <col min="19" max="19" width="7.140625" customWidth="1"/>
    <col min="20" max="22" width="7.28515625" customWidth="1"/>
    <col min="23" max="23" width="1.42578125" customWidth="1"/>
    <col min="24" max="32" width="5.7109375" hidden="1" customWidth="1"/>
    <col min="33" max="33" width="5.5703125" hidden="1" customWidth="1"/>
    <col min="34" max="40" width="4.85546875" customWidth="1"/>
    <col min="41" max="43" width="5.140625" customWidth="1"/>
    <col min="44" max="44" width="7.42578125" customWidth="1"/>
  </cols>
  <sheetData>
    <row r="2" spans="1:44" x14ac:dyDescent="0.2">
      <c r="A2" s="7">
        <v>43371</v>
      </c>
      <c r="B2" s="7"/>
      <c r="C2" s="7"/>
    </row>
    <row r="3" spans="1:44" ht="18" x14ac:dyDescent="0.25">
      <c r="A3" s="5" t="s">
        <v>2</v>
      </c>
      <c r="B3" s="5"/>
      <c r="C3" s="5"/>
    </row>
    <row r="4" spans="1:44" ht="14.25" x14ac:dyDescent="0.2">
      <c r="A4" s="6" t="s">
        <v>3</v>
      </c>
      <c r="B4" s="6"/>
      <c r="C4" s="6"/>
      <c r="V4" s="1"/>
    </row>
    <row r="6" spans="1:44" ht="13.5" x14ac:dyDescent="0.25">
      <c r="A6" s="8" t="s">
        <v>4</v>
      </c>
      <c r="B6" s="12">
        <v>1997</v>
      </c>
      <c r="C6" s="12">
        <v>1998</v>
      </c>
      <c r="D6" s="12">
        <v>1999</v>
      </c>
      <c r="E6" s="12">
        <v>2000</v>
      </c>
      <c r="F6" s="12">
        <v>2001</v>
      </c>
      <c r="G6" s="12">
        <v>2002</v>
      </c>
      <c r="H6" s="12">
        <v>2003</v>
      </c>
      <c r="I6" s="12">
        <v>2004</v>
      </c>
      <c r="J6" s="12">
        <v>2005</v>
      </c>
      <c r="K6" s="12">
        <v>2006</v>
      </c>
      <c r="L6" s="12">
        <v>2007</v>
      </c>
      <c r="M6" s="12">
        <v>2008</v>
      </c>
      <c r="N6" s="12">
        <v>2009</v>
      </c>
      <c r="O6" s="12">
        <v>2010</v>
      </c>
      <c r="P6" s="12">
        <v>2011</v>
      </c>
      <c r="Q6" s="12">
        <v>2012</v>
      </c>
      <c r="R6" s="12">
        <v>2013</v>
      </c>
      <c r="S6" s="12">
        <v>2014</v>
      </c>
      <c r="T6" s="12">
        <v>2015</v>
      </c>
      <c r="U6" s="12">
        <v>2016</v>
      </c>
      <c r="V6" s="12">
        <v>2017</v>
      </c>
      <c r="X6" s="19" t="s">
        <v>0</v>
      </c>
      <c r="Y6" s="41"/>
      <c r="Z6" s="41"/>
      <c r="AA6" s="41"/>
      <c r="AB6" s="41"/>
      <c r="AC6" s="41"/>
      <c r="AD6" s="41"/>
      <c r="AE6" s="41"/>
      <c r="AF6" s="41"/>
      <c r="AH6" s="56" t="s">
        <v>48</v>
      </c>
      <c r="AI6" s="57"/>
      <c r="AJ6" s="57"/>
      <c r="AK6" s="57"/>
      <c r="AL6" s="57"/>
      <c r="AM6" s="57"/>
      <c r="AN6" s="57"/>
      <c r="AO6" s="57"/>
      <c r="AP6" s="57"/>
      <c r="AQ6" s="57"/>
      <c r="AR6" s="61"/>
    </row>
    <row r="7" spans="1:44" ht="13.5" x14ac:dyDescent="0.25">
      <c r="A7" s="1"/>
      <c r="B7" s="1"/>
      <c r="C7" s="1"/>
      <c r="D7" s="4"/>
      <c r="E7" s="4"/>
      <c r="F7" s="4"/>
      <c r="G7" s="4"/>
      <c r="X7" s="22">
        <v>1998</v>
      </c>
      <c r="Y7" s="22">
        <v>1999</v>
      </c>
      <c r="Z7" s="22">
        <v>2000</v>
      </c>
      <c r="AA7" s="22">
        <v>2001</v>
      </c>
      <c r="AB7" s="22">
        <v>2002</v>
      </c>
      <c r="AC7" s="22">
        <v>2003</v>
      </c>
      <c r="AD7" s="22">
        <v>2004</v>
      </c>
      <c r="AE7" s="22">
        <v>2005</v>
      </c>
      <c r="AF7" s="22">
        <v>2006</v>
      </c>
      <c r="AG7" s="22">
        <v>2007</v>
      </c>
      <c r="AH7" s="62">
        <v>2008</v>
      </c>
      <c r="AI7" s="62">
        <v>2009</v>
      </c>
      <c r="AJ7" s="62">
        <v>2010</v>
      </c>
      <c r="AK7" s="62">
        <v>2011</v>
      </c>
      <c r="AL7" s="62">
        <v>2012</v>
      </c>
      <c r="AM7" s="62">
        <v>2013</v>
      </c>
      <c r="AN7" s="62">
        <v>2014</v>
      </c>
      <c r="AO7" s="62">
        <v>2015</v>
      </c>
      <c r="AP7" s="62">
        <v>2016</v>
      </c>
      <c r="AQ7" s="62">
        <v>2017</v>
      </c>
      <c r="AR7" s="49" t="s">
        <v>1</v>
      </c>
    </row>
    <row r="8" spans="1:44" ht="13.5" x14ac:dyDescent="0.25">
      <c r="A8" s="1"/>
      <c r="B8" s="1"/>
      <c r="C8" s="1"/>
      <c r="D8" s="4"/>
      <c r="E8" s="4"/>
      <c r="F8" s="4"/>
      <c r="G8" s="4"/>
      <c r="Z8" s="23"/>
      <c r="AA8" s="23"/>
      <c r="AB8" s="23"/>
      <c r="AC8" s="23"/>
      <c r="AD8" s="23"/>
      <c r="AE8" s="23"/>
      <c r="AF8" s="23"/>
      <c r="AG8" s="23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49" t="s">
        <v>49</v>
      </c>
    </row>
    <row r="9" spans="1:44" ht="13.5" x14ac:dyDescent="0.25">
      <c r="A9" s="1"/>
      <c r="B9" s="1"/>
      <c r="C9" s="1"/>
      <c r="D9" s="4"/>
      <c r="E9" s="4"/>
      <c r="F9" s="4"/>
      <c r="G9" s="4"/>
      <c r="Z9" s="23"/>
      <c r="AA9" s="23"/>
      <c r="AB9" s="23"/>
      <c r="AC9" s="23"/>
      <c r="AD9" s="23"/>
      <c r="AE9" s="23"/>
      <c r="AF9" s="23"/>
      <c r="AG9" s="23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ht="15" customHeight="1" x14ac:dyDescent="0.25">
      <c r="A10" s="1" t="s">
        <v>5</v>
      </c>
      <c r="B10" s="35">
        <v>5051.3561833450221</v>
      </c>
      <c r="C10" s="35">
        <v>5172.7878662502335</v>
      </c>
      <c r="D10" s="11">
        <f>5354.61061972205-183.742</f>
        <v>5170.8686197220495</v>
      </c>
      <c r="E10" s="11">
        <f>5738.43363220328-189.124</f>
        <v>5549.3096322032798</v>
      </c>
      <c r="F10" s="11">
        <f>6038.436-203.979</f>
        <v>5834.4569999999994</v>
      </c>
      <c r="G10" s="11">
        <f>6468.422-214.943</f>
        <v>6253.4789999999994</v>
      </c>
      <c r="H10" s="3">
        <f>6887.548-235.346</f>
        <v>6652.2019999999993</v>
      </c>
      <c r="I10" s="3">
        <v>7086.2460000000001</v>
      </c>
      <c r="J10" s="3">
        <v>7794.0540000000001</v>
      </c>
      <c r="K10" s="3">
        <v>8112.56</v>
      </c>
      <c r="L10" s="3">
        <v>8520.744999999999</v>
      </c>
      <c r="M10" s="3">
        <v>9336</v>
      </c>
      <c r="N10" s="3">
        <v>9514.4539999999997</v>
      </c>
      <c r="O10" s="3">
        <v>10752.913</v>
      </c>
      <c r="P10" s="3">
        <v>11363.047</v>
      </c>
      <c r="Q10" s="3">
        <v>11850.828</v>
      </c>
      <c r="R10" s="3">
        <v>12263.97</v>
      </c>
      <c r="S10" s="3">
        <v>12318.353999999999</v>
      </c>
      <c r="T10" s="3">
        <v>12292.356</v>
      </c>
      <c r="U10" s="3">
        <v>12431.61</v>
      </c>
      <c r="V10" s="3">
        <v>13492.449999999999</v>
      </c>
      <c r="W10" s="3"/>
      <c r="X10" s="18">
        <f t="shared" ref="X10:AL10" si="0">100*(C10-B10)/B10</f>
        <v>2.403942198841321</v>
      </c>
      <c r="Y10" s="18">
        <f t="shared" si="0"/>
        <v>-3.7102749577381036E-2</v>
      </c>
      <c r="Z10" s="18">
        <f t="shared" si="0"/>
        <v>7.3187125860794486</v>
      </c>
      <c r="AA10" s="18">
        <f t="shared" si="0"/>
        <v>5.1384295830597884</v>
      </c>
      <c r="AB10" s="18">
        <f t="shared" si="0"/>
        <v>7.1818508560436731</v>
      </c>
      <c r="AC10" s="18">
        <f t="shared" si="0"/>
        <v>6.3760188528657409</v>
      </c>
      <c r="AD10" s="18">
        <f t="shared" si="0"/>
        <v>6.5248168952175662</v>
      </c>
      <c r="AE10" s="18">
        <f t="shared" si="0"/>
        <v>9.9884762679703751</v>
      </c>
      <c r="AF10" s="18">
        <f t="shared" si="0"/>
        <v>4.0865254461927041</v>
      </c>
      <c r="AG10" s="18">
        <f t="shared" si="0"/>
        <v>5.031519027286067</v>
      </c>
      <c r="AH10" s="52">
        <f t="shared" si="0"/>
        <v>9.5678840289200195</v>
      </c>
      <c r="AI10" s="52">
        <f t="shared" si="0"/>
        <v>1.9114610111396715</v>
      </c>
      <c r="AJ10" s="52">
        <f t="shared" si="0"/>
        <v>13.016606102672847</v>
      </c>
      <c r="AK10" s="52">
        <f t="shared" si="0"/>
        <v>5.6741275596668546</v>
      </c>
      <c r="AL10" s="52">
        <f t="shared" si="0"/>
        <v>4.2926954363561025</v>
      </c>
      <c r="AM10" s="52">
        <f>100*(R10-Q10)/Q10</f>
        <v>3.4861867879611435</v>
      </c>
      <c r="AN10" s="52">
        <f>100*(S10-R10)/R10</f>
        <v>0.44344531175467666</v>
      </c>
      <c r="AO10" s="52">
        <f>100*(T10-S10)/S10</f>
        <v>-0.21105092449851331</v>
      </c>
      <c r="AP10" s="52">
        <f>100*(U10-T10)/T10</f>
        <v>1.1328503665204686</v>
      </c>
      <c r="AQ10" s="52">
        <f>100*(V10-U10)/U10</f>
        <v>8.5334079817497344</v>
      </c>
      <c r="AR10" s="53">
        <f>100*(EXP(LN(V10/L10)/10)-1)</f>
        <v>4.7035302558446235</v>
      </c>
    </row>
    <row r="11" spans="1:44" ht="15" customHeight="1" x14ac:dyDescent="0.25">
      <c r="A11" s="1" t="s">
        <v>6</v>
      </c>
      <c r="B11" s="35">
        <v>0.67275170584604416</v>
      </c>
      <c r="C11" s="35">
        <v>1.1773154852305772</v>
      </c>
      <c r="D11" s="11">
        <v>1.4393522746576113</v>
      </c>
      <c r="E11" s="11">
        <v>2.1664286807507236</v>
      </c>
      <c r="F11" s="11">
        <v>2.06</v>
      </c>
      <c r="G11" s="11">
        <v>2.8119999999999998</v>
      </c>
      <c r="H11" s="3">
        <v>3.7540000000000004</v>
      </c>
      <c r="I11" s="3">
        <v>4.024</v>
      </c>
      <c r="J11" s="3">
        <v>4.6319999999999997</v>
      </c>
      <c r="K11" s="3">
        <v>5.5549999999999997</v>
      </c>
      <c r="L11" s="3">
        <v>6.702</v>
      </c>
      <c r="M11" s="3">
        <v>8</v>
      </c>
      <c r="N11" s="3">
        <v>7.6</v>
      </c>
      <c r="O11" s="3">
        <v>9.3350000000000009</v>
      </c>
      <c r="P11" s="3">
        <v>10.956</v>
      </c>
      <c r="Q11" s="3">
        <v>10.611000000000001</v>
      </c>
      <c r="R11" s="3">
        <v>10.69</v>
      </c>
      <c r="S11" s="3">
        <v>10.365</v>
      </c>
      <c r="T11" s="3">
        <v>6.2759999999999998</v>
      </c>
      <c r="U11" s="3">
        <v>7.32</v>
      </c>
      <c r="V11" s="3">
        <v>8.6039999999999992</v>
      </c>
      <c r="Z11" s="23"/>
      <c r="AA11" s="23"/>
      <c r="AB11" s="23"/>
      <c r="AC11" s="23"/>
      <c r="AD11" s="23"/>
      <c r="AE11" s="23"/>
      <c r="AF11" s="23"/>
      <c r="AG11" s="23"/>
      <c r="AH11" s="50"/>
      <c r="AI11" s="50"/>
      <c r="AJ11" s="50"/>
      <c r="AK11" s="50"/>
      <c r="AL11" s="50"/>
      <c r="AM11" s="52"/>
      <c r="AN11" s="52"/>
      <c r="AO11" s="52"/>
      <c r="AP11" s="52"/>
      <c r="AQ11" s="52"/>
      <c r="AR11" s="53"/>
    </row>
    <row r="12" spans="1:44" ht="15" customHeight="1" x14ac:dyDescent="0.25">
      <c r="A12" s="1" t="s">
        <v>7</v>
      </c>
      <c r="B12" s="35">
        <v>-4727.2580490536902</v>
      </c>
      <c r="C12" s="35">
        <v>-4901.5007408678157</v>
      </c>
      <c r="D12" s="11">
        <f>-5049.40671708941+183.742</f>
        <v>-4865.6647170894103</v>
      </c>
      <c r="E12" s="11">
        <f>-5478.48910058143+189.124</f>
        <v>-5289.3651005814299</v>
      </c>
      <c r="F12" s="11">
        <f>-5768.048+203.979</f>
        <v>-5564.0689999999995</v>
      </c>
      <c r="G12" s="11">
        <f>-6162.942+214.943</f>
        <v>-5947.9989999999998</v>
      </c>
      <c r="H12" s="3">
        <f>-6533.734+235.346</f>
        <v>-6298.3880000000008</v>
      </c>
      <c r="I12" s="3">
        <v>-6726.91</v>
      </c>
      <c r="J12" s="3">
        <v>-7411.9449999999997</v>
      </c>
      <c r="K12" s="3">
        <v>-7712.4589999999998</v>
      </c>
      <c r="L12" s="3">
        <v>-8130.07</v>
      </c>
      <c r="M12" s="3">
        <v>-8835.56</v>
      </c>
      <c r="N12" s="3">
        <v>-8988.7929999999997</v>
      </c>
      <c r="O12" s="3">
        <v>-10119.41</v>
      </c>
      <c r="P12" s="3">
        <v>-10796.619000000001</v>
      </c>
      <c r="Q12" s="3">
        <v>-11317.481</v>
      </c>
      <c r="R12" s="3">
        <v>-11551.63</v>
      </c>
      <c r="S12" s="3">
        <v>-11568.598</v>
      </c>
      <c r="T12" s="3">
        <v>-11426.09</v>
      </c>
      <c r="U12" s="3">
        <v>-11644.2</v>
      </c>
      <c r="V12" s="3">
        <v>-12746.526</v>
      </c>
      <c r="W12" s="3"/>
      <c r="X12" s="18">
        <f t="shared" ref="X12:AL13" si="1">100*(C12-B12)/B12</f>
        <v>3.6859145408617082</v>
      </c>
      <c r="Y12" s="18">
        <f t="shared" si="1"/>
        <v>-0.73112350018865102</v>
      </c>
      <c r="Z12" s="18">
        <f t="shared" si="1"/>
        <v>8.707965059817619</v>
      </c>
      <c r="AA12" s="18">
        <f t="shared" si="1"/>
        <v>5.1935136674224456</v>
      </c>
      <c r="AB12" s="18">
        <f t="shared" si="1"/>
        <v>6.9001660475454267</v>
      </c>
      <c r="AC12" s="18">
        <f t="shared" si="1"/>
        <v>5.8908718713638155</v>
      </c>
      <c r="AD12" s="18">
        <f t="shared" si="1"/>
        <v>6.8036773853881183</v>
      </c>
      <c r="AE12" s="18">
        <f t="shared" si="1"/>
        <v>10.183501786109817</v>
      </c>
      <c r="AF12" s="18">
        <f t="shared" si="1"/>
        <v>4.0544553420188647</v>
      </c>
      <c r="AG12" s="18">
        <f t="shared" si="1"/>
        <v>5.4147581205942217</v>
      </c>
      <c r="AH12" s="52">
        <f t="shared" si="1"/>
        <v>8.6775390617792922</v>
      </c>
      <c r="AI12" s="52">
        <f t="shared" si="1"/>
        <v>1.7342760390965619</v>
      </c>
      <c r="AJ12" s="52">
        <f t="shared" si="1"/>
        <v>12.578073607880393</v>
      </c>
      <c r="AK12" s="52">
        <f t="shared" si="1"/>
        <v>6.6921786942124175</v>
      </c>
      <c r="AL12" s="52">
        <f t="shared" si="1"/>
        <v>4.8243065722704408</v>
      </c>
      <c r="AM12" s="52">
        <f t="shared" ref="AM12:AP13" si="2">100*(R12-Q12)/Q12</f>
        <v>2.0689144518996714</v>
      </c>
      <c r="AN12" s="52">
        <f t="shared" si="2"/>
        <v>0.14688836120963672</v>
      </c>
      <c r="AO12" s="52">
        <f t="shared" si="2"/>
        <v>-1.2318519495620801</v>
      </c>
      <c r="AP12" s="52">
        <f t="shared" si="2"/>
        <v>1.9088769649110113</v>
      </c>
      <c r="AQ12" s="52">
        <f>100*(V12-U12)/U12</f>
        <v>9.4667388055856065</v>
      </c>
      <c r="AR12" s="53">
        <f>100*(EXP(LN(V12/L12)/10)-1)</f>
        <v>4.5995353035375386</v>
      </c>
    </row>
    <row r="13" spans="1:44" s="29" customFormat="1" ht="19.5" customHeight="1" x14ac:dyDescent="0.25">
      <c r="A13" s="29" t="s">
        <v>8</v>
      </c>
      <c r="B13" s="30">
        <f t="shared" ref="B13:I13" si="3">B12+B11</f>
        <v>-4726.5852973478441</v>
      </c>
      <c r="C13" s="30">
        <f t="shared" si="3"/>
        <v>-4900.3234253825849</v>
      </c>
      <c r="D13" s="30">
        <f t="shared" si="3"/>
        <v>-4864.2253648147525</v>
      </c>
      <c r="E13" s="30">
        <f t="shared" si="3"/>
        <v>-5287.1986719006791</v>
      </c>
      <c r="F13" s="30">
        <f t="shared" si="3"/>
        <v>-5562.0089999999991</v>
      </c>
      <c r="G13" s="30">
        <f t="shared" si="3"/>
        <v>-5945.1869999999999</v>
      </c>
      <c r="H13" s="30">
        <f t="shared" si="3"/>
        <v>-6294.6340000000009</v>
      </c>
      <c r="I13" s="30">
        <f t="shared" si="3"/>
        <v>-6722.8859999999995</v>
      </c>
      <c r="J13" s="30">
        <v>-7407.3130000000001</v>
      </c>
      <c r="K13" s="30">
        <v>-7706.9039999999995</v>
      </c>
      <c r="L13" s="30">
        <v>-8123.3679999999995</v>
      </c>
      <c r="M13" s="30">
        <v>-8827.56</v>
      </c>
      <c r="N13" s="30">
        <v>-8981.1929999999993</v>
      </c>
      <c r="O13" s="30">
        <v>-10110.075000000001</v>
      </c>
      <c r="P13" s="30">
        <v>-10785.663</v>
      </c>
      <c r="Q13" s="30">
        <v>-11306.869999999999</v>
      </c>
      <c r="R13" s="30">
        <f>R12+R11</f>
        <v>-11540.939999999999</v>
      </c>
      <c r="S13" s="30">
        <f>S12+S11</f>
        <v>-11558.233</v>
      </c>
      <c r="T13" s="30">
        <f>T12+T11</f>
        <v>-11419.814</v>
      </c>
      <c r="U13" s="30">
        <f>U12+U11</f>
        <v>-11636.880000000001</v>
      </c>
      <c r="V13" s="30">
        <f>V12+V11</f>
        <v>-12737.922</v>
      </c>
      <c r="X13" s="18">
        <f t="shared" si="1"/>
        <v>3.6757641532932417</v>
      </c>
      <c r="Y13" s="18">
        <f t="shared" si="1"/>
        <v>-0.73664649114489955</v>
      </c>
      <c r="Z13" s="18">
        <f t="shared" si="1"/>
        <v>8.6955943724460809</v>
      </c>
      <c r="AA13" s="18">
        <f t="shared" si="1"/>
        <v>5.19765465897519</v>
      </c>
      <c r="AB13" s="18">
        <f t="shared" si="1"/>
        <v>6.8892013659093472</v>
      </c>
      <c r="AC13" s="18">
        <f t="shared" si="1"/>
        <v>5.8778134312680326</v>
      </c>
      <c r="AD13" s="18">
        <f t="shared" si="1"/>
        <v>6.8034456014440003</v>
      </c>
      <c r="AE13" s="18">
        <f t="shared" si="1"/>
        <v>10.180553411139213</v>
      </c>
      <c r="AF13" s="18">
        <f t="shared" si="1"/>
        <v>4.0445300475354484</v>
      </c>
      <c r="AG13" s="18">
        <f t="shared" si="1"/>
        <v>5.403778222746773</v>
      </c>
      <c r="AH13" s="52">
        <f t="shared" si="1"/>
        <v>8.6687196739086545</v>
      </c>
      <c r="AI13" s="52">
        <f t="shared" si="1"/>
        <v>1.7403789948751389</v>
      </c>
      <c r="AJ13" s="52">
        <f t="shared" si="1"/>
        <v>12.569399187836199</v>
      </c>
      <c r="AK13" s="52">
        <f t="shared" si="1"/>
        <v>6.6823243151015168</v>
      </c>
      <c r="AL13" s="52">
        <f t="shared" si="1"/>
        <v>4.8324057593863126</v>
      </c>
      <c r="AM13" s="52">
        <f t="shared" si="2"/>
        <v>2.070157346816579</v>
      </c>
      <c r="AN13" s="52">
        <f t="shared" si="2"/>
        <v>0.14984048093137547</v>
      </c>
      <c r="AO13" s="52">
        <f t="shared" si="2"/>
        <v>-1.1975792493541173</v>
      </c>
      <c r="AP13" s="52">
        <f t="shared" si="2"/>
        <v>1.9007840232774431</v>
      </c>
      <c r="AQ13" s="52">
        <f>100*(V13-U13)/U13</f>
        <v>9.4616598263452012</v>
      </c>
      <c r="AR13" s="53">
        <f>100*(EXP(LN(V13/L13)/10)-1)</f>
        <v>4.6010985734495913</v>
      </c>
    </row>
    <row r="14" spans="1:44" ht="13.5" x14ac:dyDescent="0.25">
      <c r="A14" s="1"/>
      <c r="B14" s="35"/>
      <c r="C14" s="35"/>
      <c r="D14" s="11"/>
      <c r="E14" s="11"/>
      <c r="F14" s="11"/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Z14" s="23"/>
      <c r="AA14" s="23"/>
      <c r="AB14" s="23"/>
      <c r="AC14" s="23"/>
      <c r="AD14" s="23"/>
      <c r="AE14" s="23"/>
      <c r="AF14" s="23"/>
      <c r="AG14" s="2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3"/>
    </row>
    <row r="15" spans="1:44" ht="13.5" x14ac:dyDescent="0.25">
      <c r="A15" s="8" t="s">
        <v>9</v>
      </c>
      <c r="B15" s="10">
        <f>B10+B11+B12</f>
        <v>324.77088599717808</v>
      </c>
      <c r="C15" s="10">
        <f>C10+C11+C12</f>
        <v>272.46444086764859</v>
      </c>
      <c r="D15" s="10">
        <f t="shared" ref="D15:I15" si="4">D10+D11+D12</f>
        <v>306.64325490729698</v>
      </c>
      <c r="E15" s="10">
        <f t="shared" si="4"/>
        <v>262.11096030260069</v>
      </c>
      <c r="F15" s="10">
        <f t="shared" si="4"/>
        <v>272.44800000000032</v>
      </c>
      <c r="G15" s="10">
        <f t="shared" si="4"/>
        <v>308.29199999999946</v>
      </c>
      <c r="H15" s="10">
        <f t="shared" si="4"/>
        <v>357.56799999999839</v>
      </c>
      <c r="I15" s="10">
        <f t="shared" si="4"/>
        <v>363.36000000000058</v>
      </c>
      <c r="J15" s="10">
        <v>386.74099999999999</v>
      </c>
      <c r="K15" s="10">
        <v>405.65600000000086</v>
      </c>
      <c r="L15" s="10">
        <v>397.37699999999859</v>
      </c>
      <c r="M15" s="10">
        <v>508.44000000000051</v>
      </c>
      <c r="N15" s="10">
        <v>533.26100000000042</v>
      </c>
      <c r="O15" s="10">
        <v>642.83799999999974</v>
      </c>
      <c r="P15" s="10">
        <v>577.38400000000001</v>
      </c>
      <c r="Q15" s="10">
        <v>543.95800000000054</v>
      </c>
      <c r="R15" s="10">
        <f>R13+R10</f>
        <v>723.03000000000065</v>
      </c>
      <c r="S15" s="10">
        <f>S13+S10</f>
        <v>760.12099999999919</v>
      </c>
      <c r="T15" s="10">
        <f>T13+T10</f>
        <v>872.54199999999946</v>
      </c>
      <c r="U15" s="10">
        <f>U13+U10</f>
        <v>794.72999999999956</v>
      </c>
      <c r="V15" s="10">
        <f>V13+V10</f>
        <v>754.52799999999843</v>
      </c>
      <c r="X15" s="18">
        <f t="shared" ref="X15:AP15" si="5">100*(C15-B15)/B15</f>
        <v>-16.105644743655986</v>
      </c>
      <c r="Y15" s="18">
        <f t="shared" si="5"/>
        <v>12.544320987651732</v>
      </c>
      <c r="Z15" s="18">
        <f t="shared" si="5"/>
        <v>-14.52250910203751</v>
      </c>
      <c r="AA15" s="18">
        <f t="shared" si="5"/>
        <v>3.9437647649170309</v>
      </c>
      <c r="AB15" s="18">
        <f t="shared" si="5"/>
        <v>13.156272022550763</v>
      </c>
      <c r="AC15" s="18">
        <f t="shared" si="5"/>
        <v>15.983548064821344</v>
      </c>
      <c r="AD15" s="18">
        <f t="shared" si="5"/>
        <v>1.6198317522827033</v>
      </c>
      <c r="AE15" s="18">
        <f t="shared" si="5"/>
        <v>6.4346653456625296</v>
      </c>
      <c r="AF15" s="18">
        <f t="shared" si="5"/>
        <v>4.8908701172104516</v>
      </c>
      <c r="AG15" s="18">
        <f t="shared" si="5"/>
        <v>-2.0408917900887089</v>
      </c>
      <c r="AH15" s="64">
        <f t="shared" si="5"/>
        <v>27.949025736266144</v>
      </c>
      <c r="AI15" s="64">
        <f t="shared" si="5"/>
        <v>4.881795295413399</v>
      </c>
      <c r="AJ15" s="64">
        <f t="shared" si="5"/>
        <v>20.548474386838571</v>
      </c>
      <c r="AK15" s="64">
        <f t="shared" si="5"/>
        <v>-10.182036531754463</v>
      </c>
      <c r="AL15" s="64">
        <f t="shared" si="5"/>
        <v>-5.7892148033197097</v>
      </c>
      <c r="AM15" s="64">
        <f t="shared" si="5"/>
        <v>32.920188691038632</v>
      </c>
      <c r="AN15" s="64">
        <f t="shared" si="5"/>
        <v>5.1299392832937079</v>
      </c>
      <c r="AO15" s="64">
        <f t="shared" si="5"/>
        <v>14.789882137186105</v>
      </c>
      <c r="AP15" s="64">
        <f t="shared" si="5"/>
        <v>-8.9178515188953593</v>
      </c>
      <c r="AQ15" s="64">
        <f>100*(V15-U15)/U15</f>
        <v>-5.0585733519561558</v>
      </c>
      <c r="AR15" s="53">
        <f>100*(EXP(LN(V15/L15)/10)-1)</f>
        <v>6.6221077049929633</v>
      </c>
    </row>
    <row r="16" spans="1:44" ht="13.5" x14ac:dyDescent="0.25">
      <c r="A16" s="1"/>
      <c r="B16" s="35"/>
      <c r="C16" s="35"/>
      <c r="D16" s="11"/>
      <c r="E16" s="11"/>
      <c r="F16" s="11"/>
      <c r="G16" s="1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Z16" s="23"/>
      <c r="AA16" s="23"/>
      <c r="AB16" s="23"/>
      <c r="AC16" s="23"/>
      <c r="AD16" s="23"/>
      <c r="AE16" s="23"/>
      <c r="AF16" s="23"/>
      <c r="AG16" s="23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3"/>
    </row>
    <row r="17" spans="1:44" ht="15" customHeight="1" x14ac:dyDescent="0.25">
      <c r="A17" s="1" t="s">
        <v>10</v>
      </c>
      <c r="B17" s="35"/>
      <c r="C17" s="35"/>
      <c r="D17" s="11"/>
      <c r="E17" s="11"/>
      <c r="F17" s="11"/>
      <c r="G17" s="1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Z17" s="18"/>
      <c r="AA17" s="18"/>
      <c r="AB17" s="18"/>
      <c r="AC17" s="18"/>
      <c r="AD17" s="18"/>
      <c r="AE17" s="18"/>
      <c r="AF17" s="18"/>
      <c r="AG17" s="18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</row>
    <row r="18" spans="1:44" ht="15" customHeight="1" x14ac:dyDescent="0.25">
      <c r="A18" s="1" t="s">
        <v>11</v>
      </c>
      <c r="B18" s="35"/>
      <c r="C18" s="35"/>
      <c r="D18" s="11"/>
      <c r="E18" s="11"/>
      <c r="F18" s="11"/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Z18" s="18"/>
      <c r="AA18" s="18"/>
      <c r="AB18" s="18"/>
      <c r="AC18" s="18"/>
      <c r="AD18" s="18"/>
      <c r="AE18" s="18"/>
      <c r="AF18" s="18"/>
      <c r="AG18" s="18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</row>
    <row r="19" spans="1:44" ht="15" customHeight="1" x14ac:dyDescent="0.25">
      <c r="A19" s="1"/>
      <c r="B19" s="35"/>
      <c r="C19" s="35"/>
      <c r="D19" s="11"/>
      <c r="E19" s="11"/>
      <c r="F19" s="11"/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Z19" s="23"/>
      <c r="AA19" s="23"/>
      <c r="AB19" s="23"/>
      <c r="AC19" s="23"/>
      <c r="AD19" s="23"/>
      <c r="AE19" s="23"/>
      <c r="AF19" s="23"/>
      <c r="AG19" s="23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3"/>
    </row>
    <row r="20" spans="1:44" ht="15" customHeight="1" x14ac:dyDescent="0.25">
      <c r="A20" s="1" t="s">
        <v>12</v>
      </c>
      <c r="B20" s="35"/>
      <c r="C20" s="35"/>
      <c r="D20" s="11"/>
      <c r="E20" s="11"/>
      <c r="F20" s="11"/>
      <c r="G20" s="1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Z20" s="23"/>
      <c r="AA20" s="23"/>
      <c r="AB20" s="23"/>
      <c r="AC20" s="23"/>
      <c r="AD20" s="23"/>
      <c r="AE20" s="23"/>
      <c r="AF20" s="23"/>
      <c r="AG20" s="2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3"/>
    </row>
    <row r="21" spans="1:44" ht="15" customHeight="1" x14ac:dyDescent="0.25">
      <c r="A21" s="1" t="s">
        <v>13</v>
      </c>
      <c r="B21" s="35">
        <v>8.9139601024600843</v>
      </c>
      <c r="C21" s="35">
        <v>9.2503359553831057</v>
      </c>
      <c r="D21" s="11">
        <v>9.4082644183304662</v>
      </c>
      <c r="E21" s="11">
        <v>19.241539726829171</v>
      </c>
      <c r="F21" s="11">
        <v>19.231000000000002</v>
      </c>
      <c r="G21" s="11">
        <v>14.669</v>
      </c>
      <c r="H21" s="3">
        <v>12.83</v>
      </c>
      <c r="I21" s="3">
        <v>12.09</v>
      </c>
      <c r="J21" s="3">
        <v>12.182</v>
      </c>
      <c r="K21" s="3">
        <v>20.637</v>
      </c>
      <c r="L21" s="3">
        <v>23.866</v>
      </c>
      <c r="M21" s="3">
        <v>29</v>
      </c>
      <c r="N21" s="3">
        <v>13.625</v>
      </c>
      <c r="O21" s="3">
        <v>7.484</v>
      </c>
      <c r="P21" s="3">
        <v>12.535</v>
      </c>
      <c r="Q21" s="3">
        <v>9.3109999999999999</v>
      </c>
      <c r="R21" s="3">
        <v>7.01</v>
      </c>
      <c r="S21" s="3">
        <v>5.8410000000000002</v>
      </c>
      <c r="T21" s="3">
        <v>4.2080000000000002</v>
      </c>
      <c r="U21" s="3">
        <v>4.26</v>
      </c>
      <c r="V21" s="3">
        <v>3.8200000000000003</v>
      </c>
      <c r="X21" s="18">
        <f t="shared" ref="X21:AP21" si="6">100*(C21-B21)/B21</f>
        <v>3.7735849056603703</v>
      </c>
      <c r="Y21" s="18">
        <f t="shared" si="6"/>
        <v>1.7072727272727453</v>
      </c>
      <c r="Z21" s="18">
        <f t="shared" si="6"/>
        <v>104.51742076190135</v>
      </c>
      <c r="AA21" s="18">
        <f t="shared" si="6"/>
        <v>-5.477590140290596E-2</v>
      </c>
      <c r="AB21" s="18">
        <f t="shared" si="6"/>
        <v>-23.722115334615989</v>
      </c>
      <c r="AC21" s="18">
        <f t="shared" si="6"/>
        <v>-12.536641897879885</v>
      </c>
      <c r="AD21" s="18">
        <f t="shared" si="6"/>
        <v>-5.7677318784099789</v>
      </c>
      <c r="AE21" s="18">
        <f t="shared" si="6"/>
        <v>0.7609594706368944</v>
      </c>
      <c r="AF21" s="18">
        <f t="shared" si="6"/>
        <v>69.405680512231157</v>
      </c>
      <c r="AG21" s="18">
        <f t="shared" si="6"/>
        <v>15.646654067936227</v>
      </c>
      <c r="AH21" s="52">
        <f t="shared" si="6"/>
        <v>21.511774071901453</v>
      </c>
      <c r="AI21" s="52">
        <f t="shared" si="6"/>
        <v>-53.017241379310342</v>
      </c>
      <c r="AJ21" s="52">
        <f t="shared" si="6"/>
        <v>-45.071559633027526</v>
      </c>
      <c r="AK21" s="52">
        <f t="shared" si="6"/>
        <v>67.490646712987711</v>
      </c>
      <c r="AL21" s="52">
        <f t="shared" si="6"/>
        <v>-25.719984044674913</v>
      </c>
      <c r="AM21" s="52">
        <f t="shared" si="6"/>
        <v>-24.712705402212439</v>
      </c>
      <c r="AN21" s="52">
        <f t="shared" si="6"/>
        <v>-16.676176890156913</v>
      </c>
      <c r="AO21" s="52">
        <f t="shared" si="6"/>
        <v>-27.95754151686355</v>
      </c>
      <c r="AP21" s="52">
        <f t="shared" si="6"/>
        <v>1.2357414448669106</v>
      </c>
      <c r="AQ21" s="52">
        <f>100*(V21-U21)/U21</f>
        <v>-10.328638497652571</v>
      </c>
      <c r="AR21" s="53">
        <f>100*(EXP(LN(V21/L21)/10)-1)</f>
        <v>-16.741540188485015</v>
      </c>
    </row>
    <row r="22" spans="1:44" ht="15" customHeight="1" x14ac:dyDescent="0.25">
      <c r="A22" s="1" t="s">
        <v>14</v>
      </c>
      <c r="B22" s="35">
        <v>5.2138257203068417</v>
      </c>
      <c r="C22" s="35">
        <v>6.2229532790759077</v>
      </c>
      <c r="D22" s="11">
        <v>7.1932294268323647</v>
      </c>
      <c r="E22" s="11">
        <v>4.764259392875223</v>
      </c>
      <c r="F22" s="11">
        <v>6.5650000000000004</v>
      </c>
      <c r="G22" s="11">
        <v>4.6390000000000002</v>
      </c>
      <c r="H22" s="3">
        <v>3.7519999999999998</v>
      </c>
      <c r="I22" s="3">
        <v>3.266</v>
      </c>
      <c r="J22" s="3">
        <v>4.5869999999999997</v>
      </c>
      <c r="K22" s="3">
        <v>5.2510000000000003</v>
      </c>
      <c r="L22" s="3">
        <v>8.1820000000000004</v>
      </c>
      <c r="M22" s="3">
        <v>6.49</v>
      </c>
      <c r="N22" s="3">
        <v>5.242</v>
      </c>
      <c r="O22" s="3">
        <v>9.2439999999999998</v>
      </c>
      <c r="P22" s="3">
        <v>12.276</v>
      </c>
      <c r="Q22" s="3">
        <v>11.611000000000001</v>
      </c>
      <c r="R22" s="3">
        <v>13.43</v>
      </c>
      <c r="S22" s="3">
        <v>13.074</v>
      </c>
      <c r="T22" s="3">
        <v>30.37</v>
      </c>
      <c r="U22" s="3">
        <v>18.57</v>
      </c>
      <c r="V22" s="3">
        <v>23.237000000000002</v>
      </c>
      <c r="Z22" s="23"/>
      <c r="AA22" s="23"/>
      <c r="AB22" s="23"/>
      <c r="AC22" s="23"/>
      <c r="AD22" s="23"/>
      <c r="AE22" s="23"/>
      <c r="AF22" s="23"/>
      <c r="AG22" s="23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3"/>
    </row>
    <row r="23" spans="1:44" ht="15" customHeight="1" x14ac:dyDescent="0.25">
      <c r="A23" s="1" t="s">
        <v>15</v>
      </c>
      <c r="B23" s="35">
        <v>-60.715841452605481</v>
      </c>
      <c r="C23" s="35">
        <v>-57.856646702759797</v>
      </c>
      <c r="D23" s="11">
        <v>-48.55047235579147</v>
      </c>
      <c r="E23" s="11">
        <v>-39.493552515839099</v>
      </c>
      <c r="F23" s="11">
        <v>-38.015000000000001</v>
      </c>
      <c r="G23" s="11">
        <v>-19.631</v>
      </c>
      <c r="H23" s="3">
        <v>-17.603999999999999</v>
      </c>
      <c r="I23" s="3">
        <v>-14.77</v>
      </c>
      <c r="J23" s="3">
        <v>-16.724</v>
      </c>
      <c r="K23" s="3">
        <v>-21.233000000000001</v>
      </c>
      <c r="L23" s="3">
        <v>-32.837000000000003</v>
      </c>
      <c r="M23" s="3">
        <v>-40</v>
      </c>
      <c r="N23" s="3">
        <v>-32.622999999999998</v>
      </c>
      <c r="O23" s="3">
        <v>-84.433000000000007</v>
      </c>
      <c r="P23" s="3">
        <v>-95.98</v>
      </c>
      <c r="Q23" s="3">
        <v>-97.728999999999999</v>
      </c>
      <c r="R23" s="3">
        <v>-97.11</v>
      </c>
      <c r="S23" s="3">
        <v>-97.091999999999999</v>
      </c>
      <c r="T23" s="3">
        <v>-96.662000000000006</v>
      </c>
      <c r="U23" s="3">
        <v>-90.51</v>
      </c>
      <c r="V23" s="3">
        <v>-85.95</v>
      </c>
      <c r="X23" s="18">
        <f t="shared" ref="X23:AP23" si="7">100*(C23-B23)/B23</f>
        <v>-4.7091412742382222</v>
      </c>
      <c r="Y23" s="18">
        <f t="shared" si="7"/>
        <v>-16.084883720930229</v>
      </c>
      <c r="Z23" s="18">
        <f t="shared" si="7"/>
        <v>-18.654648246428426</v>
      </c>
      <c r="AA23" s="18">
        <f t="shared" si="7"/>
        <v>-3.7437820141556446</v>
      </c>
      <c r="AB23" s="18">
        <f t="shared" si="7"/>
        <v>-48.359857950808895</v>
      </c>
      <c r="AC23" s="18">
        <f t="shared" si="7"/>
        <v>-10.325505577912491</v>
      </c>
      <c r="AD23" s="18">
        <f t="shared" si="7"/>
        <v>-16.098613951374688</v>
      </c>
      <c r="AE23" s="18">
        <f t="shared" si="7"/>
        <v>13.229519295870011</v>
      </c>
      <c r="AF23" s="18">
        <f t="shared" si="7"/>
        <v>26.961253288686919</v>
      </c>
      <c r="AG23" s="18">
        <f t="shared" si="7"/>
        <v>54.650779447087096</v>
      </c>
      <c r="AH23" s="52">
        <f t="shared" si="7"/>
        <v>21.813807595090893</v>
      </c>
      <c r="AI23" s="52">
        <f t="shared" si="7"/>
        <v>-18.442500000000006</v>
      </c>
      <c r="AJ23" s="52">
        <f t="shared" si="7"/>
        <v>158.81433344572852</v>
      </c>
      <c r="AK23" s="52">
        <f t="shared" si="7"/>
        <v>13.675932396101047</v>
      </c>
      <c r="AL23" s="52">
        <f t="shared" si="7"/>
        <v>1.8222546363825747</v>
      </c>
      <c r="AM23" s="52">
        <f t="shared" si="7"/>
        <v>-0.63338415414053129</v>
      </c>
      <c r="AN23" s="52">
        <f t="shared" si="7"/>
        <v>-1.8535681186284299E-2</v>
      </c>
      <c r="AO23" s="52">
        <f t="shared" si="7"/>
        <v>-0.44287891896344972</v>
      </c>
      <c r="AP23" s="52">
        <f t="shared" si="7"/>
        <v>-6.3644451801121438</v>
      </c>
      <c r="AQ23" s="52">
        <f>100*(V23-U23)/U23</f>
        <v>-5.0381173351010959</v>
      </c>
      <c r="AR23" s="53">
        <f>100*(EXP(LN(V23/L23)/10)-1)</f>
        <v>10.100233698747996</v>
      </c>
    </row>
    <row r="24" spans="1:44" ht="15" customHeight="1" x14ac:dyDescent="0.25">
      <c r="A24" s="1" t="s">
        <v>16</v>
      </c>
      <c r="B24" s="35">
        <v>-9.7548997347676405</v>
      </c>
      <c r="C24" s="35">
        <v>-12.614094484613327</v>
      </c>
      <c r="D24" s="11">
        <v>-19.592884305207267</v>
      </c>
      <c r="E24" s="11">
        <v>-42.696187011519193</v>
      </c>
      <c r="F24" s="11">
        <v>-28.494</v>
      </c>
      <c r="G24" s="11">
        <v>-26.917999999999999</v>
      </c>
      <c r="H24" s="3">
        <v>-25.553000000000001</v>
      </c>
      <c r="I24" s="3">
        <v>-31.225000000000001</v>
      </c>
      <c r="J24" s="3">
        <v>-31.837</v>
      </c>
      <c r="K24" s="3">
        <v>-33.307000000000002</v>
      </c>
      <c r="L24" s="3">
        <v>-34.055</v>
      </c>
      <c r="M24" s="3">
        <v>-39</v>
      </c>
      <c r="N24" s="3">
        <v>-30.532</v>
      </c>
      <c r="O24" s="3">
        <v>-30.047000000000001</v>
      </c>
      <c r="P24" s="3">
        <v>-31.992999999999999</v>
      </c>
      <c r="Q24" s="3">
        <v>-28.51</v>
      </c>
      <c r="R24" s="3">
        <v>-26.72</v>
      </c>
      <c r="S24" s="3">
        <v>-29.628</v>
      </c>
      <c r="T24" s="3">
        <v>-25.085000000000001</v>
      </c>
      <c r="U24" s="3">
        <v>-22.69</v>
      </c>
      <c r="V24" s="3">
        <v>-21.814</v>
      </c>
      <c r="Z24" s="23"/>
      <c r="AA24" s="23"/>
      <c r="AB24" s="23"/>
      <c r="AC24" s="23"/>
      <c r="AD24" s="23"/>
      <c r="AE24" s="23"/>
      <c r="AF24" s="23"/>
      <c r="AG24" s="23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3"/>
    </row>
    <row r="25" spans="1:44" ht="13.5" x14ac:dyDescent="0.25">
      <c r="A25" s="1"/>
      <c r="B25" s="35"/>
      <c r="C25" s="35"/>
      <c r="D25" s="11"/>
      <c r="E25" s="11"/>
      <c r="F25" s="11"/>
      <c r="G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Z25" s="23"/>
      <c r="AA25" s="23"/>
      <c r="AB25" s="23"/>
      <c r="AC25" s="23"/>
      <c r="AD25" s="23"/>
      <c r="AE25" s="23"/>
      <c r="AF25" s="23"/>
      <c r="AG25" s="23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3"/>
    </row>
    <row r="26" spans="1:44" ht="13.5" x14ac:dyDescent="0.25">
      <c r="A26" s="8" t="s">
        <v>17</v>
      </c>
      <c r="B26" s="10">
        <f>B15+B21+B22+B23+B24</f>
        <v>268.42793063257182</v>
      </c>
      <c r="C26" s="10">
        <f>C15+C21+C22+C23+C24</f>
        <v>217.46698891473446</v>
      </c>
      <c r="D26" s="10">
        <f t="shared" ref="D26:I26" si="8">D15+D21+D22+D23+D24</f>
        <v>255.10139209146107</v>
      </c>
      <c r="E26" s="10">
        <f t="shared" si="8"/>
        <v>203.92701989494677</v>
      </c>
      <c r="F26" s="10">
        <f t="shared" si="8"/>
        <v>231.73500000000033</v>
      </c>
      <c r="G26" s="10">
        <f t="shared" si="8"/>
        <v>281.05099999999948</v>
      </c>
      <c r="H26" s="10">
        <f t="shared" si="8"/>
        <v>330.9929999999984</v>
      </c>
      <c r="I26" s="10">
        <f t="shared" si="8"/>
        <v>332.72100000000057</v>
      </c>
      <c r="J26" s="10">
        <v>354.94900000000001</v>
      </c>
      <c r="K26" s="10">
        <v>377.00400000000081</v>
      </c>
      <c r="L26" s="10">
        <v>362.53299999999859</v>
      </c>
      <c r="M26" s="10">
        <v>464.93000000000052</v>
      </c>
      <c r="N26" s="10">
        <v>488.97300000000035</v>
      </c>
      <c r="O26" s="10">
        <v>545.08599999999979</v>
      </c>
      <c r="P26" s="10">
        <v>474.22199999999992</v>
      </c>
      <c r="Q26" s="10">
        <v>438.64100000000059</v>
      </c>
      <c r="R26" s="10">
        <f>R15+R21+R22+R23+R24</f>
        <v>619.64000000000055</v>
      </c>
      <c r="S26" s="10">
        <f>S15+S21+S22+S23+S24</f>
        <v>652.31599999999912</v>
      </c>
      <c r="T26" s="10">
        <f>T15+T21+T22+T23+T24</f>
        <v>785.37299999999937</v>
      </c>
      <c r="U26" s="10">
        <f>U15+U21+U22+U23+U24</f>
        <v>704.35999999999956</v>
      </c>
      <c r="V26" s="10">
        <f>V15+V21+V22+V23+V24</f>
        <v>673.82099999999843</v>
      </c>
      <c r="X26" s="18">
        <f t="shared" ref="X26:AP26" si="9">100*(C26-B26)/B26</f>
        <v>-18.984962406014844</v>
      </c>
      <c r="Y26" s="18">
        <f t="shared" si="9"/>
        <v>17.305800464033876</v>
      </c>
      <c r="Z26" s="18">
        <f t="shared" si="9"/>
        <v>-20.060404914672844</v>
      </c>
      <c r="AA26" s="18">
        <f t="shared" si="9"/>
        <v>13.636241102027023</v>
      </c>
      <c r="AB26" s="18">
        <f t="shared" si="9"/>
        <v>21.281204824475836</v>
      </c>
      <c r="AC26" s="18">
        <f t="shared" si="9"/>
        <v>17.769728625765079</v>
      </c>
      <c r="AD26" s="18">
        <f t="shared" si="9"/>
        <v>0.52206542132376732</v>
      </c>
      <c r="AE26" s="18">
        <f t="shared" si="9"/>
        <v>6.6806723951897835</v>
      </c>
      <c r="AF26" s="18">
        <f t="shared" si="9"/>
        <v>6.2135687098712209</v>
      </c>
      <c r="AG26" s="18">
        <f t="shared" si="9"/>
        <v>-3.838420812511854</v>
      </c>
      <c r="AH26" s="64">
        <f t="shared" si="9"/>
        <v>28.244877018092783</v>
      </c>
      <c r="AI26" s="64">
        <f t="shared" si="9"/>
        <v>5.1713161121028568</v>
      </c>
      <c r="AJ26" s="64">
        <f t="shared" si="9"/>
        <v>11.475684751509672</v>
      </c>
      <c r="AK26" s="64">
        <f t="shared" si="9"/>
        <v>-13.00051734955583</v>
      </c>
      <c r="AL26" s="64">
        <f t="shared" si="9"/>
        <v>-7.5030260089155165</v>
      </c>
      <c r="AM26" s="64">
        <f t="shared" si="9"/>
        <v>41.263584571437633</v>
      </c>
      <c r="AN26" s="64">
        <f t="shared" si="9"/>
        <v>5.2733845458651052</v>
      </c>
      <c r="AO26" s="64">
        <f t="shared" si="9"/>
        <v>20.397629369814695</v>
      </c>
      <c r="AP26" s="64">
        <f t="shared" si="9"/>
        <v>-10.31522601362663</v>
      </c>
      <c r="AQ26" s="64">
        <f>100*(V26-U26)/U26</f>
        <v>-4.3357090124369844</v>
      </c>
      <c r="AR26" s="53">
        <f>100*(EXP(LN(V26/L26)/10)-1)</f>
        <v>6.3946278206233886</v>
      </c>
    </row>
    <row r="27" spans="1:44" ht="13.5" x14ac:dyDescent="0.25">
      <c r="A27" s="1"/>
      <c r="B27" s="35"/>
      <c r="C27" s="35"/>
      <c r="D27" s="11"/>
      <c r="E27" s="11"/>
      <c r="F27" s="11"/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Z27" s="23"/>
      <c r="AA27" s="23"/>
      <c r="AB27" s="23"/>
      <c r="AC27" s="23"/>
      <c r="AD27" s="23"/>
      <c r="AE27" s="23"/>
      <c r="AF27" s="23"/>
      <c r="AG27" s="23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3"/>
    </row>
    <row r="28" spans="1:44" ht="15" customHeight="1" x14ac:dyDescent="0.25">
      <c r="A28" s="1" t="s">
        <v>18</v>
      </c>
      <c r="B28" s="35">
        <v>-171.88806084366428</v>
      </c>
      <c r="C28" s="35">
        <v>-188.70685348981539</v>
      </c>
      <c r="D28" s="11">
        <v>-199.07547096824104</v>
      </c>
      <c r="E28" s="11">
        <v>-224.67316881190365</v>
      </c>
      <c r="F28" s="11">
        <v>-235.04499999999999</v>
      </c>
      <c r="G28" s="11">
        <v>-252.63499999999999</v>
      </c>
      <c r="H28" s="3">
        <v>-271.47500000000002</v>
      </c>
      <c r="I28" s="3">
        <v>-288.04200000000003</v>
      </c>
      <c r="J28" s="3">
        <v>-302.48</v>
      </c>
      <c r="K28" s="3">
        <v>-318.26499999999999</v>
      </c>
      <c r="L28" s="3">
        <v>-337.72300000000001</v>
      </c>
      <c r="M28" s="3">
        <v>-365.11</v>
      </c>
      <c r="N28" s="3">
        <v>-367.91800000000001</v>
      </c>
      <c r="O28" s="3">
        <v>-450.34300000000002</v>
      </c>
      <c r="P28" s="3">
        <v>-474.06299999999999</v>
      </c>
      <c r="Q28" s="3">
        <v>-498.709</v>
      </c>
      <c r="R28" s="3">
        <v>-555.66999999999996</v>
      </c>
      <c r="S28" s="3">
        <v>-561.95100000000002</v>
      </c>
      <c r="T28" s="3">
        <v>-572.86900000000003</v>
      </c>
      <c r="U28" s="3">
        <v>-594.42999999999995</v>
      </c>
      <c r="V28" s="3">
        <v>-609.23599999999999</v>
      </c>
      <c r="X28" s="18">
        <f t="shared" ref="X28:AP28" si="10">100*(C28-B28)/B28</f>
        <v>9.7847358121330767</v>
      </c>
      <c r="Y28" s="18">
        <f t="shared" si="10"/>
        <v>5.494563279857374</v>
      </c>
      <c r="Z28" s="18">
        <f t="shared" si="10"/>
        <v>12.858288225647989</v>
      </c>
      <c r="AA28" s="18">
        <f t="shared" si="10"/>
        <v>4.6164084669939527</v>
      </c>
      <c r="AB28" s="18">
        <f t="shared" si="10"/>
        <v>7.483673339147825</v>
      </c>
      <c r="AC28" s="18">
        <f t="shared" si="10"/>
        <v>7.4573990143883595</v>
      </c>
      <c r="AD28" s="18">
        <f t="shared" si="10"/>
        <v>6.1025877152592338</v>
      </c>
      <c r="AE28" s="18">
        <f t="shared" si="10"/>
        <v>5.0124634601898288</v>
      </c>
      <c r="AF28" s="18">
        <f t="shared" si="10"/>
        <v>5.2185268447500555</v>
      </c>
      <c r="AG28" s="18">
        <f t="shared" si="10"/>
        <v>6.1137731136003106</v>
      </c>
      <c r="AH28" s="52">
        <f t="shared" si="10"/>
        <v>8.1093085161508096</v>
      </c>
      <c r="AI28" s="52">
        <f t="shared" si="10"/>
        <v>0.76908328996740505</v>
      </c>
      <c r="AJ28" s="52">
        <f t="shared" si="10"/>
        <v>22.403089818927047</v>
      </c>
      <c r="AK28" s="52">
        <f t="shared" si="10"/>
        <v>5.2670964131783933</v>
      </c>
      <c r="AL28" s="52">
        <f t="shared" si="10"/>
        <v>5.1988870677526009</v>
      </c>
      <c r="AM28" s="52">
        <f t="shared" si="10"/>
        <v>11.421690805660207</v>
      </c>
      <c r="AN28" s="52">
        <f t="shared" si="10"/>
        <v>1.130347148487423</v>
      </c>
      <c r="AO28" s="52">
        <f t="shared" si="10"/>
        <v>1.9428740228240551</v>
      </c>
      <c r="AP28" s="52">
        <f t="shared" si="10"/>
        <v>3.763687684269863</v>
      </c>
      <c r="AQ28" s="52">
        <f>100*(V28-U28)/U28</f>
        <v>2.4907894958195316</v>
      </c>
      <c r="AR28" s="53">
        <f>100*(EXP(LN(V28/L28)/10)-1)</f>
        <v>6.0773085279773209</v>
      </c>
    </row>
    <row r="29" spans="1:44" ht="15" customHeight="1" x14ac:dyDescent="0.25">
      <c r="A29" s="1" t="s">
        <v>19</v>
      </c>
      <c r="B29" s="35">
        <v>25.396376895688164</v>
      </c>
      <c r="C29" s="35">
        <v>20.687114954765857</v>
      </c>
      <c r="D29" s="11">
        <v>8.1673738968974376</v>
      </c>
      <c r="E29" s="11">
        <v>15.944215428551246</v>
      </c>
      <c r="F29" s="11">
        <v>23.690999999999999</v>
      </c>
      <c r="G29" s="11">
        <v>12.316000000000001</v>
      </c>
      <c r="H29" s="3">
        <v>28.696000000000002</v>
      </c>
      <c r="I29" s="3">
        <v>8.5190000000000001</v>
      </c>
      <c r="J29" s="3">
        <v>2.9359999999999999</v>
      </c>
      <c r="K29" s="3">
        <v>8.5389999999999997</v>
      </c>
      <c r="L29" s="3">
        <v>17.934000000000001</v>
      </c>
      <c r="M29" s="3">
        <v>5.57</v>
      </c>
      <c r="N29" s="3">
        <v>7.1</v>
      </c>
      <c r="O29" s="3">
        <v>3.9689999999999999</v>
      </c>
      <c r="P29" s="3">
        <v>16.507000000000001</v>
      </c>
      <c r="Q29" s="3">
        <v>12.678000000000001</v>
      </c>
      <c r="R29" s="3">
        <v>10.52</v>
      </c>
      <c r="S29" s="3">
        <v>13.629</v>
      </c>
      <c r="T29" s="3">
        <v>6.694</v>
      </c>
      <c r="U29" s="3">
        <v>68.05</v>
      </c>
      <c r="V29" s="3">
        <v>16.152000000000001</v>
      </c>
      <c r="Z29" s="23"/>
      <c r="AA29" s="23"/>
      <c r="AB29" s="23"/>
      <c r="AC29" s="23"/>
      <c r="AD29" s="23"/>
      <c r="AE29" s="23"/>
      <c r="AF29" s="23"/>
      <c r="AG29" s="23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4"/>
    </row>
    <row r="30" spans="1:44" ht="15" customHeight="1" x14ac:dyDescent="0.25">
      <c r="A30" s="1" t="s">
        <v>20</v>
      </c>
      <c r="B30" s="35">
        <v>-65.929667172912318</v>
      </c>
      <c r="C30" s="35">
        <v>-23.209933851688522</v>
      </c>
      <c r="D30" s="11">
        <v>-13.879708631236198</v>
      </c>
      <c r="E30" s="11">
        <v>-10.242644721506021</v>
      </c>
      <c r="F30" s="11">
        <v>-11.318</v>
      </c>
      <c r="G30" s="11">
        <v>-7.085</v>
      </c>
      <c r="H30" s="3">
        <v>-2.94</v>
      </c>
      <c r="I30" s="3">
        <v>-4.3170000000000002</v>
      </c>
      <c r="J30" s="3">
        <v>-1.6990000000000001</v>
      </c>
      <c r="K30" s="3">
        <v>-3.6920000000000002</v>
      </c>
      <c r="L30" s="3">
        <v>-3.2559999999999998</v>
      </c>
      <c r="M30" s="3">
        <v>-3.2559999999999998</v>
      </c>
      <c r="N30" s="3">
        <v>-2.5</v>
      </c>
      <c r="O30" s="3">
        <v>-2.105</v>
      </c>
      <c r="P30" s="3">
        <v>-3.5369999999999999</v>
      </c>
      <c r="Q30" s="3">
        <v>-6.33</v>
      </c>
      <c r="R30" s="3">
        <v>-11.35</v>
      </c>
      <c r="S30" s="3">
        <v>-0.53</v>
      </c>
      <c r="T30" s="3">
        <v>-4.9139999999999997</v>
      </c>
      <c r="U30" s="3">
        <v>-4.2699999999999996</v>
      </c>
      <c r="V30" s="3">
        <v>-1.2569999999999999</v>
      </c>
      <c r="Z30" s="23"/>
      <c r="AA30" s="23"/>
      <c r="AB30" s="23"/>
      <c r="AC30" s="23"/>
      <c r="AD30" s="23"/>
      <c r="AE30" s="23"/>
      <c r="AF30" s="23"/>
      <c r="AG30" s="23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4"/>
    </row>
    <row r="31" spans="1:44" ht="13.5" x14ac:dyDescent="0.25">
      <c r="A31" s="4"/>
      <c r="B31" s="35"/>
      <c r="C31" s="35"/>
      <c r="D31" s="11"/>
      <c r="E31" s="11"/>
      <c r="F31" s="11"/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Z31" s="23"/>
      <c r="AA31" s="23"/>
      <c r="AB31" s="23"/>
      <c r="AC31" s="23"/>
      <c r="AD31" s="23"/>
      <c r="AE31" s="23"/>
      <c r="AF31" s="23"/>
      <c r="AG31" s="23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4"/>
    </row>
    <row r="32" spans="1:44" ht="13.5" x14ac:dyDescent="0.25">
      <c r="A32" s="8" t="s">
        <v>21</v>
      </c>
      <c r="B32" s="10">
        <f>B26+B28+B29+B30</f>
        <v>56.006579511683384</v>
      </c>
      <c r="C32" s="10">
        <f>C26+C28+C29+C30</f>
        <v>26.237316527996409</v>
      </c>
      <c r="D32" s="9">
        <f t="shared" ref="D32:I32" si="11">D26+D28+D29+D30</f>
        <v>50.313586388881262</v>
      </c>
      <c r="E32" s="9">
        <f t="shared" si="11"/>
        <v>-15.044578209911659</v>
      </c>
      <c r="F32" s="9">
        <f t="shared" si="11"/>
        <v>9.0630000000003381</v>
      </c>
      <c r="G32" s="9">
        <f t="shared" si="11"/>
        <v>33.646999999999487</v>
      </c>
      <c r="H32" s="9">
        <f t="shared" si="11"/>
        <v>85.273999999998381</v>
      </c>
      <c r="I32" s="9">
        <f t="shared" si="11"/>
        <v>48.88100000000054</v>
      </c>
      <c r="J32" s="9">
        <v>53.705999999999996</v>
      </c>
      <c r="K32" s="9">
        <v>63.58600000000083</v>
      </c>
      <c r="L32" s="9">
        <v>39.487999999998578</v>
      </c>
      <c r="M32" s="9">
        <v>102.1340000000005</v>
      </c>
      <c r="N32" s="9">
        <v>125.65500000000034</v>
      </c>
      <c r="O32" s="9">
        <v>96.606999999999758</v>
      </c>
      <c r="P32" s="9">
        <v>13.128999999999937</v>
      </c>
      <c r="Q32" s="9">
        <v>-53.719999999999416</v>
      </c>
      <c r="R32" s="9">
        <f>R26+R28+R29+R30</f>
        <v>63.14000000000059</v>
      </c>
      <c r="S32" s="9">
        <f>S26+S28+S29+S30</f>
        <v>103.4639999999991</v>
      </c>
      <c r="T32" s="9">
        <f>T26+T28+T29+T30</f>
        <v>214.28399999999934</v>
      </c>
      <c r="U32" s="9">
        <f>U26+U28+U29+U30</f>
        <v>173.70999999999961</v>
      </c>
      <c r="V32" s="9">
        <f>V26+V28+V29+V30</f>
        <v>79.479999999998441</v>
      </c>
      <c r="Z32" s="23"/>
      <c r="AA32" s="23"/>
      <c r="AB32" s="23"/>
      <c r="AC32" s="23"/>
      <c r="AD32" s="23"/>
      <c r="AE32" s="23"/>
      <c r="AF32" s="23"/>
      <c r="AG32" s="23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4"/>
    </row>
    <row r="33" spans="1:44" ht="9.75" customHeight="1" x14ac:dyDescent="0.25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Z33" s="23"/>
      <c r="AA33" s="23"/>
      <c r="AB33" s="23"/>
      <c r="AC33" s="23"/>
      <c r="AD33" s="23"/>
      <c r="AE33" s="23"/>
      <c r="AF33" s="23"/>
      <c r="AG33" s="23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4"/>
    </row>
    <row r="34" spans="1:44" ht="13.5" x14ac:dyDescent="0.25">
      <c r="A34" s="1" t="s">
        <v>22</v>
      </c>
      <c r="B34" s="45">
        <f>B36-B32</f>
        <v>3.7044204883166145</v>
      </c>
      <c r="C34" s="45">
        <f t="shared" ref="C34:S34" si="12">C36-C32</f>
        <v>-25.73231652799641</v>
      </c>
      <c r="D34" s="45">
        <f t="shared" si="12"/>
        <v>-24.169586388881264</v>
      </c>
      <c r="E34" s="45">
        <f t="shared" si="12"/>
        <v>-19.722421790088344</v>
      </c>
      <c r="F34" s="45">
        <f t="shared" si="12"/>
        <v>-21.622000000000337</v>
      </c>
      <c r="G34" s="45">
        <f t="shared" si="12"/>
        <v>-29.072999999999489</v>
      </c>
      <c r="H34" s="45">
        <f t="shared" si="12"/>
        <v>-54.123999999998382</v>
      </c>
      <c r="I34" s="45">
        <f t="shared" si="12"/>
        <v>-31.923000000000542</v>
      </c>
      <c r="J34" s="45">
        <f t="shared" si="12"/>
        <v>-12.791999999999994</v>
      </c>
      <c r="K34" s="45">
        <f t="shared" si="12"/>
        <v>-18.224000000000828</v>
      </c>
      <c r="L34" s="45">
        <f t="shared" si="12"/>
        <v>-16.61699999999858</v>
      </c>
      <c r="M34" s="45">
        <f t="shared" si="12"/>
        <v>-27.423000000000499</v>
      </c>
      <c r="N34" s="45">
        <f t="shared" si="12"/>
        <v>-24.183000000000348</v>
      </c>
      <c r="O34" s="45">
        <f t="shared" si="12"/>
        <v>-30.357999999999763</v>
      </c>
      <c r="P34" s="45">
        <f t="shared" si="12"/>
        <v>-5.9509999999999375</v>
      </c>
      <c r="Q34" s="45">
        <f t="shared" si="12"/>
        <v>3.5079999999994129</v>
      </c>
      <c r="R34" s="45">
        <f t="shared" si="12"/>
        <v>-16.290000000001115</v>
      </c>
      <c r="S34" s="45">
        <f t="shared" si="12"/>
        <v>0.3950000000008913</v>
      </c>
      <c r="T34" s="45">
        <v>-7.41</v>
      </c>
      <c r="U34" s="45">
        <v>9.4499999999999993</v>
      </c>
      <c r="V34" s="45">
        <v>18.995999999999995</v>
      </c>
      <c r="Z34" s="23"/>
      <c r="AA34" s="23"/>
      <c r="AB34" s="23"/>
      <c r="AC34" s="23"/>
      <c r="AD34" s="23"/>
      <c r="AE34" s="23"/>
      <c r="AF34" s="23"/>
      <c r="AG34" s="23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4"/>
    </row>
    <row r="35" spans="1:44" ht="10.5" customHeight="1" x14ac:dyDescent="0.25">
      <c r="A35" s="8"/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Z35" s="23"/>
      <c r="AA35" s="23"/>
      <c r="AB35" s="23"/>
      <c r="AC35" s="23"/>
      <c r="AD35" s="23"/>
      <c r="AE35" s="23"/>
      <c r="AF35" s="23"/>
      <c r="AG35" s="23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4"/>
    </row>
    <row r="36" spans="1:44" ht="13.5" x14ac:dyDescent="0.25">
      <c r="A36" s="8" t="s">
        <v>23</v>
      </c>
      <c r="B36" s="43">
        <v>59.710999999999999</v>
      </c>
      <c r="C36" s="43">
        <v>0.505</v>
      </c>
      <c r="D36" s="44">
        <v>26.143999999999998</v>
      </c>
      <c r="E36" s="44">
        <v>-34.767000000000003</v>
      </c>
      <c r="F36" s="44">
        <v>-12.558999999999999</v>
      </c>
      <c r="G36" s="44">
        <v>4.5739999999999998</v>
      </c>
      <c r="H36" s="44">
        <v>31.15</v>
      </c>
      <c r="I36" s="44">
        <v>16.957999999999998</v>
      </c>
      <c r="J36" s="44">
        <v>40.914000000000001</v>
      </c>
      <c r="K36" s="44">
        <v>45.362000000000002</v>
      </c>
      <c r="L36" s="44">
        <v>22.870999999999999</v>
      </c>
      <c r="M36" s="44">
        <v>74.710999999999999</v>
      </c>
      <c r="N36" s="44">
        <v>101.47199999999999</v>
      </c>
      <c r="O36" s="44">
        <v>66.248999999999995</v>
      </c>
      <c r="P36" s="44">
        <v>7.1779999999999999</v>
      </c>
      <c r="Q36" s="44">
        <v>-50.212000000000003</v>
      </c>
      <c r="R36" s="44">
        <v>46.849999999999476</v>
      </c>
      <c r="S36" s="9">
        <v>103.85899999999999</v>
      </c>
      <c r="T36" s="9">
        <f>T32+T34</f>
        <v>206.87399999999934</v>
      </c>
      <c r="U36" s="9">
        <f>U32+U34</f>
        <v>183.1599999999996</v>
      </c>
      <c r="V36" s="9">
        <f>V32+V34</f>
        <v>98.475999999998436</v>
      </c>
      <c r="Z36" s="23"/>
      <c r="AA36" s="23"/>
      <c r="AB36" s="23"/>
      <c r="AC36" s="23"/>
      <c r="AD36" s="23"/>
      <c r="AE36" s="23"/>
      <c r="AF36" s="23"/>
      <c r="AG36" s="23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66"/>
    </row>
    <row r="37" spans="1:44" ht="13.5" x14ac:dyDescent="0.25">
      <c r="G37" s="3"/>
      <c r="Z37" s="23"/>
      <c r="AA37" s="23"/>
      <c r="AB37" s="23"/>
      <c r="AC37" s="23"/>
      <c r="AD37" s="23"/>
      <c r="AE37" s="23"/>
      <c r="AF37" s="23"/>
      <c r="AG37" s="23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4"/>
    </row>
    <row r="38" spans="1:44" ht="13.5" x14ac:dyDescent="0.25">
      <c r="A38" s="7">
        <v>43371</v>
      </c>
      <c r="B38" s="7"/>
      <c r="C38" s="7"/>
      <c r="G38" s="3"/>
      <c r="Z38" s="23"/>
      <c r="AA38" s="23"/>
      <c r="AB38" s="23"/>
      <c r="AC38" s="23"/>
      <c r="AD38" s="23"/>
      <c r="AE38" s="23"/>
      <c r="AF38" s="23"/>
      <c r="AG38" s="23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4"/>
    </row>
    <row r="39" spans="1:44" ht="18" x14ac:dyDescent="0.25">
      <c r="A39" s="5" t="s">
        <v>24</v>
      </c>
      <c r="B39" s="5"/>
      <c r="C39" s="5"/>
      <c r="G39" s="3"/>
      <c r="Z39" s="23"/>
      <c r="AA39" s="23"/>
      <c r="AB39" s="23"/>
      <c r="AC39" s="23"/>
      <c r="AD39" s="23"/>
      <c r="AE39" s="23"/>
      <c r="AF39" s="23"/>
      <c r="AG39" s="23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4"/>
    </row>
    <row r="40" spans="1:44" ht="15" x14ac:dyDescent="0.25">
      <c r="A40" s="6" t="s">
        <v>3</v>
      </c>
      <c r="B40" s="6"/>
      <c r="C40" s="6"/>
      <c r="G40" s="3"/>
      <c r="Z40" s="23"/>
      <c r="AA40" s="23"/>
      <c r="AB40" s="23"/>
      <c r="AC40" s="23"/>
      <c r="AD40" s="23"/>
      <c r="AE40" s="23"/>
      <c r="AF40" s="23"/>
      <c r="AG40" s="23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4"/>
    </row>
    <row r="41" spans="1:44" ht="9" customHeight="1" x14ac:dyDescent="0.25">
      <c r="G41" s="3"/>
      <c r="Z41" s="23"/>
      <c r="AA41" s="23"/>
      <c r="AB41" s="23"/>
      <c r="AC41" s="23"/>
      <c r="AD41" s="23"/>
      <c r="AE41" s="23"/>
      <c r="AF41" s="23"/>
      <c r="AG41" s="23"/>
      <c r="AH41" s="50"/>
      <c r="AI41" s="50"/>
      <c r="AJ41" s="50"/>
      <c r="AK41" s="50"/>
      <c r="AL41" s="50"/>
      <c r="AM41" s="55"/>
      <c r="AN41" s="55"/>
      <c r="AO41" s="55"/>
      <c r="AP41" s="55"/>
      <c r="AQ41" s="55"/>
      <c r="AR41" s="54"/>
    </row>
    <row r="42" spans="1:44" ht="13.5" x14ac:dyDescent="0.25">
      <c r="A42" s="8" t="s">
        <v>25</v>
      </c>
      <c r="B42" s="12">
        <v>1997</v>
      </c>
      <c r="C42" s="12">
        <v>1998</v>
      </c>
      <c r="D42" s="12">
        <v>1999</v>
      </c>
      <c r="E42" s="12">
        <v>2000</v>
      </c>
      <c r="F42" s="12">
        <v>2001</v>
      </c>
      <c r="G42" s="12">
        <v>2002</v>
      </c>
      <c r="H42" s="12">
        <v>2003</v>
      </c>
      <c r="I42" s="12">
        <v>2004</v>
      </c>
      <c r="J42" s="12">
        <v>2005</v>
      </c>
      <c r="K42" s="12">
        <v>2006</v>
      </c>
      <c r="L42" s="12">
        <v>2007</v>
      </c>
      <c r="M42" s="12">
        <v>2008</v>
      </c>
      <c r="N42" s="12">
        <v>2009</v>
      </c>
      <c r="O42" s="12">
        <v>2010</v>
      </c>
      <c r="P42" s="12">
        <v>2011</v>
      </c>
      <c r="Q42" s="12">
        <v>2012</v>
      </c>
      <c r="R42" s="12">
        <v>2013</v>
      </c>
      <c r="S42" s="12">
        <v>2014</v>
      </c>
      <c r="T42" s="12">
        <v>2015</v>
      </c>
      <c r="U42" s="12">
        <v>2016</v>
      </c>
      <c r="V42" s="12">
        <v>2017</v>
      </c>
      <c r="X42" s="19" t="s">
        <v>0</v>
      </c>
      <c r="Y42" s="41"/>
      <c r="Z42" s="41"/>
      <c r="AA42" s="41"/>
      <c r="AB42" s="41"/>
      <c r="AC42" s="41"/>
      <c r="AD42" s="41"/>
      <c r="AE42" s="41"/>
      <c r="AF42" s="41"/>
      <c r="AH42" s="56" t="s">
        <v>48</v>
      </c>
      <c r="AI42" s="57"/>
      <c r="AJ42" s="57"/>
      <c r="AK42" s="57"/>
      <c r="AL42" s="57"/>
      <c r="AM42" s="57"/>
      <c r="AN42" s="57"/>
      <c r="AO42" s="57"/>
      <c r="AP42" s="57"/>
      <c r="AQ42" s="57"/>
      <c r="AR42" s="58"/>
    </row>
    <row r="43" spans="1:44" ht="13.5" x14ac:dyDescent="0.25">
      <c r="A43" s="1"/>
      <c r="B43" s="1"/>
      <c r="C43" s="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22">
        <v>1998</v>
      </c>
      <c r="Y43" s="22">
        <v>1999</v>
      </c>
      <c r="Z43" s="22">
        <v>2000</v>
      </c>
      <c r="AA43" s="22">
        <v>2001</v>
      </c>
      <c r="AB43" s="22">
        <v>2002</v>
      </c>
      <c r="AC43" s="22">
        <v>2003</v>
      </c>
      <c r="AD43" s="22">
        <v>2004</v>
      </c>
      <c r="AE43" s="22">
        <v>2005</v>
      </c>
      <c r="AF43" s="22">
        <v>2006</v>
      </c>
      <c r="AG43" s="22">
        <v>2007</v>
      </c>
      <c r="AH43" s="62">
        <v>2008</v>
      </c>
      <c r="AI43" s="62">
        <v>2009</v>
      </c>
      <c r="AJ43" s="62">
        <v>2010</v>
      </c>
      <c r="AK43" s="62">
        <v>2011</v>
      </c>
      <c r="AL43" s="62">
        <v>2012</v>
      </c>
      <c r="AM43" s="62">
        <v>2013</v>
      </c>
      <c r="AN43" s="62">
        <v>2014</v>
      </c>
      <c r="AO43" s="62">
        <v>2015</v>
      </c>
      <c r="AP43" s="62">
        <v>2016</v>
      </c>
      <c r="AQ43" s="62">
        <v>2017</v>
      </c>
      <c r="AR43" s="51" t="s">
        <v>1</v>
      </c>
    </row>
    <row r="44" spans="1:44" ht="12.75" customHeight="1" x14ac:dyDescent="0.25">
      <c r="A44" s="1"/>
      <c r="B44" s="1"/>
      <c r="C44" s="1"/>
      <c r="Z44" s="23"/>
      <c r="AA44" s="23"/>
      <c r="AB44" s="23"/>
      <c r="AC44" s="23"/>
      <c r="AD44" s="23"/>
      <c r="AE44" s="23"/>
      <c r="AF44" s="23"/>
      <c r="AG44" s="23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49" t="s">
        <v>49</v>
      </c>
    </row>
    <row r="45" spans="1:44" ht="15" customHeight="1" x14ac:dyDescent="0.25">
      <c r="A45" s="8" t="s">
        <v>26</v>
      </c>
      <c r="B45" s="8"/>
      <c r="C45" s="8"/>
      <c r="Z45" s="23"/>
      <c r="AA45" s="23"/>
      <c r="AB45" s="23"/>
      <c r="AC45" s="23"/>
      <c r="AD45" s="23"/>
      <c r="AE45" s="23"/>
      <c r="AF45" s="23"/>
      <c r="AG45" s="23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4"/>
    </row>
    <row r="46" spans="1:44" ht="15" customHeight="1" x14ac:dyDescent="0.25">
      <c r="A46" s="1" t="s">
        <v>27</v>
      </c>
      <c r="B46" s="35">
        <v>268.42793063257159</v>
      </c>
      <c r="C46" s="35">
        <v>217.29880098827226</v>
      </c>
      <c r="D46" s="3">
        <v>255.09230994343841</v>
      </c>
      <c r="E46" s="3">
        <v>203.92701989494981</v>
      </c>
      <c r="F46" s="13">
        <v>231.73500000000001</v>
      </c>
      <c r="G46" s="3">
        <v>281.05099999999948</v>
      </c>
      <c r="H46" s="3">
        <v>330.99299999999931</v>
      </c>
      <c r="I46" s="3">
        <v>332.72100000000057</v>
      </c>
      <c r="J46" s="3">
        <v>354.94499999999999</v>
      </c>
      <c r="K46" s="3">
        <v>377.04399999999998</v>
      </c>
      <c r="L46" s="3">
        <v>362.53299999999859</v>
      </c>
      <c r="M46" s="13">
        <v>465</v>
      </c>
      <c r="N46" s="13">
        <v>488.74599999999998</v>
      </c>
      <c r="O46" s="13">
        <v>545.08600000000001</v>
      </c>
      <c r="P46" s="13">
        <v>474.22199999999998</v>
      </c>
      <c r="Q46" s="13">
        <v>438.64100000000002</v>
      </c>
      <c r="R46" s="13">
        <f>R26</f>
        <v>619.64000000000055</v>
      </c>
      <c r="S46" s="13">
        <f>S26</f>
        <v>652.31599999999912</v>
      </c>
      <c r="T46" s="13">
        <f>T26</f>
        <v>785.37299999999937</v>
      </c>
      <c r="U46" s="13">
        <f>U26</f>
        <v>704.35999999999956</v>
      </c>
      <c r="V46" s="13">
        <f>V26</f>
        <v>673.82099999999843</v>
      </c>
      <c r="Z46" s="23"/>
      <c r="AA46" s="23"/>
      <c r="AB46" s="23"/>
      <c r="AC46" s="23"/>
      <c r="AD46" s="23"/>
      <c r="AE46" s="23"/>
      <c r="AF46" s="23"/>
      <c r="AG46" s="23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4"/>
    </row>
    <row r="47" spans="1:44" ht="15" customHeight="1" x14ac:dyDescent="0.25">
      <c r="A47" s="1" t="s">
        <v>28</v>
      </c>
      <c r="B47" s="35">
        <v>-40.869666130147181</v>
      </c>
      <c r="C47" s="35">
        <v>-2.5228188969226655</v>
      </c>
      <c r="D47" s="3">
        <v>-4.4990270328454196</v>
      </c>
      <c r="E47" s="3">
        <v>4.8101746967992156</v>
      </c>
      <c r="F47" s="13">
        <v>11.617000000000001</v>
      </c>
      <c r="G47" s="3">
        <v>5.2310000000000008</v>
      </c>
      <c r="H47" s="3">
        <v>25.756</v>
      </c>
      <c r="I47" s="3">
        <v>4.202</v>
      </c>
      <c r="J47" s="3">
        <v>1.2370000000000001</v>
      </c>
      <c r="K47" s="3">
        <v>4.8470000000000004</v>
      </c>
      <c r="L47" s="3">
        <v>14.678000000000001</v>
      </c>
      <c r="M47" s="13">
        <v>2.1</v>
      </c>
      <c r="N47" s="13">
        <v>4.726</v>
      </c>
      <c r="O47" s="13">
        <v>1.8640000000000001</v>
      </c>
      <c r="P47" s="13">
        <v>12.97</v>
      </c>
      <c r="Q47" s="13">
        <v>6.3479999999999999</v>
      </c>
      <c r="R47" s="13">
        <f>R29+R30</f>
        <v>-0.83000000000000007</v>
      </c>
      <c r="S47" s="13">
        <f>S29+S30</f>
        <v>13.099</v>
      </c>
      <c r="T47" s="13">
        <f>T29+T30</f>
        <v>1.7800000000000002</v>
      </c>
      <c r="U47" s="13">
        <f>U29+U30</f>
        <v>63.78</v>
      </c>
      <c r="V47" s="13">
        <f>V29+V30</f>
        <v>14.895000000000001</v>
      </c>
      <c r="Z47" s="23"/>
      <c r="AA47" s="23"/>
      <c r="AB47" s="23"/>
      <c r="AC47" s="23"/>
      <c r="AD47" s="23"/>
      <c r="AE47" s="23"/>
      <c r="AF47" s="23"/>
      <c r="AG47" s="23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4"/>
    </row>
    <row r="48" spans="1:44" ht="15" customHeight="1" x14ac:dyDescent="0.25">
      <c r="A48" s="1" t="s">
        <v>29</v>
      </c>
      <c r="B48" s="35">
        <v>5.099273113202865</v>
      </c>
      <c r="C48" s="35">
        <v>9.2503359553831057</v>
      </c>
      <c r="D48" s="3">
        <v>30.31890112736367</v>
      </c>
      <c r="E48" s="3">
        <v>16.964779766319694</v>
      </c>
      <c r="F48" s="13">
        <v>3.609</v>
      </c>
      <c r="G48" s="3">
        <v>5.4060000000000006</v>
      </c>
      <c r="H48" s="3">
        <v>3.7839999999999998</v>
      </c>
      <c r="I48" s="3">
        <v>9.0619999999999994</v>
      </c>
      <c r="J48" s="3">
        <v>0.98299999999999998</v>
      </c>
      <c r="K48" s="3">
        <v>7.5359999999999996</v>
      </c>
      <c r="L48" s="3">
        <v>-19.730999999999998</v>
      </c>
      <c r="M48" s="13">
        <v>3.1520000000000001</v>
      </c>
      <c r="N48" s="13">
        <v>-4.7149999999999999</v>
      </c>
      <c r="O48" s="13">
        <v>-12.385999999999999</v>
      </c>
      <c r="P48" s="13">
        <v>-2.5659999999999998</v>
      </c>
      <c r="Q48" s="13">
        <v>-0.67200000000000004</v>
      </c>
      <c r="R48" s="13">
        <v>21.49</v>
      </c>
      <c r="S48" s="13">
        <v>64.405000000000001</v>
      </c>
      <c r="T48" s="13">
        <v>6.9850000000000003</v>
      </c>
      <c r="U48" s="13">
        <v>14</v>
      </c>
      <c r="V48" s="13">
        <v>19.558</v>
      </c>
      <c r="Z48" s="23"/>
      <c r="AA48" s="23"/>
      <c r="AB48" s="23"/>
      <c r="AC48" s="23"/>
      <c r="AD48" s="23"/>
      <c r="AE48" s="23"/>
      <c r="AF48" s="23"/>
      <c r="AG48" s="23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4"/>
    </row>
    <row r="49" spans="1:44" ht="14.25" customHeight="1" x14ac:dyDescent="0.25">
      <c r="A49" s="8" t="s">
        <v>30</v>
      </c>
      <c r="B49" s="35"/>
      <c r="C49" s="35"/>
      <c r="D49" s="3"/>
      <c r="E49" s="3"/>
      <c r="F49" s="13"/>
      <c r="G49" s="3"/>
      <c r="H49" s="3"/>
      <c r="I49" s="3"/>
      <c r="J49" s="3"/>
      <c r="K49" s="3"/>
      <c r="L49" s="3"/>
      <c r="M49" s="13"/>
      <c r="N49" s="13"/>
      <c r="O49" s="13"/>
      <c r="P49" s="13"/>
      <c r="Q49" s="13"/>
      <c r="R49" s="13"/>
      <c r="S49" s="13"/>
      <c r="T49" s="13"/>
      <c r="U49" s="13"/>
      <c r="V49" s="13"/>
      <c r="Z49" s="23"/>
      <c r="AA49" s="23"/>
      <c r="AB49" s="23"/>
      <c r="AC49" s="23"/>
      <c r="AD49" s="23"/>
      <c r="AE49" s="23"/>
      <c r="AF49" s="23"/>
      <c r="AG49" s="23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4"/>
    </row>
    <row r="50" spans="1:44" ht="15" customHeight="1" x14ac:dyDescent="0.25">
      <c r="A50" s="1" t="s">
        <v>31</v>
      </c>
      <c r="B50" s="35">
        <v>-297.52444191041303</v>
      </c>
      <c r="C50" s="35">
        <v>-296.51531435164395</v>
      </c>
      <c r="D50" s="3">
        <f>-296.976149270148+6.077</f>
        <v>-290.89914927014803</v>
      </c>
      <c r="E50" s="3">
        <f>-330.126662327418+1.884</f>
        <v>-328.24266232741797</v>
      </c>
      <c r="F50" s="13">
        <f>-400.235+3.979</f>
        <v>-396.25600000000003</v>
      </c>
      <c r="G50" s="3">
        <f>-410.037+4.015</f>
        <v>-406.02199999999999</v>
      </c>
      <c r="H50" s="3">
        <f>-478.289+7.099</f>
        <v>-471.19</v>
      </c>
      <c r="I50" s="3">
        <v>-475.08799999999997</v>
      </c>
      <c r="J50" s="3">
        <v>-521.88499999999999</v>
      </c>
      <c r="K50" s="3">
        <v>-618.44500000000005</v>
      </c>
      <c r="L50" s="3">
        <v>-580.91100000000006</v>
      </c>
      <c r="M50" s="13">
        <v>-595.29999999999995</v>
      </c>
      <c r="N50" s="13">
        <v>-671</v>
      </c>
      <c r="O50" s="13">
        <v>-2461.5439999999999</v>
      </c>
      <c r="P50" s="13">
        <v>-733.87699999999995</v>
      </c>
      <c r="Q50" s="13">
        <v>-817.37199999999996</v>
      </c>
      <c r="R50" s="13">
        <v>-866.79</v>
      </c>
      <c r="S50" s="13">
        <v>-805.779</v>
      </c>
      <c r="T50" s="13">
        <v>-789.57399999999996</v>
      </c>
      <c r="U50" s="13">
        <v>-862.62</v>
      </c>
      <c r="V50" s="13">
        <v>-1130.5930000000001</v>
      </c>
      <c r="W50" s="3"/>
      <c r="X50" s="18">
        <f t="shared" ref="X50:AP50" si="13">100*(C50-B50)/B50</f>
        <v>-0.33917467495760789</v>
      </c>
      <c r="Y50" s="18">
        <f t="shared" si="13"/>
        <v>-1.8940556557006663</v>
      </c>
      <c r="Z50" s="18">
        <f t="shared" si="13"/>
        <v>12.837271319274404</v>
      </c>
      <c r="AA50" s="18">
        <f t="shared" si="13"/>
        <v>20.720444195258079</v>
      </c>
      <c r="AB50" s="18">
        <f t="shared" si="13"/>
        <v>2.4645683598481694</v>
      </c>
      <c r="AC50" s="18">
        <f t="shared" si="13"/>
        <v>16.050361803055011</v>
      </c>
      <c r="AD50" s="18">
        <f t="shared" si="13"/>
        <v>0.82726713215475023</v>
      </c>
      <c r="AE50" s="18">
        <f t="shared" si="13"/>
        <v>9.8501751254504484</v>
      </c>
      <c r="AF50" s="18">
        <f t="shared" si="13"/>
        <v>18.502160437644321</v>
      </c>
      <c r="AG50" s="18">
        <f t="shared" si="13"/>
        <v>-6.0690926436465631</v>
      </c>
      <c r="AH50" s="52">
        <f t="shared" si="13"/>
        <v>2.4769715154300562</v>
      </c>
      <c r="AI50" s="52">
        <f t="shared" si="13"/>
        <v>12.716277507139266</v>
      </c>
      <c r="AJ50" s="52">
        <f t="shared" si="13"/>
        <v>266.84709388971686</v>
      </c>
      <c r="AK50" s="52">
        <f t="shared" si="13"/>
        <v>-70.186313955793594</v>
      </c>
      <c r="AL50" s="52">
        <f t="shared" si="13"/>
        <v>11.377247140869656</v>
      </c>
      <c r="AM50" s="52">
        <f t="shared" si="13"/>
        <v>6.0459619365478652</v>
      </c>
      <c r="AN50" s="52">
        <f t="shared" si="13"/>
        <v>-7.0387291039352053</v>
      </c>
      <c r="AO50" s="52">
        <f t="shared" si="13"/>
        <v>-2.0110973356218071</v>
      </c>
      <c r="AP50" s="52">
        <f t="shared" si="13"/>
        <v>9.2513177992183202</v>
      </c>
      <c r="AQ50" s="52">
        <f>100*(V50-U50)/U50</f>
        <v>31.065011244812322</v>
      </c>
      <c r="AR50" s="53">
        <f>100*(EXP(LN(V50/L50)/10)-1)</f>
        <v>6.8857156021190802</v>
      </c>
    </row>
    <row r="51" spans="1:44" ht="15" customHeight="1" x14ac:dyDescent="0.25">
      <c r="A51" s="1" t="s">
        <v>32</v>
      </c>
      <c r="B51" s="35">
        <v>45.242552218146464</v>
      </c>
      <c r="C51" s="35">
        <v>62.22953279075908</v>
      </c>
      <c r="D51" s="3">
        <f>51.117356489447-6.077</f>
        <v>45.040356489446999</v>
      </c>
      <c r="E51" s="3">
        <f>26.2487533069951-1.884</f>
        <v>24.364753306995098</v>
      </c>
      <c r="F51" s="13">
        <f>39.202-3.979</f>
        <v>35.222999999999999</v>
      </c>
      <c r="G51" s="3">
        <f>26.401-4.015</f>
        <v>22.385999999999999</v>
      </c>
      <c r="H51" s="3">
        <f>29.705-7.099</f>
        <v>22.605999999999998</v>
      </c>
      <c r="I51" s="3">
        <v>24.510999999999999</v>
      </c>
      <c r="J51" s="3">
        <v>24.690999999999999</v>
      </c>
      <c r="K51" s="3">
        <v>24.007000000000001</v>
      </c>
      <c r="L51" s="3">
        <v>20.794</v>
      </c>
      <c r="M51" s="13">
        <v>9.5579999999999998</v>
      </c>
      <c r="N51" s="13">
        <v>14.8</v>
      </c>
      <c r="O51" s="13">
        <v>23.460999999999999</v>
      </c>
      <c r="P51" s="13">
        <v>17.649999999999999</v>
      </c>
      <c r="Q51" s="13">
        <v>15.907</v>
      </c>
      <c r="R51" s="13">
        <v>21.56</v>
      </c>
      <c r="S51" s="13">
        <v>14.971</v>
      </c>
      <c r="T51" s="13">
        <v>11.489000000000001</v>
      </c>
      <c r="U51" s="13">
        <v>11.08</v>
      </c>
      <c r="V51" s="13">
        <v>17.225000000000001</v>
      </c>
      <c r="W51" s="3"/>
      <c r="X51" s="3"/>
      <c r="Y51" s="3"/>
      <c r="Z51" s="18"/>
      <c r="AA51" s="18"/>
      <c r="AB51" s="18"/>
      <c r="AC51" s="18"/>
      <c r="AD51" s="18"/>
      <c r="AE51" s="18"/>
      <c r="AF51" s="18"/>
      <c r="AG51" s="18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3"/>
    </row>
    <row r="52" spans="1:44" ht="15" customHeight="1" x14ac:dyDescent="0.25">
      <c r="A52" s="1" t="s">
        <v>33</v>
      </c>
      <c r="B52" s="37">
        <v>9.9230876612291503</v>
      </c>
      <c r="C52" s="37">
        <v>7.7366446172295076</v>
      </c>
      <c r="D52" s="15">
        <v>14.176728509367226</v>
      </c>
      <c r="E52" s="15">
        <v>22.768945108506436</v>
      </c>
      <c r="F52" s="14">
        <v>47.207000000000001</v>
      </c>
      <c r="G52" s="15">
        <v>21.119</v>
      </c>
      <c r="H52" s="15">
        <v>23.38</v>
      </c>
      <c r="I52" s="15">
        <v>21.722999999999999</v>
      </c>
      <c r="J52" s="15">
        <v>30.827000000000002</v>
      </c>
      <c r="K52" s="15">
        <v>29.366</v>
      </c>
      <c r="L52" s="15">
        <v>53.058999999999997</v>
      </c>
      <c r="M52" s="14">
        <v>43</v>
      </c>
      <c r="N52" s="14">
        <v>38.408999999999999</v>
      </c>
      <c r="O52" s="14">
        <v>24.768000000000001</v>
      </c>
      <c r="P52" s="14">
        <v>36</v>
      </c>
      <c r="Q52" s="14">
        <v>82.153999999999996</v>
      </c>
      <c r="R52" s="14">
        <v>26.71</v>
      </c>
      <c r="S52" s="14">
        <v>26.797999999999998</v>
      </c>
      <c r="T52" s="14">
        <v>46.058</v>
      </c>
      <c r="U52" s="14">
        <v>34.28</v>
      </c>
      <c r="V52" s="73">
        <v>60.195999999999998</v>
      </c>
      <c r="Z52" s="18"/>
      <c r="AA52" s="18"/>
      <c r="AB52" s="18"/>
      <c r="AC52" s="18"/>
      <c r="AD52" s="18"/>
      <c r="AE52" s="18"/>
      <c r="AF52" s="18"/>
      <c r="AG52" s="18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3"/>
    </row>
    <row r="53" spans="1:44" s="38" customFormat="1" ht="17.25" customHeight="1" x14ac:dyDescent="0.25">
      <c r="A53" s="38" t="s">
        <v>34</v>
      </c>
      <c r="B53" s="39">
        <f>B46+B47+B48+B50+B51+B52</f>
        <v>-9.7012644154101544</v>
      </c>
      <c r="C53" s="39">
        <f>C46+C47+C48+C50+C51+C52</f>
        <v>-2.5228188969226801</v>
      </c>
      <c r="D53" s="39">
        <f t="shared" ref="D53:I53" si="14">D46+D47+D48+D50+D51+D52</f>
        <v>49.230119766622849</v>
      </c>
      <c r="E53" s="39">
        <f t="shared" si="14"/>
        <v>-55.406989553847744</v>
      </c>
      <c r="F53" s="39">
        <f t="shared" si="14"/>
        <v>-66.865000000000009</v>
      </c>
      <c r="G53" s="39">
        <f t="shared" si="14"/>
        <v>-70.829000000000519</v>
      </c>
      <c r="H53" s="39">
        <f t="shared" si="14"/>
        <v>-64.671000000000674</v>
      </c>
      <c r="I53" s="39">
        <f t="shared" si="14"/>
        <v>-82.868999999999389</v>
      </c>
      <c r="J53" s="39">
        <v>-109.20199999999997</v>
      </c>
      <c r="K53" s="39">
        <v>-175.6450000000001</v>
      </c>
      <c r="L53" s="39">
        <v>-149.57800000000145</v>
      </c>
      <c r="M53" s="47">
        <v>-72.489999999999952</v>
      </c>
      <c r="N53" s="47">
        <v>-129.03399999999999</v>
      </c>
      <c r="O53" s="47">
        <v>-1878.7509999999997</v>
      </c>
      <c r="P53" s="47">
        <v>-195.60099999999991</v>
      </c>
      <c r="Q53" s="47">
        <v>-274.99399999999997</v>
      </c>
      <c r="R53" s="47">
        <f>R46+R47+R48+R50+R51+R52</f>
        <v>-178.21999999999943</v>
      </c>
      <c r="S53" s="47">
        <f>S46+S47+S48+S50+S51+S52</f>
        <v>-34.19000000000085</v>
      </c>
      <c r="T53" s="47">
        <f>T46+T47+T48+T50+T51+T52</f>
        <v>62.110999999999393</v>
      </c>
      <c r="U53" s="47">
        <f>U46+U47+U48+U50+U51+U52</f>
        <v>-35.120000000000474</v>
      </c>
      <c r="V53" s="74">
        <f>V46+V47+V48+V50+V51+V52</f>
        <v>-344.89800000000162</v>
      </c>
      <c r="Z53" s="40"/>
      <c r="AA53" s="40"/>
      <c r="AB53" s="40"/>
      <c r="AC53" s="40"/>
      <c r="AD53" s="40"/>
      <c r="AE53" s="40"/>
      <c r="AF53" s="40"/>
      <c r="AG53" s="40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3"/>
    </row>
    <row r="54" spans="1:44" ht="7.5" customHeight="1" x14ac:dyDescent="0.25">
      <c r="A54" s="1"/>
      <c r="B54" s="35"/>
      <c r="C54" s="35"/>
      <c r="D54" s="3"/>
      <c r="E54" s="3"/>
      <c r="F54" s="13"/>
      <c r="G54" s="3"/>
      <c r="H54" s="3"/>
      <c r="I54" s="3"/>
      <c r="J54" s="3"/>
      <c r="K54" s="3"/>
      <c r="L54" s="3"/>
      <c r="M54" s="13"/>
      <c r="N54" s="13"/>
      <c r="O54" s="13"/>
      <c r="P54" s="13"/>
      <c r="Q54" s="13"/>
      <c r="R54" s="13"/>
      <c r="S54" s="13"/>
      <c r="T54" s="13"/>
      <c r="U54" s="13"/>
      <c r="V54" s="13"/>
      <c r="Z54" s="23"/>
      <c r="AA54" s="23"/>
      <c r="AB54" s="23"/>
      <c r="AC54" s="23"/>
      <c r="AD54" s="23"/>
      <c r="AE54" s="23"/>
      <c r="AF54" s="23"/>
      <c r="AG54" s="23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3"/>
    </row>
    <row r="55" spans="1:44" ht="14.25" customHeight="1" x14ac:dyDescent="0.25">
      <c r="A55" s="8" t="s">
        <v>35</v>
      </c>
      <c r="B55" s="35"/>
      <c r="C55" s="35"/>
      <c r="D55" s="3"/>
      <c r="E55" s="3"/>
      <c r="F55" s="13"/>
      <c r="G55" s="3"/>
      <c r="H55" s="3"/>
      <c r="I55" s="3"/>
      <c r="J55" s="3"/>
      <c r="K55" s="3"/>
      <c r="L55" s="3"/>
      <c r="M55" s="13"/>
      <c r="N55" s="13"/>
      <c r="O55" s="13"/>
      <c r="P55" s="13"/>
      <c r="Q55" s="13"/>
      <c r="R55" s="13"/>
      <c r="S55" s="13"/>
      <c r="T55" s="13"/>
      <c r="U55" s="13"/>
      <c r="V55" s="13"/>
      <c r="Z55" s="23"/>
      <c r="AA55" s="23"/>
      <c r="AB55" s="23"/>
      <c r="AC55" s="23"/>
      <c r="AD55" s="23"/>
      <c r="AE55" s="23"/>
      <c r="AF55" s="23"/>
      <c r="AG55" s="23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3"/>
    </row>
    <row r="56" spans="1:44" ht="15" customHeight="1" x14ac:dyDescent="0.25">
      <c r="A56" s="1" t="s">
        <v>36</v>
      </c>
      <c r="B56" s="35"/>
      <c r="C56" s="35"/>
      <c r="D56" s="3"/>
      <c r="E56" s="3"/>
      <c r="F56" s="13"/>
      <c r="G56" s="3"/>
      <c r="H56" s="3"/>
      <c r="I56" s="3"/>
      <c r="J56" s="3"/>
      <c r="K56" s="3"/>
      <c r="L56" s="3"/>
      <c r="M56" s="13"/>
      <c r="N56" s="13"/>
      <c r="O56" s="13"/>
      <c r="P56" s="13"/>
      <c r="Q56" s="13"/>
      <c r="R56" s="13"/>
      <c r="S56" s="13"/>
      <c r="T56" s="13"/>
      <c r="U56" s="13"/>
      <c r="V56" s="13"/>
      <c r="Z56" s="23"/>
      <c r="AA56" s="23"/>
      <c r="AB56" s="23"/>
      <c r="AC56" s="23"/>
      <c r="AD56" s="23"/>
      <c r="AE56" s="23"/>
      <c r="AF56" s="23"/>
      <c r="AG56" s="23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3"/>
    </row>
    <row r="57" spans="1:44" ht="15" customHeight="1" x14ac:dyDescent="0.25">
      <c r="A57" s="1" t="s">
        <v>37</v>
      </c>
      <c r="B57" s="35">
        <v>-1.6818792646151104</v>
      </c>
      <c r="C57" s="35">
        <v>-2.6910068233841766</v>
      </c>
      <c r="D57" s="3">
        <v>-1.6768336268212651</v>
      </c>
      <c r="E57" s="3">
        <v>-2.2133531122334853</v>
      </c>
      <c r="F57" s="13">
        <v>-2.2269999999999999</v>
      </c>
      <c r="G57" s="3">
        <v>-30.757000000000001</v>
      </c>
      <c r="H57" s="3">
        <v>-38.567999999999998</v>
      </c>
      <c r="I57" s="3">
        <v>-43.384999999999998</v>
      </c>
      <c r="J57" s="3">
        <v>-29.431000000000001</v>
      </c>
      <c r="K57" s="3">
        <v>-30.170999999999999</v>
      </c>
      <c r="L57" s="3">
        <v>-23.542999999999999</v>
      </c>
      <c r="M57" s="13">
        <v>-19</v>
      </c>
      <c r="N57" s="13">
        <v>-15.477</v>
      </c>
      <c r="O57" s="13">
        <v>-19.381</v>
      </c>
      <c r="P57" s="13">
        <v>-35.402999999999999</v>
      </c>
      <c r="Q57" s="13">
        <v>-11.002000000000001</v>
      </c>
      <c r="R57" s="13">
        <v>-8.4499999999999993</v>
      </c>
      <c r="S57" s="13">
        <v>-10.25</v>
      </c>
      <c r="T57" s="13">
        <v>-47.654000000000003</v>
      </c>
      <c r="U57" s="13">
        <v>-13.49</v>
      </c>
      <c r="V57" s="13">
        <v>-3.7160000000000002</v>
      </c>
      <c r="Z57" s="23"/>
      <c r="AA57" s="23"/>
      <c r="AB57" s="23"/>
      <c r="AC57" s="23"/>
      <c r="AD57" s="23"/>
      <c r="AE57" s="23"/>
      <c r="AF57" s="23"/>
      <c r="AG57" s="23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3"/>
    </row>
    <row r="58" spans="1:44" ht="15" customHeight="1" x14ac:dyDescent="0.25">
      <c r="A58" s="1" t="s">
        <v>38</v>
      </c>
      <c r="B58" s="35">
        <v>3.3637585292302208</v>
      </c>
      <c r="C58" s="35">
        <v>2.1864430439996432</v>
      </c>
      <c r="D58" s="3">
        <v>2.5181096349817431</v>
      </c>
      <c r="E58" s="3">
        <v>6.3435440223488113</v>
      </c>
      <c r="F58" s="13">
        <v>11.663</v>
      </c>
      <c r="G58" s="3">
        <v>29.640999999999998</v>
      </c>
      <c r="H58" s="3">
        <v>40.392000000000003</v>
      </c>
      <c r="I58" s="3">
        <v>42.128</v>
      </c>
      <c r="J58" s="3">
        <v>29.914000000000001</v>
      </c>
      <c r="K58" s="3">
        <v>31.03</v>
      </c>
      <c r="L58" s="3">
        <v>24.113</v>
      </c>
      <c r="M58" s="13">
        <v>17.13</v>
      </c>
      <c r="N58" s="13">
        <v>2.8780000000000001</v>
      </c>
      <c r="O58" s="13">
        <v>1.772</v>
      </c>
      <c r="P58" s="13">
        <v>2.4849999999999999</v>
      </c>
      <c r="Q58" s="13">
        <v>6.8680000000000003</v>
      </c>
      <c r="R58" s="13">
        <v>5.35</v>
      </c>
      <c r="S58" s="13">
        <v>5.37</v>
      </c>
      <c r="T58" s="13">
        <v>7.5229999999999997</v>
      </c>
      <c r="U58" s="13">
        <v>5.3</v>
      </c>
      <c r="V58" s="13">
        <v>7.1080000000000005</v>
      </c>
      <c r="Z58" s="23"/>
      <c r="AA58" s="23"/>
      <c r="AB58" s="23"/>
      <c r="AC58" s="23"/>
      <c r="AD58" s="23"/>
      <c r="AE58" s="23"/>
      <c r="AF58" s="23"/>
      <c r="AG58" s="23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3"/>
    </row>
    <row r="59" spans="1:44" ht="15" customHeight="1" x14ac:dyDescent="0.25">
      <c r="A59" s="1" t="s">
        <v>39</v>
      </c>
      <c r="B59" s="35"/>
      <c r="C59" s="35"/>
      <c r="D59" s="3"/>
      <c r="E59" s="3"/>
      <c r="F59" s="13"/>
      <c r="G59" s="3"/>
      <c r="H59" s="3"/>
      <c r="I59" s="3"/>
      <c r="J59" s="3"/>
      <c r="K59" s="3"/>
      <c r="L59" s="3"/>
      <c r="M59" s="13"/>
      <c r="N59" s="13"/>
      <c r="O59" s="13"/>
      <c r="P59" s="13"/>
      <c r="Q59" s="13"/>
      <c r="R59" s="13"/>
      <c r="S59" s="13"/>
      <c r="T59" s="13"/>
      <c r="U59" s="13"/>
      <c r="V59" s="13"/>
      <c r="Z59" s="23"/>
      <c r="AA59" s="23"/>
      <c r="AB59" s="23"/>
      <c r="AC59" s="23"/>
      <c r="AD59" s="23"/>
      <c r="AE59" s="23"/>
      <c r="AF59" s="23"/>
      <c r="AG59" s="23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3"/>
    </row>
    <row r="60" spans="1:44" ht="15" customHeight="1" x14ac:dyDescent="0.25">
      <c r="A60" s="1" t="s">
        <v>40</v>
      </c>
      <c r="B60" s="35">
        <v>77.198258245833557</v>
      </c>
      <c r="C60" s="35">
        <v>51.129129644299354</v>
      </c>
      <c r="D60" s="3">
        <v>43.160217500626501</v>
      </c>
      <c r="E60" s="3">
        <v>52.99029723852243</v>
      </c>
      <c r="F60" s="13">
        <v>95.984999999999999</v>
      </c>
      <c r="G60" s="3">
        <v>117.59099999999999</v>
      </c>
      <c r="H60" s="3">
        <v>104.414</v>
      </c>
      <c r="I60" s="3">
        <v>125.72199999999999</v>
      </c>
      <c r="J60" s="3">
        <v>179.66300000000001</v>
      </c>
      <c r="K60" s="3">
        <v>147.619</v>
      </c>
      <c r="L60" s="3">
        <v>185.63900000000001</v>
      </c>
      <c r="M60" s="13">
        <v>177.54</v>
      </c>
      <c r="N60" s="13">
        <v>241.351</v>
      </c>
      <c r="O60" s="13">
        <v>1386.136</v>
      </c>
      <c r="P60" s="13">
        <v>262.32100000000003</v>
      </c>
      <c r="Q60" s="13">
        <v>278.98399999999998</v>
      </c>
      <c r="R60" s="13">
        <v>287.39999999999998</v>
      </c>
      <c r="S60" s="13">
        <v>213.97200000000001</v>
      </c>
      <c r="T60" s="13">
        <v>245.161</v>
      </c>
      <c r="U60" s="13">
        <v>298.86</v>
      </c>
      <c r="V60" s="13">
        <v>574.47299999999996</v>
      </c>
      <c r="X60" s="18">
        <f t="shared" ref="X60:AG61" si="15">100*(C60-B60)/B60</f>
        <v>-33.769063180827878</v>
      </c>
      <c r="Y60" s="18">
        <f t="shared" si="15"/>
        <v>-15.585855263157892</v>
      </c>
      <c r="Z60" s="18">
        <f t="shared" si="15"/>
        <v>22.775788230801286</v>
      </c>
      <c r="AA60" s="18">
        <f t="shared" si="15"/>
        <v>81.136934499438226</v>
      </c>
      <c r="AB60" s="18">
        <f t="shared" si="15"/>
        <v>22.509767151117355</v>
      </c>
      <c r="AC60" s="18">
        <f t="shared" si="15"/>
        <v>-11.205789558724728</v>
      </c>
      <c r="AD60" s="18">
        <f t="shared" si="15"/>
        <v>20.407225084758743</v>
      </c>
      <c r="AE60" s="18">
        <f t="shared" si="15"/>
        <v>42.904980830721762</v>
      </c>
      <c r="AF60" s="18">
        <f t="shared" si="15"/>
        <v>-17.83561445595365</v>
      </c>
      <c r="AG60" s="18">
        <f t="shared" si="15"/>
        <v>25.75549217919103</v>
      </c>
      <c r="AH60" s="52">
        <f t="shared" ref="AH60:AP61" si="16">100*(M60-L60)/L60</f>
        <v>-4.3627685992706366</v>
      </c>
      <c r="AI60" s="52">
        <f t="shared" si="16"/>
        <v>35.941759603469642</v>
      </c>
      <c r="AJ60" s="52">
        <f t="shared" si="16"/>
        <v>474.32370282285962</v>
      </c>
      <c r="AK60" s="52">
        <f t="shared" si="16"/>
        <v>-81.075377884998304</v>
      </c>
      <c r="AL60" s="52">
        <f t="shared" si="16"/>
        <v>6.3521410790596073</v>
      </c>
      <c r="AM60" s="52">
        <f t="shared" si="16"/>
        <v>3.0166604536460864</v>
      </c>
      <c r="AN60" s="52">
        <f t="shared" si="16"/>
        <v>-25.549060542797484</v>
      </c>
      <c r="AO60" s="52">
        <f t="shared" si="16"/>
        <v>14.576206232591176</v>
      </c>
      <c r="AP60" s="52">
        <f t="shared" si="16"/>
        <v>21.90356541211694</v>
      </c>
      <c r="AQ60" s="52">
        <f>100*(V60-U60)/U60</f>
        <v>92.221441477614917</v>
      </c>
      <c r="AR60" s="53">
        <f>100*(EXP(LN(V60/L60)/10)-1)</f>
        <v>11.959265372563909</v>
      </c>
    </row>
    <row r="61" spans="1:44" ht="15" customHeight="1" x14ac:dyDescent="0.25">
      <c r="A61" s="1" t="s">
        <v>41</v>
      </c>
      <c r="B61" s="35">
        <v>-131.69114641936312</v>
      </c>
      <c r="C61" s="35">
        <v>-153.21920100643655</v>
      </c>
      <c r="D61" s="3">
        <v>-167.2822344775158</v>
      </c>
      <c r="E61" s="3">
        <v>-101.63327295386773</v>
      </c>
      <c r="F61" s="13">
        <v>-88.944000000000003</v>
      </c>
      <c r="G61" s="3">
        <v>-47.405000000000001</v>
      </c>
      <c r="H61" s="3">
        <v>-47.31</v>
      </c>
      <c r="I61" s="3">
        <v>-55.613999999999997</v>
      </c>
      <c r="J61" s="3">
        <v>-63.914000000000001</v>
      </c>
      <c r="K61" s="3">
        <v>-65.647999999999996</v>
      </c>
      <c r="L61" s="3">
        <v>-75.972999999999999</v>
      </c>
      <c r="M61" s="13">
        <v>-74.400000000000006</v>
      </c>
      <c r="N61" s="13">
        <v>-98.501000000000005</v>
      </c>
      <c r="O61" s="13">
        <v>-120.456</v>
      </c>
      <c r="P61" s="13">
        <v>-110.851</v>
      </c>
      <c r="Q61" s="13">
        <v>-120.547</v>
      </c>
      <c r="R61" s="13">
        <v>-127.15</v>
      </c>
      <c r="S61" s="13">
        <v>-140.35</v>
      </c>
      <c r="T61" s="13">
        <v>-172.64</v>
      </c>
      <c r="U61" s="13">
        <v>-175.65</v>
      </c>
      <c r="V61" s="13">
        <v>-161.96799999999999</v>
      </c>
      <c r="X61" s="18">
        <f t="shared" si="15"/>
        <v>16.347381864623259</v>
      </c>
      <c r="Y61" s="18">
        <f t="shared" si="15"/>
        <v>9.1783754116355709</v>
      </c>
      <c r="Z61" s="18">
        <f t="shared" si="15"/>
        <v>-39.244431262347746</v>
      </c>
      <c r="AA61" s="18">
        <f t="shared" si="15"/>
        <v>-12.48535305915761</v>
      </c>
      <c r="AB61" s="18">
        <f t="shared" si="15"/>
        <v>-46.702419499910057</v>
      </c>
      <c r="AC61" s="18">
        <f t="shared" si="15"/>
        <v>-0.200400801603204</v>
      </c>
      <c r="AD61" s="18">
        <f t="shared" si="15"/>
        <v>17.552314521242856</v>
      </c>
      <c r="AE61" s="18">
        <f t="shared" si="15"/>
        <v>14.924299636782115</v>
      </c>
      <c r="AF61" s="18">
        <f t="shared" si="15"/>
        <v>2.7130206214600787</v>
      </c>
      <c r="AG61" s="18">
        <f t="shared" si="15"/>
        <v>15.727821106507438</v>
      </c>
      <c r="AH61" s="52">
        <f t="shared" si="16"/>
        <v>-2.0704724046700713</v>
      </c>
      <c r="AI61" s="52">
        <f t="shared" si="16"/>
        <v>32.393817204301072</v>
      </c>
      <c r="AJ61" s="52">
        <f t="shared" si="16"/>
        <v>22.289113816103388</v>
      </c>
      <c r="AK61" s="52">
        <f t="shared" si="16"/>
        <v>-7.9738659759580299</v>
      </c>
      <c r="AL61" s="52">
        <f t="shared" si="16"/>
        <v>8.7468764377407489</v>
      </c>
      <c r="AM61" s="52">
        <f t="shared" si="16"/>
        <v>5.4775315851908459</v>
      </c>
      <c r="AN61" s="52">
        <f t="shared" si="16"/>
        <v>10.381439244986227</v>
      </c>
      <c r="AO61" s="52">
        <f t="shared" si="16"/>
        <v>23.006768792304946</v>
      </c>
      <c r="AP61" s="52">
        <f t="shared" si="16"/>
        <v>1.743512511584812</v>
      </c>
      <c r="AQ61" s="52">
        <f>100*(V61-U61)/U61</f>
        <v>-7.7893538286365018</v>
      </c>
      <c r="AR61" s="53">
        <f>100*(EXP(LN(V61/L61)/10)-1)</f>
        <v>7.8641174360452037</v>
      </c>
    </row>
    <row r="62" spans="1:44" ht="15" customHeight="1" x14ac:dyDescent="0.25">
      <c r="A62" s="1" t="s">
        <v>42</v>
      </c>
      <c r="B62" s="35">
        <v>-1.1773154852305772</v>
      </c>
      <c r="C62" s="35">
        <v>-1.8500671910766213</v>
      </c>
      <c r="D62" s="3">
        <v>-9.2600908551178733</v>
      </c>
      <c r="E62" s="3">
        <v>-6.740972092577362</v>
      </c>
      <c r="F62" s="13">
        <v>17.896999999999998</v>
      </c>
      <c r="G62" s="3">
        <v>9.4760000000000009</v>
      </c>
      <c r="H62" s="3">
        <v>-16.488</v>
      </c>
      <c r="I62" s="3">
        <v>8.1690000000000005</v>
      </c>
      <c r="J62" s="3">
        <v>19.957000000000001</v>
      </c>
      <c r="K62" s="3">
        <v>-1.2330000000000001</v>
      </c>
      <c r="L62" s="3">
        <v>11.691000000000001</v>
      </c>
      <c r="M62" s="13">
        <v>7</v>
      </c>
      <c r="N62" s="13">
        <v>9.7070000000000007</v>
      </c>
      <c r="O62" s="13">
        <v>44.351999999999997</v>
      </c>
      <c r="P62" s="13">
        <v>-5.7409999999999997</v>
      </c>
      <c r="Q62" s="13">
        <v>90.385000000000005</v>
      </c>
      <c r="R62" s="13">
        <v>22.99</v>
      </c>
      <c r="S62" s="13">
        <v>14.675000000000001</v>
      </c>
      <c r="T62" s="13">
        <v>-28.444099999999999</v>
      </c>
      <c r="U62" s="13">
        <v>11.71</v>
      </c>
      <c r="V62" s="13">
        <v>-51.094999999999999</v>
      </c>
      <c r="Z62" s="23"/>
      <c r="AA62" s="23"/>
      <c r="AB62" s="23"/>
      <c r="AC62" s="23"/>
      <c r="AD62" s="23"/>
      <c r="AE62" s="23"/>
      <c r="AF62" s="23"/>
      <c r="AG62" s="23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3"/>
    </row>
    <row r="63" spans="1:44" ht="15" customHeight="1" x14ac:dyDescent="0.25">
      <c r="A63" s="1" t="s">
        <v>43</v>
      </c>
      <c r="B63" s="35">
        <v>111.50859524398182</v>
      </c>
      <c r="C63" s="35">
        <v>93.848862965523153</v>
      </c>
      <c r="D63" s="3">
        <v>93.39744657090047</v>
      </c>
      <c r="E63" s="3">
        <v>60.705245613238411</v>
      </c>
      <c r="F63" s="13">
        <v>41.929000000000002</v>
      </c>
      <c r="G63" s="3">
        <v>21.004000000000001</v>
      </c>
      <c r="H63" s="3">
        <v>5.556</v>
      </c>
      <c r="I63" s="3">
        <v>15.537000000000001</v>
      </c>
      <c r="J63" s="3">
        <v>8.468</v>
      </c>
      <c r="K63" s="3">
        <v>11.583</v>
      </c>
      <c r="L63" s="3">
        <v>15.295</v>
      </c>
      <c r="M63" s="13">
        <v>2.5150000000000001</v>
      </c>
      <c r="N63" s="13">
        <v>14.663</v>
      </c>
      <c r="O63" s="13">
        <v>493.03699999999998</v>
      </c>
      <c r="P63" s="13">
        <v>9.1170000000000009</v>
      </c>
      <c r="Q63" s="13">
        <v>-13.433999999999999</v>
      </c>
      <c r="R63" s="13">
        <v>-20.93</v>
      </c>
      <c r="S63" s="13">
        <v>-8.1240000000000006</v>
      </c>
      <c r="T63" s="13">
        <v>-9.7279999999999998</v>
      </c>
      <c r="U63" s="13">
        <v>-24.42</v>
      </c>
      <c r="V63" s="13">
        <v>-16.277000000000001</v>
      </c>
      <c r="Z63" s="23"/>
      <c r="AA63" s="23"/>
      <c r="AB63" s="23"/>
      <c r="AC63" s="23"/>
      <c r="AD63" s="23"/>
      <c r="AE63" s="23"/>
      <c r="AF63" s="23"/>
      <c r="AG63" s="23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3"/>
    </row>
    <row r="64" spans="1:44" ht="15" customHeight="1" x14ac:dyDescent="0.25">
      <c r="A64" s="1" t="s">
        <v>44</v>
      </c>
      <c r="B64" s="37">
        <v>0</v>
      </c>
      <c r="C64" s="37">
        <v>-12.445906558151815</v>
      </c>
      <c r="D64" s="15">
        <v>-4.0365102350762649</v>
      </c>
      <c r="E64" s="15">
        <v>77.444485370173226</v>
      </c>
      <c r="F64" s="14">
        <v>-81.709000000000003</v>
      </c>
      <c r="G64" s="15">
        <v>82.55</v>
      </c>
      <c r="H64" s="15">
        <v>51.385999999999996</v>
      </c>
      <c r="I64" s="15">
        <v>31.331000000000003</v>
      </c>
      <c r="J64" s="15">
        <v>29.846</v>
      </c>
      <c r="K64" s="15">
        <v>34.624000000000002</v>
      </c>
      <c r="L64" s="15">
        <v>-11.896999999999998</v>
      </c>
      <c r="M64" s="14">
        <v>17</v>
      </c>
      <c r="N64" s="14">
        <v>43.063000000000002</v>
      </c>
      <c r="O64" s="14">
        <v>184.041</v>
      </c>
      <c r="P64" s="14">
        <v>70.191000000000003</v>
      </c>
      <c r="Q64" s="14">
        <v>127.42700000000001</v>
      </c>
      <c r="R64" s="14">
        <v>43.53</v>
      </c>
      <c r="S64" s="14">
        <v>118.27800000000001</v>
      </c>
      <c r="T64" s="14">
        <v>-27.776</v>
      </c>
      <c r="U64" s="14">
        <v>21.49</v>
      </c>
      <c r="V64" s="73">
        <v>125.30800000000001</v>
      </c>
      <c r="Z64" s="23"/>
      <c r="AA64" s="23"/>
      <c r="AB64" s="23"/>
      <c r="AC64" s="23"/>
      <c r="AD64" s="23"/>
      <c r="AE64" s="23"/>
      <c r="AF64" s="23"/>
      <c r="AG64" s="23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3"/>
    </row>
    <row r="65" spans="1:44" ht="15" customHeight="1" x14ac:dyDescent="0.25">
      <c r="A65" s="1" t="s">
        <v>35</v>
      </c>
      <c r="B65" s="35">
        <f>B57+B58+B60+B61+B62+B63+B64</f>
        <v>57.520270849836777</v>
      </c>
      <c r="C65" s="35">
        <f>C57+C58+C60+C61+C62+C63+C64</f>
        <v>-23.041745925227016</v>
      </c>
      <c r="D65" s="3">
        <f t="shared" ref="D65:I65" si="17">D57+D58+D60+D61+D62+D63+D64</f>
        <v>-43.179895488022495</v>
      </c>
      <c r="E65" s="3">
        <f t="shared" si="17"/>
        <v>86.895974085604308</v>
      </c>
      <c r="F65" s="3">
        <f t="shared" si="17"/>
        <v>-5.4060000000000059</v>
      </c>
      <c r="G65" s="3">
        <f t="shared" si="17"/>
        <v>182.1</v>
      </c>
      <c r="H65" s="3">
        <f t="shared" si="17"/>
        <v>99.381999999999991</v>
      </c>
      <c r="I65" s="3">
        <f t="shared" si="17"/>
        <v>123.88800000000001</v>
      </c>
      <c r="J65" s="3">
        <v>174.50300000000001</v>
      </c>
      <c r="K65" s="3">
        <v>127.804</v>
      </c>
      <c r="L65" s="3">
        <v>125.32500000000002</v>
      </c>
      <c r="M65" s="13">
        <v>127.78499999999998</v>
      </c>
      <c r="N65" s="13">
        <v>197.68400000000003</v>
      </c>
      <c r="O65" s="13">
        <v>1969.5010000000002</v>
      </c>
      <c r="P65" s="13">
        <v>192.11900000000003</v>
      </c>
      <c r="Q65" s="13">
        <v>358.68099999999998</v>
      </c>
      <c r="R65" s="13">
        <f>R57+R58+R60+R61+R62+R63+R64</f>
        <v>202.73999999999995</v>
      </c>
      <c r="S65" s="13">
        <f>S57+S58+S60+S61+S62+S63+S64</f>
        <v>193.57100000000003</v>
      </c>
      <c r="T65" s="13">
        <f>T57+T58+T60+T61+T62+T63+T64</f>
        <v>-33.558099999999982</v>
      </c>
      <c r="U65" s="13">
        <f>U57+U58+U60+U61+U62+U63+U64</f>
        <v>123.80000000000001</v>
      </c>
      <c r="V65" s="75">
        <f>V57+V58+V60+V61+V62+V63+V64</f>
        <v>473.83300000000003</v>
      </c>
      <c r="Z65" s="23"/>
      <c r="AA65" s="23"/>
      <c r="AB65" s="23"/>
      <c r="AC65" s="23"/>
      <c r="AD65" s="23"/>
      <c r="AE65" s="23"/>
      <c r="AF65" s="23"/>
      <c r="AG65" s="23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3"/>
    </row>
    <row r="66" spans="1:44" ht="9" customHeight="1" x14ac:dyDescent="0.25">
      <c r="A66" s="1"/>
      <c r="B66" s="35"/>
      <c r="C66" s="35"/>
      <c r="D66" s="3"/>
      <c r="E66" s="3"/>
      <c r="F66" s="13"/>
      <c r="G66" s="3"/>
      <c r="H66" s="3"/>
      <c r="I66" s="3"/>
      <c r="J66" s="3"/>
      <c r="K66" s="3"/>
      <c r="L66" s="3"/>
      <c r="M66" s="13"/>
      <c r="N66" s="13"/>
      <c r="O66" s="13"/>
      <c r="P66" s="13"/>
      <c r="Q66" s="13"/>
      <c r="R66" s="13"/>
      <c r="S66" s="13"/>
      <c r="T66" s="13"/>
      <c r="U66" s="13"/>
      <c r="V66" s="13"/>
      <c r="Z66" s="23"/>
      <c r="AA66" s="23"/>
      <c r="AB66" s="23"/>
      <c r="AC66" s="23"/>
      <c r="AD66" s="23"/>
      <c r="AE66" s="23"/>
      <c r="AF66" s="23"/>
      <c r="AG66" s="23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3"/>
    </row>
    <row r="67" spans="1:44" ht="13.5" customHeight="1" x14ac:dyDescent="0.25">
      <c r="A67" s="8" t="s">
        <v>45</v>
      </c>
      <c r="B67" s="35">
        <f>B53+B65</f>
        <v>47.819006434426626</v>
      </c>
      <c r="C67" s="35">
        <f>C53+C65</f>
        <v>-25.564564822149695</v>
      </c>
      <c r="D67" s="3">
        <f t="shared" ref="D67:I67" si="18">D53+D65</f>
        <v>6.0502242786003535</v>
      </c>
      <c r="E67" s="3">
        <f t="shared" si="18"/>
        <v>31.488984531756564</v>
      </c>
      <c r="F67" s="3">
        <f t="shared" si="18"/>
        <v>-72.271000000000015</v>
      </c>
      <c r="G67" s="3">
        <f t="shared" si="18"/>
        <v>111.27099999999947</v>
      </c>
      <c r="H67" s="3">
        <f t="shared" si="18"/>
        <v>34.710999999999316</v>
      </c>
      <c r="I67" s="3">
        <f t="shared" si="18"/>
        <v>41.019000000000617</v>
      </c>
      <c r="J67" s="3">
        <v>65.301000000000045</v>
      </c>
      <c r="K67" s="3">
        <v>-47.841000000000093</v>
      </c>
      <c r="L67" s="3">
        <v>-24.253000000001435</v>
      </c>
      <c r="M67" s="13">
        <v>55.29500000000003</v>
      </c>
      <c r="N67" s="13">
        <v>68.650000000000034</v>
      </c>
      <c r="O67" s="13">
        <v>90.750000000000455</v>
      </c>
      <c r="P67" s="13">
        <v>-3.4819999999998856</v>
      </c>
      <c r="Q67" s="13">
        <v>83.687000000000012</v>
      </c>
      <c r="R67" s="13">
        <f>R65+R53</f>
        <v>24.520000000000522</v>
      </c>
      <c r="S67" s="13">
        <f>S65+S53</f>
        <v>159.38099999999918</v>
      </c>
      <c r="T67" s="13">
        <f>T65+T53</f>
        <v>28.552899999999411</v>
      </c>
      <c r="U67" s="13">
        <f>U65+U53</f>
        <v>88.679999999999538</v>
      </c>
      <c r="V67" s="13">
        <f>V65+V53</f>
        <v>128.93499999999841</v>
      </c>
      <c r="Z67" s="23"/>
      <c r="AA67" s="23"/>
      <c r="AB67" s="23"/>
      <c r="AC67" s="23"/>
      <c r="AD67" s="23"/>
      <c r="AE67" s="23"/>
      <c r="AF67" s="23"/>
      <c r="AG67" s="23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3"/>
    </row>
    <row r="68" spans="1:44" ht="8.25" customHeight="1" x14ac:dyDescent="0.25">
      <c r="A68" s="1"/>
      <c r="B68" s="35"/>
      <c r="C68" s="35"/>
      <c r="D68" s="3"/>
      <c r="E68" s="3"/>
      <c r="F68" s="13"/>
      <c r="G68" s="3"/>
      <c r="H68" s="3"/>
      <c r="I68" s="3"/>
      <c r="J68" s="3"/>
      <c r="K68" s="3"/>
      <c r="L68" s="3"/>
      <c r="M68" s="13"/>
      <c r="N68" s="13"/>
      <c r="O68" s="13"/>
      <c r="P68" s="13"/>
      <c r="Q68" s="13"/>
      <c r="R68" s="13"/>
      <c r="S68" s="13"/>
      <c r="T68" s="13"/>
      <c r="U68" s="13"/>
      <c r="V68" s="13"/>
      <c r="Z68" s="23"/>
      <c r="AA68" s="23"/>
      <c r="AB68" s="23"/>
      <c r="AC68" s="23"/>
      <c r="AD68" s="23"/>
      <c r="AE68" s="23"/>
      <c r="AF68" s="23"/>
      <c r="AG68" s="23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3"/>
    </row>
    <row r="69" spans="1:44" ht="13.5" customHeight="1" x14ac:dyDescent="0.25">
      <c r="A69" s="1" t="s">
        <v>46</v>
      </c>
      <c r="B69" s="35">
        <v>398.43719778731963</v>
      </c>
      <c r="C69" s="35">
        <v>373.545384671016</v>
      </c>
      <c r="D69" s="3">
        <v>451.16949474665012</v>
      </c>
      <c r="E69" s="3">
        <v>490.02712871253823</v>
      </c>
      <c r="F69" s="13">
        <v>416.93799999999999</v>
      </c>
      <c r="G69" s="3">
        <v>519.98900000000003</v>
      </c>
      <c r="H69" s="3">
        <v>543.95900000000006</v>
      </c>
      <c r="I69" s="3">
        <v>583.88900000000001</v>
      </c>
      <c r="J69" s="3">
        <v>648.05999999999995</v>
      </c>
      <c r="K69" s="3">
        <v>596.97699999999998</v>
      </c>
      <c r="L69" s="3">
        <v>575.21199999999999</v>
      </c>
      <c r="M69" s="13">
        <v>632</v>
      </c>
      <c r="N69" s="13">
        <v>672.86099999999999</v>
      </c>
      <c r="O69" s="13">
        <v>749.755</v>
      </c>
      <c r="P69" s="13">
        <v>745.13</v>
      </c>
      <c r="Q69" s="13">
        <v>827.59299999999996</v>
      </c>
      <c r="R69" s="13">
        <v>811.35</v>
      </c>
      <c r="S69" s="13">
        <v>962.97299999999996</v>
      </c>
      <c r="T69" s="13">
        <v>959.87099999999998</v>
      </c>
      <c r="U69" s="3">
        <v>1047.1400000000001</v>
      </c>
      <c r="V69" s="3">
        <v>1170.7560000000001</v>
      </c>
      <c r="X69" s="18">
        <f t="shared" ref="X69:AP69" si="19">100*(C69-B69)/B69</f>
        <v>-6.2473617560151977</v>
      </c>
      <c r="Y69" s="18">
        <f t="shared" si="19"/>
        <v>20.780369203061689</v>
      </c>
      <c r="Z69" s="18">
        <f t="shared" si="19"/>
        <v>8.6126465592954684</v>
      </c>
      <c r="AA69" s="18">
        <f t="shared" si="19"/>
        <v>-14.915322934174547</v>
      </c>
      <c r="AB69" s="18">
        <f t="shared" si="19"/>
        <v>24.716144846475984</v>
      </c>
      <c r="AC69" s="18">
        <f t="shared" si="19"/>
        <v>4.6097128977728428</v>
      </c>
      <c r="AD69" s="18">
        <f t="shared" si="19"/>
        <v>7.3406267751797367</v>
      </c>
      <c r="AE69" s="18">
        <f t="shared" si="19"/>
        <v>10.990273836294215</v>
      </c>
      <c r="AF69" s="18">
        <f t="shared" si="19"/>
        <v>-7.8824491559423482</v>
      </c>
      <c r="AG69" s="18">
        <f t="shared" si="19"/>
        <v>-3.6458691038348188</v>
      </c>
      <c r="AH69" s="52">
        <f t="shared" si="19"/>
        <v>9.8725339526991807</v>
      </c>
      <c r="AI69" s="52">
        <f t="shared" si="19"/>
        <v>6.4653481012658212</v>
      </c>
      <c r="AJ69" s="52">
        <f t="shared" si="19"/>
        <v>11.427917504506876</v>
      </c>
      <c r="AK69" s="52">
        <f t="shared" si="19"/>
        <v>-0.61686817693779972</v>
      </c>
      <c r="AL69" s="52">
        <f t="shared" si="19"/>
        <v>11.066927918618221</v>
      </c>
      <c r="AM69" s="52">
        <f t="shared" si="19"/>
        <v>-1.962679723003933</v>
      </c>
      <c r="AN69" s="52">
        <f t="shared" si="19"/>
        <v>18.687742651136986</v>
      </c>
      <c r="AO69" s="52">
        <f t="shared" si="19"/>
        <v>-0.32212741167197578</v>
      </c>
      <c r="AP69" s="52">
        <f t="shared" si="19"/>
        <v>9.0917425362366533</v>
      </c>
      <c r="AQ69" s="52">
        <f>100*(V69-U69)/U69</f>
        <v>11.805107244494526</v>
      </c>
      <c r="AR69" s="53">
        <f>100*(EXP(LN(V69/L69)/10)-1)</f>
        <v>7.3652761448788961</v>
      </c>
    </row>
    <row r="70" spans="1:44" ht="8.25" customHeight="1" x14ac:dyDescent="0.25">
      <c r="A70" s="1"/>
      <c r="B70" s="35"/>
      <c r="C70" s="35"/>
      <c r="D70" s="3"/>
      <c r="E70" s="3"/>
      <c r="F70" s="13"/>
      <c r="G70" s="3"/>
      <c r="H70" s="3"/>
      <c r="I70" s="3"/>
      <c r="J70" s="3"/>
      <c r="K70" s="3"/>
      <c r="L70" s="3"/>
      <c r="M70" s="13"/>
      <c r="N70" s="13"/>
      <c r="O70" s="13"/>
      <c r="P70" s="13"/>
      <c r="Q70" s="13"/>
      <c r="R70" s="13"/>
      <c r="S70" s="13"/>
      <c r="T70" s="13"/>
      <c r="U70" s="13"/>
      <c r="V70" s="13"/>
      <c r="Z70" s="23"/>
      <c r="AA70" s="23"/>
      <c r="AB70" s="23"/>
      <c r="AC70" s="23"/>
      <c r="AD70" s="23"/>
      <c r="AE70" s="23"/>
      <c r="AF70" s="23"/>
      <c r="AG70" s="23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3"/>
    </row>
    <row r="71" spans="1:44" ht="13.5" customHeight="1" x14ac:dyDescent="0.25">
      <c r="A71" s="1" t="s">
        <v>47</v>
      </c>
      <c r="B71" s="35">
        <v>502.37733634053342</v>
      </c>
      <c r="C71" s="35">
        <v>405.66927862516462</v>
      </c>
      <c r="D71" s="3">
        <v>317.77712745112882</v>
      </c>
      <c r="E71" s="3">
        <v>259.23746957900858</v>
      </c>
      <c r="F71" s="13">
        <v>292.84800000000001</v>
      </c>
      <c r="G71" s="3">
        <v>374.23100000000011</v>
      </c>
      <c r="H71" s="3">
        <v>414.95299999999997</v>
      </c>
      <c r="I71" s="3">
        <v>493.995</v>
      </c>
      <c r="J71" s="3">
        <v>629.20299999999997</v>
      </c>
      <c r="K71" s="3">
        <v>711.21799999999996</v>
      </c>
      <c r="L71" s="3">
        <v>824.13400000000001</v>
      </c>
      <c r="M71" s="13">
        <v>931</v>
      </c>
      <c r="N71" s="3">
        <v>1055.5740000000001</v>
      </c>
      <c r="O71" s="3">
        <v>2356.569</v>
      </c>
      <c r="P71" s="3">
        <v>2498.6</v>
      </c>
      <c r="Q71" s="3">
        <v>2745.9369999999999</v>
      </c>
      <c r="R71" s="3">
        <v>2914.26</v>
      </c>
      <c r="S71" s="3">
        <v>2999.1260000000002</v>
      </c>
      <c r="T71" s="3">
        <v>3046.7020000000002</v>
      </c>
      <c r="U71" s="3">
        <v>3176</v>
      </c>
      <c r="V71" s="3">
        <v>3465.2110000000002</v>
      </c>
      <c r="X71" s="18">
        <f t="shared" ref="X71:AP71" si="20">100*(C71-B71)/B71</f>
        <v>-19.250083696016063</v>
      </c>
      <c r="Y71" s="18">
        <f t="shared" si="20"/>
        <v>-21.665961857379763</v>
      </c>
      <c r="Z71" s="18">
        <f t="shared" si="20"/>
        <v>-18.42160835855724</v>
      </c>
      <c r="AA71" s="18">
        <f t="shared" si="20"/>
        <v>12.965151401752845</v>
      </c>
      <c r="AB71" s="18">
        <f t="shared" si="20"/>
        <v>27.790184669179947</v>
      </c>
      <c r="AC71" s="18">
        <f t="shared" si="20"/>
        <v>10.881514358778363</v>
      </c>
      <c r="AD71" s="18">
        <f t="shared" si="20"/>
        <v>19.048422351447037</v>
      </c>
      <c r="AE71" s="18">
        <f t="shared" si="20"/>
        <v>27.370317513335149</v>
      </c>
      <c r="AF71" s="18">
        <f t="shared" si="20"/>
        <v>13.034743953859087</v>
      </c>
      <c r="AG71" s="18">
        <f t="shared" si="20"/>
        <v>15.876426074705655</v>
      </c>
      <c r="AH71" s="52">
        <f t="shared" si="20"/>
        <v>12.967066035377741</v>
      </c>
      <c r="AI71" s="52">
        <f t="shared" si="20"/>
        <v>13.380665950590769</v>
      </c>
      <c r="AJ71" s="52">
        <f t="shared" si="20"/>
        <v>123.25000426308338</v>
      </c>
      <c r="AK71" s="52">
        <f t="shared" si="20"/>
        <v>6.0270248823607524</v>
      </c>
      <c r="AL71" s="52">
        <f t="shared" si="20"/>
        <v>9.8990234531337542</v>
      </c>
      <c r="AM71" s="52">
        <f t="shared" si="20"/>
        <v>6.1298930019152049</v>
      </c>
      <c r="AN71" s="52">
        <f t="shared" si="20"/>
        <v>2.9120943224008831</v>
      </c>
      <c r="AO71" s="52">
        <f t="shared" si="20"/>
        <v>1.5863288171287242</v>
      </c>
      <c r="AP71" s="52">
        <f t="shared" si="20"/>
        <v>4.2438676312944219</v>
      </c>
      <c r="AQ71" s="52">
        <f>100*(V71-U71)/U71</f>
        <v>9.1061397984886732</v>
      </c>
      <c r="AR71" s="53">
        <f>100*(EXP(LN(V71/L71)/10)-1)</f>
        <v>15.44448356435324</v>
      </c>
    </row>
    <row r="72" spans="1:44" ht="9.75" customHeight="1" x14ac:dyDescent="0.25">
      <c r="A72" s="1"/>
      <c r="B72" s="1"/>
      <c r="C72" s="1"/>
      <c r="D72" s="3"/>
      <c r="E72" s="3"/>
      <c r="F72" s="13"/>
      <c r="G72" s="3"/>
      <c r="H72" s="3"/>
      <c r="I72" s="3"/>
      <c r="J72" s="3"/>
      <c r="K72" s="3"/>
      <c r="L72" s="3"/>
      <c r="M72" s="13"/>
      <c r="N72" s="13"/>
      <c r="O72" s="13"/>
      <c r="P72" s="13"/>
      <c r="Q72" s="13"/>
      <c r="R72" s="13"/>
      <c r="S72" s="13"/>
      <c r="T72" s="13"/>
      <c r="U72" s="13"/>
      <c r="V72" s="13"/>
      <c r="Z72" s="23"/>
      <c r="AA72" s="23"/>
      <c r="AB72" s="23"/>
      <c r="AC72" s="23"/>
      <c r="AD72" s="23"/>
      <c r="AE72" s="23"/>
      <c r="AF72" s="23"/>
      <c r="AG72" s="23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</row>
    <row r="73" spans="1:44" x14ac:dyDescent="0.2"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</row>
    <row r="74" spans="1:44" x14ac:dyDescent="0.2">
      <c r="V74" s="3"/>
    </row>
  </sheetData>
  <phoneticPr fontId="6" type="noConversion"/>
  <pageMargins left="0.11811023622047245" right="0.11811023622047245" top="0.78740157480314965" bottom="0.70866141732283472" header="0.51181102362204722" footer="0.51181102362204722"/>
  <pageSetup paperSize="9" scale="93" fitToHeight="0" orientation="landscape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AS109"/>
  <sheetViews>
    <sheetView zoomScaleNormal="100" workbookViewId="0">
      <pane xSplit="9" ySplit="8" topLeftCell="L9" activePane="bottomRight" state="frozen"/>
      <selection pane="topRight" activeCell="H1" sqref="H1"/>
      <selection pane="bottomLeft" activeCell="A9" sqref="A9"/>
      <selection pane="bottomRight" activeCell="AR44" sqref="AR44"/>
    </sheetView>
  </sheetViews>
  <sheetFormatPr defaultRowHeight="12.75" x14ac:dyDescent="0.2"/>
  <cols>
    <col min="1" max="1" width="30.42578125" customWidth="1"/>
    <col min="2" max="10" width="6.85546875" hidden="1" customWidth="1"/>
    <col min="11" max="11" width="7.85546875" hidden="1" customWidth="1"/>
    <col min="12" max="19" width="7.85546875" customWidth="1"/>
    <col min="20" max="22" width="8.140625" customWidth="1"/>
    <col min="23" max="23" width="1.140625" customWidth="1"/>
    <col min="24" max="32" width="5.85546875" hidden="1" customWidth="1"/>
    <col min="33" max="33" width="5.140625" hidden="1" customWidth="1"/>
    <col min="34" max="40" width="4.42578125" customWidth="1"/>
    <col min="41" max="43" width="5" customWidth="1"/>
    <col min="44" max="44" width="7" customWidth="1"/>
  </cols>
  <sheetData>
    <row r="2" spans="1:45" x14ac:dyDescent="0.2">
      <c r="A2" s="7">
        <v>43371</v>
      </c>
      <c r="B2" s="7"/>
      <c r="C2" s="7"/>
    </row>
    <row r="3" spans="1:45" ht="18" x14ac:dyDescent="0.25">
      <c r="A3" s="5" t="s">
        <v>2</v>
      </c>
      <c r="B3" s="5"/>
      <c r="C3" s="5"/>
      <c r="U3" s="68"/>
      <c r="V3" s="68"/>
    </row>
    <row r="4" spans="1:45" ht="14.25" x14ac:dyDescent="0.2">
      <c r="A4" s="6" t="s">
        <v>3</v>
      </c>
      <c r="B4" s="6"/>
      <c r="C4" s="6"/>
      <c r="V4" s="1"/>
    </row>
    <row r="5" spans="1:45" ht="9.6" customHeight="1" x14ac:dyDescent="0.2"/>
    <row r="6" spans="1:45" x14ac:dyDescent="0.2">
      <c r="A6" s="8" t="s">
        <v>4</v>
      </c>
      <c r="B6" s="12">
        <v>1997</v>
      </c>
      <c r="C6" s="12">
        <v>1998</v>
      </c>
      <c r="D6" s="12">
        <v>1999</v>
      </c>
      <c r="E6" s="12">
        <v>2000</v>
      </c>
      <c r="F6" s="12">
        <v>2001</v>
      </c>
      <c r="G6" s="12">
        <v>2002</v>
      </c>
      <c r="H6" s="12">
        <v>2003</v>
      </c>
      <c r="I6" s="12">
        <v>2004</v>
      </c>
      <c r="J6" s="12">
        <v>2005</v>
      </c>
      <c r="K6" s="12">
        <v>2006</v>
      </c>
      <c r="L6" s="12">
        <v>2007</v>
      </c>
      <c r="M6" s="12">
        <v>2008</v>
      </c>
      <c r="N6" s="12">
        <v>2009</v>
      </c>
      <c r="O6" s="12">
        <v>2010</v>
      </c>
      <c r="P6" s="12">
        <v>2011</v>
      </c>
      <c r="Q6" s="12">
        <v>2012</v>
      </c>
      <c r="R6" s="12">
        <v>2013</v>
      </c>
      <c r="S6" s="12">
        <v>2014</v>
      </c>
      <c r="T6" s="12">
        <v>2015</v>
      </c>
      <c r="U6" s="12">
        <v>2016</v>
      </c>
      <c r="V6" s="12">
        <v>2017</v>
      </c>
      <c r="W6" s="12"/>
      <c r="X6" s="19" t="s">
        <v>0</v>
      </c>
      <c r="Y6" s="48"/>
      <c r="Z6" s="41"/>
      <c r="AA6" s="41"/>
      <c r="AB6" s="41"/>
      <c r="AC6" s="41"/>
      <c r="AD6" s="41"/>
      <c r="AE6" s="41"/>
      <c r="AF6" s="41"/>
      <c r="AH6" s="19" t="s">
        <v>48</v>
      </c>
      <c r="AI6" s="20"/>
      <c r="AJ6" s="20"/>
      <c r="AK6" s="20"/>
      <c r="AL6" s="20"/>
      <c r="AM6" s="20"/>
      <c r="AN6" s="20"/>
      <c r="AO6" s="20"/>
      <c r="AP6" s="20"/>
      <c r="AQ6" s="20"/>
      <c r="AR6" s="21"/>
    </row>
    <row r="7" spans="1:45" ht="13.5" x14ac:dyDescent="0.25">
      <c r="A7" s="1"/>
      <c r="B7" s="1"/>
      <c r="C7" s="1"/>
      <c r="X7" s="22">
        <v>1998</v>
      </c>
      <c r="Y7" s="22">
        <v>1999</v>
      </c>
      <c r="Z7" s="22">
        <v>2000</v>
      </c>
      <c r="AA7" s="22">
        <v>2001</v>
      </c>
      <c r="AB7" s="22">
        <v>2002</v>
      </c>
      <c r="AC7" s="22">
        <v>2003</v>
      </c>
      <c r="AD7" s="22">
        <v>2004</v>
      </c>
      <c r="AE7" s="22">
        <v>2005</v>
      </c>
      <c r="AF7" s="22">
        <v>2006</v>
      </c>
      <c r="AG7" s="22">
        <v>2007</v>
      </c>
      <c r="AH7" s="62">
        <v>2008</v>
      </c>
      <c r="AI7" s="62">
        <v>2009</v>
      </c>
      <c r="AJ7" s="62">
        <v>2010</v>
      </c>
      <c r="AK7" s="62">
        <v>2011</v>
      </c>
      <c r="AL7" s="62">
        <v>2012</v>
      </c>
      <c r="AM7" s="62">
        <v>2013</v>
      </c>
      <c r="AN7" s="62">
        <v>2014</v>
      </c>
      <c r="AO7" s="62">
        <v>2015</v>
      </c>
      <c r="AP7" s="62">
        <v>2016</v>
      </c>
      <c r="AQ7" s="62">
        <v>2017</v>
      </c>
      <c r="AR7" s="49" t="s">
        <v>1</v>
      </c>
    </row>
    <row r="8" spans="1:45" ht="13.5" x14ac:dyDescent="0.25">
      <c r="A8" s="1"/>
      <c r="B8" s="1"/>
      <c r="C8" s="1"/>
      <c r="Z8" s="23"/>
      <c r="AA8" s="23"/>
      <c r="AB8" s="23"/>
      <c r="AC8" s="23"/>
      <c r="AD8" s="23"/>
      <c r="AE8" s="23"/>
      <c r="AF8" s="23"/>
      <c r="AG8" s="23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49" t="s">
        <v>49</v>
      </c>
    </row>
    <row r="9" spans="1:45" x14ac:dyDescent="0.2">
      <c r="A9" s="1"/>
      <c r="B9" s="1"/>
      <c r="C9" s="1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5" ht="15" customHeight="1" x14ac:dyDescent="0.25">
      <c r="A10" s="1" t="s">
        <v>5</v>
      </c>
      <c r="B10" s="35">
        <v>5803</v>
      </c>
      <c r="C10" s="35">
        <v>5967</v>
      </c>
      <c r="D10" s="3">
        <f>Kommunerna!D10+Samkommunerna!D10-3413.122</f>
        <v>6155.5228389583754</v>
      </c>
      <c r="E10" s="3">
        <f>Kommunerna!E10+Samkommunerna!E10-3663.629</f>
        <v>6389.1343712731677</v>
      </c>
      <c r="F10" s="3">
        <f>Kommunerna!F10+Samkommunerna!F10-3892.773</f>
        <v>6643.8689999999997</v>
      </c>
      <c r="G10" s="3">
        <f>Kommunerna!G10+Samkommunerna!G10-4252.581</f>
        <v>6989.9959999999992</v>
      </c>
      <c r="H10" s="3">
        <f>Kommunerna!H10+Samkommunerna!H10-4490.475</f>
        <v>7450.5909999999985</v>
      </c>
      <c r="I10" s="3">
        <f>Kommunerna!I10+Samkommunerna!I10-4771.926</f>
        <v>7886.2460000000001</v>
      </c>
      <c r="J10" s="3">
        <v>8294.7080000000005</v>
      </c>
      <c r="K10" s="3">
        <v>8808.4500000000007</v>
      </c>
      <c r="L10" s="3">
        <v>9124.0779999999977</v>
      </c>
      <c r="M10" s="3">
        <v>9748.3349999999991</v>
      </c>
      <c r="N10" s="3">
        <v>10069.828</v>
      </c>
      <c r="O10" s="3">
        <v>10900.157000000003</v>
      </c>
      <c r="P10" s="3">
        <v>11395.599</v>
      </c>
      <c r="Q10" s="3">
        <v>11638.605</v>
      </c>
      <c r="R10" s="3">
        <v>11900.569999999996</v>
      </c>
      <c r="S10" s="3">
        <f>Kommunerna!S10+Samkommunerna!S10-8172.87</f>
        <v>11784.364000000001</v>
      </c>
      <c r="T10" s="3">
        <f>Kommunerna!T10+Samkommunerna!T10-9426.168</f>
        <v>9188.4709999999995</v>
      </c>
      <c r="U10" s="3">
        <f>Kommunerna!U10+Samkommunerna!U10-9563.39</f>
        <v>9350.7000000000007</v>
      </c>
      <c r="V10" s="3">
        <f>Kommunerna!V10+Samkommunerna!V10-10629</f>
        <v>9180.3669999999984</v>
      </c>
      <c r="W10" s="3"/>
      <c r="X10" s="18">
        <f t="shared" ref="X10:AL10" si="0">100*(C10-B10)/B10</f>
        <v>2.8261244184042735</v>
      </c>
      <c r="Y10" s="18">
        <f t="shared" si="0"/>
        <v>3.1594241487912749</v>
      </c>
      <c r="Z10" s="18">
        <f t="shared" si="0"/>
        <v>3.7951533675784987</v>
      </c>
      <c r="AA10" s="18">
        <f t="shared" si="0"/>
        <v>3.9869975167867815</v>
      </c>
      <c r="AB10" s="18">
        <f t="shared" si="0"/>
        <v>5.2097204204357359</v>
      </c>
      <c r="AC10" s="18">
        <f t="shared" si="0"/>
        <v>6.5893456877514582</v>
      </c>
      <c r="AD10" s="18">
        <f t="shared" si="0"/>
        <v>5.8472542647959296</v>
      </c>
      <c r="AE10" s="18">
        <f t="shared" si="0"/>
        <v>5.1794225034319297</v>
      </c>
      <c r="AF10" s="18">
        <f t="shared" si="0"/>
        <v>6.1936116376851382</v>
      </c>
      <c r="AG10" s="18">
        <f t="shared" si="0"/>
        <v>3.5832410923601423</v>
      </c>
      <c r="AH10" s="52">
        <f t="shared" si="0"/>
        <v>6.8418639121673621</v>
      </c>
      <c r="AI10" s="52">
        <f t="shared" si="0"/>
        <v>3.2979272870700527</v>
      </c>
      <c r="AJ10" s="52">
        <f t="shared" si="0"/>
        <v>8.2457118433403576</v>
      </c>
      <c r="AK10" s="52">
        <f t="shared" si="0"/>
        <v>4.5452739809160283</v>
      </c>
      <c r="AL10" s="52">
        <f t="shared" si="0"/>
        <v>2.1324548187418615</v>
      </c>
      <c r="AM10" s="52">
        <f>100*(R10-Q10)/Q10</f>
        <v>2.2508281705582114</v>
      </c>
      <c r="AN10" s="52">
        <f>100*(S10-R10)/R10</f>
        <v>-0.9764742361079739</v>
      </c>
      <c r="AO10" s="52">
        <f>100*(T10-S10)/S10</f>
        <v>-22.028282561536638</v>
      </c>
      <c r="AP10" s="52">
        <f>100*(U10-T10)/T10</f>
        <v>1.7655712250710829</v>
      </c>
      <c r="AQ10" s="52">
        <f>100*(V10-U10)/U10</f>
        <v>-1.8216069385179969</v>
      </c>
      <c r="AR10" s="53">
        <f>100*(EXP(LN(V10/L10)/10)-1)</f>
        <v>6.1522204941377723E-2</v>
      </c>
      <c r="AS10" s="69"/>
    </row>
    <row r="11" spans="1:45" ht="15" customHeight="1" x14ac:dyDescent="0.25">
      <c r="A11" s="1" t="s">
        <v>6</v>
      </c>
      <c r="B11" s="35">
        <v>119</v>
      </c>
      <c r="C11" s="35">
        <v>130</v>
      </c>
      <c r="D11" s="3">
        <f>Kommunerna!D11+Samkommunerna!D11</f>
        <v>167.66418925850988</v>
      </c>
      <c r="E11" s="3">
        <f>Kommunerna!E11+Samkommunerna!E11</f>
        <v>333.44618743198896</v>
      </c>
      <c r="F11" s="3">
        <f>Kommunerna!F11+Samkommunerna!F11</f>
        <v>379.64499999999998</v>
      </c>
      <c r="G11" s="3">
        <f>Kommunerna!G11+Samkommunerna!G11</f>
        <v>403.858</v>
      </c>
      <c r="H11" s="3">
        <f>Kommunerna!H11+Samkommunerna!H11</f>
        <v>422.63400000000001</v>
      </c>
      <c r="I11" s="3">
        <f>Kommunerna!I11+Samkommunerna!I11</f>
        <v>415.07400000000001</v>
      </c>
      <c r="J11" s="3">
        <v>368.642</v>
      </c>
      <c r="K11" s="3">
        <v>402.91200000000003</v>
      </c>
      <c r="L11" s="3">
        <v>421.59</v>
      </c>
      <c r="M11" s="3">
        <v>496.62</v>
      </c>
      <c r="N11" s="3">
        <v>494.17500000000001</v>
      </c>
      <c r="O11" s="3">
        <v>496.495</v>
      </c>
      <c r="P11" s="3">
        <v>640.375</v>
      </c>
      <c r="Q11" s="3">
        <v>604.36900000000003</v>
      </c>
      <c r="R11" s="3">
        <v>595.12</v>
      </c>
      <c r="S11" s="3">
        <f>Kommunerna!S11+Samkommunerna!S11</f>
        <v>512.28499999999997</v>
      </c>
      <c r="T11" s="3">
        <f>Kommunerna!T11+Samkommunerna!T11</f>
        <v>515.846</v>
      </c>
      <c r="U11" s="3">
        <f>Kommunerna!U11+Samkommunerna!U11</f>
        <v>453.05</v>
      </c>
      <c r="V11" s="3">
        <f>Kommunerna!V11+Samkommunerna!V11</f>
        <v>416.05199999999996</v>
      </c>
      <c r="W11" s="3"/>
      <c r="X11" s="3"/>
      <c r="Y11" s="3"/>
      <c r="Z11" s="23"/>
      <c r="AA11" s="23"/>
      <c r="AB11" s="23"/>
      <c r="AC11" s="23"/>
      <c r="AD11" s="23"/>
      <c r="AE11" s="23"/>
      <c r="AF11" s="23"/>
      <c r="AG11" s="23"/>
      <c r="AH11" s="50"/>
      <c r="AI11" s="50"/>
      <c r="AJ11" s="50"/>
      <c r="AK11" s="50"/>
      <c r="AL11" s="50"/>
      <c r="AM11" s="52"/>
      <c r="AN11" s="52"/>
      <c r="AO11" s="52"/>
      <c r="AP11" s="52"/>
      <c r="AQ11" s="52"/>
      <c r="AR11" s="53">
        <f t="shared" ref="AR11:AR28" si="1">100*(EXP(LN(V11/L11)/10)-1)</f>
        <v>-0.13214286763504335</v>
      </c>
    </row>
    <row r="12" spans="1:45" ht="15" customHeight="1" x14ac:dyDescent="0.25">
      <c r="A12" s="1" t="s">
        <v>7</v>
      </c>
      <c r="B12" s="35">
        <v>-18255</v>
      </c>
      <c r="C12" s="35">
        <v>-18795</v>
      </c>
      <c r="D12" s="3">
        <f>Kommunerna!D12+Samkommunerna!D12+3413.122</f>
        <v>-19363.720823057894</v>
      </c>
      <c r="E12" s="3">
        <f>Kommunerna!E12+Samkommunerna!E12+3663.629</f>
        <v>-20530.645842530692</v>
      </c>
      <c r="F12" s="3">
        <f>Kommunerna!F12+Samkommunerna!F12+3892.773</f>
        <v>-22022.605</v>
      </c>
      <c r="G12" s="3">
        <f>Kommunerna!G12+Samkommunerna!G12+4252.581</f>
        <v>-23150.012000000002</v>
      </c>
      <c r="H12" s="3">
        <f>Kommunerna!H12+Samkommunerna!H12+4490.475</f>
        <v>-24202.031000000003</v>
      </c>
      <c r="I12" s="3">
        <f>Kommunerna!I12+Samkommunerna!I12+4771.926</f>
        <v>-25423.575999999997</v>
      </c>
      <c r="J12" s="3">
        <v>-26671.438000000002</v>
      </c>
      <c r="K12" s="3">
        <v>-27921.42</v>
      </c>
      <c r="L12" s="3">
        <v>-29325.528999999999</v>
      </c>
      <c r="M12" s="3">
        <v>-31672.265000000003</v>
      </c>
      <c r="N12" s="3">
        <v>-32974.913</v>
      </c>
      <c r="O12" s="3">
        <v>-34342.777999999991</v>
      </c>
      <c r="P12" s="3">
        <v>-36297.899999999994</v>
      </c>
      <c r="Q12" s="3">
        <v>-38043.281000000003</v>
      </c>
      <c r="R12" s="3">
        <v>-38943.449999999997</v>
      </c>
      <c r="S12" s="3">
        <f>Kommunerna!S12+Samkommunerna!S12+8172.87</f>
        <v>-38968.157999999996</v>
      </c>
      <c r="T12" s="3">
        <f>Kommunerna!T12+Samkommunerna!T12+9426.168</f>
        <v>-37262.436999999998</v>
      </c>
      <c r="U12" s="3">
        <f>Kommunerna!U12+Samkommunerna!U12+9563.39</f>
        <v>-37581.81</v>
      </c>
      <c r="V12" s="3">
        <f>Kommunerna!V12+Samkommunerna!V12+10629</f>
        <v>-37096.211999999992</v>
      </c>
      <c r="W12" s="3"/>
      <c r="X12" s="18">
        <f t="shared" ref="X12:AL13" si="2">100*(C12-B12)/B12</f>
        <v>2.9580936729663105</v>
      </c>
      <c r="Y12" s="18">
        <f t="shared" si="2"/>
        <v>3.025915525713724</v>
      </c>
      <c r="Z12" s="18">
        <f t="shared" si="2"/>
        <v>6.0263470545560063</v>
      </c>
      <c r="AA12" s="18">
        <f t="shared" si="2"/>
        <v>7.2669859921240674</v>
      </c>
      <c r="AB12" s="18">
        <f t="shared" si="2"/>
        <v>5.1193171743306616</v>
      </c>
      <c r="AC12" s="18">
        <f t="shared" si="2"/>
        <v>4.5443561757117017</v>
      </c>
      <c r="AD12" s="18">
        <f t="shared" si="2"/>
        <v>5.0472830152146919</v>
      </c>
      <c r="AE12" s="18">
        <f t="shared" si="2"/>
        <v>4.9082867020752889</v>
      </c>
      <c r="AF12" s="18">
        <f t="shared" si="2"/>
        <v>4.6865939511772714</v>
      </c>
      <c r="AG12" s="18">
        <f t="shared" si="2"/>
        <v>5.0287879341380215</v>
      </c>
      <c r="AH12" s="52">
        <f t="shared" si="2"/>
        <v>8.0023654475252766</v>
      </c>
      <c r="AI12" s="52">
        <f t="shared" si="2"/>
        <v>4.1128981460593277</v>
      </c>
      <c r="AJ12" s="52">
        <f t="shared" si="2"/>
        <v>4.1481989656803364</v>
      </c>
      <c r="AK12" s="52">
        <f t="shared" si="2"/>
        <v>5.692964034534433</v>
      </c>
      <c r="AL12" s="52">
        <f t="shared" si="2"/>
        <v>4.8084902983368423</v>
      </c>
      <c r="AM12" s="52">
        <f t="shared" ref="AM12:AQ13" si="3">100*(R12-Q12)/Q12</f>
        <v>2.3661707832192347</v>
      </c>
      <c r="AN12" s="52">
        <f t="shared" si="3"/>
        <v>6.3445842625650062E-2</v>
      </c>
      <c r="AO12" s="52">
        <f t="shared" si="3"/>
        <v>-4.3772174194120179</v>
      </c>
      <c r="AP12" s="52">
        <f t="shared" si="3"/>
        <v>0.85709101634978846</v>
      </c>
      <c r="AQ12" s="52">
        <f t="shared" si="3"/>
        <v>-1.2921091347117275</v>
      </c>
      <c r="AR12" s="53">
        <f t="shared" si="1"/>
        <v>2.3784077778251422</v>
      </c>
    </row>
    <row r="13" spans="1:45" s="29" customFormat="1" ht="18.75" customHeight="1" x14ac:dyDescent="0.25">
      <c r="A13" s="29" t="s">
        <v>8</v>
      </c>
      <c r="B13" s="30">
        <v>-18136</v>
      </c>
      <c r="C13" s="30">
        <v>-18665</v>
      </c>
      <c r="D13" s="30">
        <f t="shared" ref="D13:I13" si="4">D12+D11</f>
        <v>-19196.056633799384</v>
      </c>
      <c r="E13" s="30">
        <f t="shared" si="4"/>
        <v>-20197.199655098702</v>
      </c>
      <c r="F13" s="30">
        <f t="shared" si="4"/>
        <v>-21642.959999999999</v>
      </c>
      <c r="G13" s="30">
        <f t="shared" si="4"/>
        <v>-22746.154000000002</v>
      </c>
      <c r="H13" s="30">
        <f t="shared" si="4"/>
        <v>-23779.397000000004</v>
      </c>
      <c r="I13" s="30">
        <f t="shared" si="4"/>
        <v>-25008.501999999997</v>
      </c>
      <c r="J13" s="30">
        <v>-26302.796000000002</v>
      </c>
      <c r="K13" s="30">
        <v>-27518.507999999998</v>
      </c>
      <c r="L13" s="30">
        <v>-28903.938999999998</v>
      </c>
      <c r="M13" s="30">
        <v>-31175.645000000004</v>
      </c>
      <c r="N13" s="30">
        <v>-32480.738000000001</v>
      </c>
      <c r="O13" s="30">
        <v>-33846.282999999989</v>
      </c>
      <c r="P13" s="30">
        <v>-35657.524999999994</v>
      </c>
      <c r="Q13" s="30">
        <v>-37438.912000000004</v>
      </c>
      <c r="R13" s="30">
        <v>-38348.329999999994</v>
      </c>
      <c r="S13" s="32">
        <f>S11+S12</f>
        <v>-38455.872999999992</v>
      </c>
      <c r="T13" s="32">
        <f>T11+T12</f>
        <v>-36746.591</v>
      </c>
      <c r="U13" s="32">
        <f>U11+U12</f>
        <v>-37128.759999999995</v>
      </c>
      <c r="V13" s="32">
        <f>V11+V12</f>
        <v>-36680.159999999989</v>
      </c>
      <c r="X13" s="18">
        <f t="shared" si="2"/>
        <v>2.9168504631671812</v>
      </c>
      <c r="Y13" s="18">
        <f t="shared" si="2"/>
        <v>2.8452002882367218</v>
      </c>
      <c r="Z13" s="18">
        <f t="shared" si="2"/>
        <v>5.2153577185043281</v>
      </c>
      <c r="AA13" s="18">
        <f t="shared" si="2"/>
        <v>7.1582217811879696</v>
      </c>
      <c r="AB13" s="18">
        <f t="shared" si="2"/>
        <v>5.0972417820852751</v>
      </c>
      <c r="AC13" s="18">
        <f t="shared" si="2"/>
        <v>4.54249540383839</v>
      </c>
      <c r="AD13" s="18">
        <f t="shared" si="2"/>
        <v>5.168781193232074</v>
      </c>
      <c r="AE13" s="18">
        <f t="shared" si="2"/>
        <v>5.1754159445456009</v>
      </c>
      <c r="AF13" s="18">
        <f t="shared" si="2"/>
        <v>4.6219877156785758</v>
      </c>
      <c r="AG13" s="18">
        <f t="shared" si="2"/>
        <v>5.0345425704038913</v>
      </c>
      <c r="AH13" s="52">
        <f t="shared" si="2"/>
        <v>7.8595031632193999</v>
      </c>
      <c r="AI13" s="52">
        <f t="shared" si="2"/>
        <v>4.1862582153472587</v>
      </c>
      <c r="AJ13" s="52">
        <f t="shared" si="2"/>
        <v>4.2041686368086442</v>
      </c>
      <c r="AK13" s="52">
        <f t="shared" si="2"/>
        <v>5.3513763978159909</v>
      </c>
      <c r="AL13" s="52">
        <f t="shared" si="2"/>
        <v>4.9958234622285476</v>
      </c>
      <c r="AM13" s="52">
        <f t="shared" si="3"/>
        <v>2.4290716567831629</v>
      </c>
      <c r="AN13" s="52">
        <f t="shared" si="3"/>
        <v>0.28043724459447872</v>
      </c>
      <c r="AO13" s="52">
        <f t="shared" si="3"/>
        <v>-4.4447879261510783</v>
      </c>
      <c r="AP13" s="52">
        <f t="shared" si="3"/>
        <v>1.0400121197636929</v>
      </c>
      <c r="AQ13" s="52">
        <f t="shared" si="3"/>
        <v>-1.2082277996895288</v>
      </c>
      <c r="AR13" s="53">
        <f t="shared" si="1"/>
        <v>2.4111914963608649</v>
      </c>
    </row>
    <row r="14" spans="1:45" ht="13.5" x14ac:dyDescent="0.25">
      <c r="A14" s="1"/>
      <c r="B14" s="35"/>
      <c r="C14" s="35"/>
      <c r="Z14" s="23"/>
      <c r="AA14" s="23"/>
      <c r="AB14" s="23"/>
      <c r="AC14" s="23"/>
      <c r="AD14" s="23"/>
      <c r="AE14" s="23"/>
      <c r="AF14" s="23"/>
      <c r="AG14" s="2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3"/>
    </row>
    <row r="15" spans="1:45" ht="13.5" x14ac:dyDescent="0.25">
      <c r="A15" s="8" t="s">
        <v>9</v>
      </c>
      <c r="B15" s="10">
        <v>-12333</v>
      </c>
      <c r="C15" s="10">
        <f>C10+C11+C12</f>
        <v>-12698</v>
      </c>
      <c r="D15" s="10">
        <f t="shared" ref="D15:I15" si="5">D10+D11+D12</f>
        <v>-13040.533794841009</v>
      </c>
      <c r="E15" s="10">
        <f t="shared" si="5"/>
        <v>-13808.065283825536</v>
      </c>
      <c r="F15" s="10">
        <f t="shared" si="5"/>
        <v>-14999.091</v>
      </c>
      <c r="G15" s="10">
        <f t="shared" si="5"/>
        <v>-15756.158000000003</v>
      </c>
      <c r="H15" s="10">
        <f t="shared" si="5"/>
        <v>-16328.806000000004</v>
      </c>
      <c r="I15" s="10">
        <f t="shared" si="5"/>
        <v>-17122.255999999998</v>
      </c>
      <c r="J15" s="10">
        <v>-18008.088000000003</v>
      </c>
      <c r="K15" s="10">
        <v>-18710.057999999997</v>
      </c>
      <c r="L15" s="10">
        <v>-19779.861000000001</v>
      </c>
      <c r="M15" s="10">
        <v>-21427.310000000005</v>
      </c>
      <c r="N15" s="10">
        <v>-22410.910000000003</v>
      </c>
      <c r="O15" s="10">
        <v>-22946.125999999989</v>
      </c>
      <c r="P15" s="10">
        <v>-24261.925999999992</v>
      </c>
      <c r="Q15" s="10">
        <v>-25800.307000000001</v>
      </c>
      <c r="R15" s="10">
        <f>R10+R13</f>
        <v>-26447.759999999998</v>
      </c>
      <c r="S15" s="10">
        <f>S10+S13</f>
        <v>-26671.508999999991</v>
      </c>
      <c r="T15" s="10">
        <f>T10+T13</f>
        <v>-27558.120000000003</v>
      </c>
      <c r="U15" s="10">
        <f>U10+U13</f>
        <v>-27778.059999999994</v>
      </c>
      <c r="V15" s="10">
        <f t="shared" ref="V15:W15" si="6">V10+V13</f>
        <v>-27499.792999999991</v>
      </c>
      <c r="W15" s="10">
        <f t="shared" si="6"/>
        <v>0</v>
      </c>
      <c r="X15" s="18">
        <f t="shared" ref="X15:AQ15" si="7">100*(C15-B15)/B15</f>
        <v>2.9595394470120815</v>
      </c>
      <c r="Y15" s="18">
        <f t="shared" si="7"/>
        <v>2.6975413044653394</v>
      </c>
      <c r="Z15" s="18">
        <f t="shared" si="7"/>
        <v>5.8857367425263778</v>
      </c>
      <c r="AA15" s="18">
        <f t="shared" si="7"/>
        <v>8.6255799903380108</v>
      </c>
      <c r="AB15" s="18">
        <f t="shared" si="7"/>
        <v>5.0474192069372918</v>
      </c>
      <c r="AC15" s="18">
        <f t="shared" si="7"/>
        <v>3.6344393093798688</v>
      </c>
      <c r="AD15" s="18">
        <f t="shared" si="7"/>
        <v>4.8592040348816274</v>
      </c>
      <c r="AE15" s="18">
        <f t="shared" si="7"/>
        <v>5.1735705855583864</v>
      </c>
      <c r="AF15" s="18">
        <f t="shared" si="7"/>
        <v>3.8980817952466347</v>
      </c>
      <c r="AG15" s="18">
        <f t="shared" si="7"/>
        <v>5.7177962783439993</v>
      </c>
      <c r="AH15" s="64">
        <f t="shared" si="7"/>
        <v>8.3289210171901829</v>
      </c>
      <c r="AI15" s="64">
        <f t="shared" si="7"/>
        <v>4.5904035550892681</v>
      </c>
      <c r="AJ15" s="64">
        <f t="shared" si="7"/>
        <v>2.3881939644574257</v>
      </c>
      <c r="AK15" s="64">
        <f t="shared" si="7"/>
        <v>5.7343012933860971</v>
      </c>
      <c r="AL15" s="64">
        <f t="shared" si="7"/>
        <v>6.3407208479656934</v>
      </c>
      <c r="AM15" s="64">
        <f t="shared" si="7"/>
        <v>2.5094778910964033</v>
      </c>
      <c r="AN15" s="64">
        <f t="shared" si="7"/>
        <v>0.84600359349900534</v>
      </c>
      <c r="AO15" s="64">
        <f t="shared" si="7"/>
        <v>3.3241876190807651</v>
      </c>
      <c r="AP15" s="64">
        <f t="shared" si="7"/>
        <v>0.79809508050618616</v>
      </c>
      <c r="AQ15" s="64">
        <f t="shared" si="7"/>
        <v>-1.0017510222096271</v>
      </c>
      <c r="AR15" s="53">
        <f t="shared" si="1"/>
        <v>3.3500328353857745</v>
      </c>
    </row>
    <row r="16" spans="1:45" ht="13.5" x14ac:dyDescent="0.25">
      <c r="A16" s="1"/>
      <c r="B16" s="35"/>
      <c r="C16" s="35"/>
      <c r="Z16" s="23"/>
      <c r="AA16" s="23"/>
      <c r="AB16" s="23"/>
      <c r="AC16" s="23"/>
      <c r="AD16" s="23"/>
      <c r="AE16" s="23"/>
      <c r="AF16" s="23"/>
      <c r="AG16" s="23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3"/>
    </row>
    <row r="17" spans="1:44" ht="15" customHeight="1" x14ac:dyDescent="0.25">
      <c r="A17" s="1" t="s">
        <v>10</v>
      </c>
      <c r="B17" s="35">
        <v>10995</v>
      </c>
      <c r="C17" s="35">
        <v>11796</v>
      </c>
      <c r="D17" s="3">
        <f>Kommunerna!D17+Samkommunerna!D17</f>
        <v>12107.238135603198</v>
      </c>
      <c r="E17" s="3">
        <f>Kommunerna!E17+Samkommunerna!E17</f>
        <v>12918.407495799505</v>
      </c>
      <c r="F17" s="3">
        <f>Kommunerna!F17+Samkommunerna!F17</f>
        <v>14103.073</v>
      </c>
      <c r="G17" s="3">
        <f>Kommunerna!G17+Samkommunerna!G17</f>
        <v>14076.744000000001</v>
      </c>
      <c r="H17" s="3">
        <f>Kommunerna!H17+Samkommunerna!H17</f>
        <v>13504.23</v>
      </c>
      <c r="I17" s="3">
        <f>Kommunerna!I17+Samkommunerna!I17</f>
        <v>13680.898999999999</v>
      </c>
      <c r="J17" s="3">
        <v>14255.29</v>
      </c>
      <c r="K17" s="3">
        <v>15166.924000000001</v>
      </c>
      <c r="L17" s="3">
        <v>16296.266</v>
      </c>
      <c r="M17" s="3">
        <v>17530.599999999999</v>
      </c>
      <c r="N17" s="3">
        <v>17610.871999999999</v>
      </c>
      <c r="O17" s="3">
        <v>18352.394</v>
      </c>
      <c r="P17" s="3">
        <v>19066.726999999999</v>
      </c>
      <c r="Q17" s="3">
        <v>19319.099999999999</v>
      </c>
      <c r="R17" s="3">
        <v>20642.86</v>
      </c>
      <c r="S17" s="3">
        <f>Kommunerna!S17+Samkommunerna!S17</f>
        <v>21177.8</v>
      </c>
      <c r="T17" s="3">
        <f>Kommunerna!T17+Samkommunerna!T17</f>
        <v>21768.09</v>
      </c>
      <c r="U17" s="3">
        <f>Kommunerna!U17+Samkommunerna!U17</f>
        <v>22100.1</v>
      </c>
      <c r="V17" s="3">
        <f>Kommunerna!V17+Samkommunerna!V17</f>
        <v>22546.446999999993</v>
      </c>
      <c r="W17" s="3">
        <f>Kommunerna!W17+Samkommunerna!W17</f>
        <v>0</v>
      </c>
      <c r="X17" s="3">
        <f>Kommunerna!X17+Samkommunerna!X17</f>
        <v>7.2873007617707444</v>
      </c>
      <c r="Y17" s="3">
        <f>Kommunerna!Y17+Samkommunerna!Y17</f>
        <v>2.6353317745017026</v>
      </c>
      <c r="Z17" s="3">
        <f>Kommunerna!Z17+Samkommunerna!Z17</f>
        <v>6.6998711936699955</v>
      </c>
      <c r="AA17" s="3">
        <f>Kommunerna!AA17+Samkommunerna!AA17</f>
        <v>9.1703679775211899</v>
      </c>
      <c r="AB17" s="3">
        <f>Kommunerna!AB17+Samkommunerna!AB17</f>
        <v>-0.18668980866793872</v>
      </c>
      <c r="AC17" s="3">
        <f>Kommunerna!AC17+Samkommunerna!AC17</f>
        <v>-4.067091082994768</v>
      </c>
      <c r="AD17" s="3">
        <f>Kommunerna!AD17+Samkommunerna!AD17</f>
        <v>1.3082493411323701</v>
      </c>
      <c r="AE17" s="3">
        <f>Kommunerna!AE17+Samkommunerna!AE17</f>
        <v>4.1984887104275934</v>
      </c>
      <c r="AF17" s="3">
        <f>Kommunerna!AF17+Samkommunerna!AF17</f>
        <v>6.395057554072908</v>
      </c>
      <c r="AG17" s="3">
        <f>Kommunerna!AG17+Samkommunerna!AG17</f>
        <v>7.4460846510472303</v>
      </c>
      <c r="AH17" s="52">
        <f t="shared" ref="AH17:AQ18" si="8">100*(M17-L17)/L17</f>
        <v>7.5743363541071247</v>
      </c>
      <c r="AI17" s="52">
        <f t="shared" si="8"/>
        <v>0.45789647815819684</v>
      </c>
      <c r="AJ17" s="52">
        <f t="shared" si="8"/>
        <v>4.2105921841916789</v>
      </c>
      <c r="AK17" s="52">
        <f t="shared" si="8"/>
        <v>3.8923150843426679</v>
      </c>
      <c r="AL17" s="52">
        <f t="shared" si="8"/>
        <v>1.3236304269736467</v>
      </c>
      <c r="AM17" s="52">
        <f t="shared" si="8"/>
        <v>6.8520790305966743</v>
      </c>
      <c r="AN17" s="52">
        <f t="shared" si="8"/>
        <v>2.5914044856187499</v>
      </c>
      <c r="AO17" s="52">
        <f t="shared" si="8"/>
        <v>2.7873055747055919</v>
      </c>
      <c r="AP17" s="52">
        <f t="shared" si="8"/>
        <v>1.5252142011540673</v>
      </c>
      <c r="AQ17" s="52">
        <f t="shared" si="8"/>
        <v>2.0196605445223974</v>
      </c>
      <c r="AR17" s="53">
        <f t="shared" si="1"/>
        <v>3.2996858586562094</v>
      </c>
    </row>
    <row r="18" spans="1:44" ht="15" customHeight="1" x14ac:dyDescent="0.25">
      <c r="A18" s="1" t="s">
        <v>11</v>
      </c>
      <c r="B18" s="35">
        <v>3329</v>
      </c>
      <c r="C18" s="35">
        <v>3184</v>
      </c>
      <c r="D18" s="3">
        <f>Kommunerna!D18+Samkommunerna!D18</f>
        <v>3193.0531658854334</v>
      </c>
      <c r="E18" s="3">
        <f>Kommunerna!E18+Samkommunerna!E18</f>
        <v>3350.3431874639446</v>
      </c>
      <c r="F18" s="3">
        <f>Kommunerna!F18+Samkommunerna!F18</f>
        <v>3667.04</v>
      </c>
      <c r="G18" s="3">
        <f>Kommunerna!G18+Samkommunerna!G18</f>
        <v>3892.3040000000001</v>
      </c>
      <c r="H18" s="3">
        <f>Kommunerna!H18+Samkommunerna!H18</f>
        <v>4289.2039999999997</v>
      </c>
      <c r="I18" s="3">
        <f>Kommunerna!I18+Samkommunerna!I18</f>
        <v>4735.3869999999997</v>
      </c>
      <c r="J18" s="3">
        <v>5067.9170000000004</v>
      </c>
      <c r="K18" s="3">
        <v>5496.6490000000003</v>
      </c>
      <c r="L18" s="3">
        <v>5756.6090000000004</v>
      </c>
      <c r="M18" s="3">
        <v>6426</v>
      </c>
      <c r="N18" s="3">
        <v>6910.41</v>
      </c>
      <c r="O18" s="3">
        <v>7432.5479999999998</v>
      </c>
      <c r="P18" s="3">
        <v>7660.4870000000001</v>
      </c>
      <c r="Q18" s="3">
        <v>8070.9549999999999</v>
      </c>
      <c r="R18" s="3">
        <v>8288.2099999999991</v>
      </c>
      <c r="S18" s="3">
        <f>Kommunerna!S18+Samkommunerna!S18</f>
        <v>8196.2000000000007</v>
      </c>
      <c r="T18" s="3">
        <f>Kommunerna!T18+Samkommunerna!T18</f>
        <v>8233.2000000000007</v>
      </c>
      <c r="U18" s="3">
        <f>Kommunerna!U18+Samkommunerna!U18</f>
        <v>8829.6</v>
      </c>
      <c r="V18" s="3">
        <f>Kommunerna!V18+Samkommunerna!V18</f>
        <v>8540.700000000008</v>
      </c>
      <c r="W18" s="3">
        <f>Kommunerna!W18+Samkommunerna!W18</f>
        <v>0</v>
      </c>
      <c r="X18" s="3">
        <f>Kommunerna!X18+Samkommunerna!X18</f>
        <v>-4.3748421318514854</v>
      </c>
      <c r="Y18" s="3">
        <f>Kommunerna!Y18+Samkommunerna!Y18</f>
        <v>0.29601141106238887</v>
      </c>
      <c r="Z18" s="3">
        <f>Kommunerna!Z18+Samkommunerna!Z18</f>
        <v>4.9260069722294988</v>
      </c>
      <c r="AA18" s="3">
        <f>Kommunerna!AA18+Samkommunerna!AA18</f>
        <v>9.4526678258229513</v>
      </c>
      <c r="AB18" s="3">
        <f>Kommunerna!AB18+Samkommunerna!AB18</f>
        <v>6.1429381735677859</v>
      </c>
      <c r="AC18" s="3">
        <f>Kommunerna!AC18+Samkommunerna!AC18</f>
        <v>10.197045246208919</v>
      </c>
      <c r="AD18" s="3">
        <f>Kommunerna!AD18+Samkommunerna!AD18</f>
        <v>10.402466285119571</v>
      </c>
      <c r="AE18" s="3">
        <f>Kommunerna!AE18+Samkommunerna!AE18</f>
        <v>7.0222349303235552</v>
      </c>
      <c r="AF18" s="3">
        <f>Kommunerna!AF18+Samkommunerna!AF18</f>
        <v>8.4597281289334436</v>
      </c>
      <c r="AG18" s="3">
        <f>Kommunerna!AG18+Samkommunerna!AG18</f>
        <v>4.7294269654111085</v>
      </c>
      <c r="AH18" s="52">
        <f t="shared" si="8"/>
        <v>11.628217236918463</v>
      </c>
      <c r="AI18" s="52">
        <f t="shared" si="8"/>
        <v>7.5382819794584481</v>
      </c>
      <c r="AJ18" s="52">
        <f t="shared" si="8"/>
        <v>7.5558179615970671</v>
      </c>
      <c r="AK18" s="52">
        <f t="shared" si="8"/>
        <v>3.0667679509099748</v>
      </c>
      <c r="AL18" s="52">
        <f t="shared" si="8"/>
        <v>5.3582494167798975</v>
      </c>
      <c r="AM18" s="52">
        <f t="shared" si="8"/>
        <v>2.691812802821961</v>
      </c>
      <c r="AN18" s="52">
        <f t="shared" si="8"/>
        <v>-1.1101311380864916</v>
      </c>
      <c r="AO18" s="52">
        <f t="shared" si="8"/>
        <v>0.45142871086601105</v>
      </c>
      <c r="AP18" s="52">
        <f t="shared" si="8"/>
        <v>7.2438420055385464</v>
      </c>
      <c r="AQ18" s="52">
        <f t="shared" si="8"/>
        <v>-3.2719488991572931</v>
      </c>
      <c r="AR18" s="53">
        <f t="shared" si="1"/>
        <v>4.0237901627497186</v>
      </c>
    </row>
    <row r="19" spans="1:44" ht="15" hidden="1" customHeight="1" x14ac:dyDescent="0.25">
      <c r="A19" s="1"/>
      <c r="B19" s="35">
        <v>-696</v>
      </c>
      <c r="C19" s="35">
        <v>-750</v>
      </c>
      <c r="D19" s="3">
        <f>Kommunerna!D19+Samkommunerna!D19</f>
        <v>-771.32782686062092</v>
      </c>
      <c r="E19" s="3">
        <f>Kommunerna!E19+Samkommunerna!E19</f>
        <v>-815.66939635671315</v>
      </c>
      <c r="F19" s="3">
        <f>Kommunerna!F19+Samkommunerna!F19</f>
        <v>-881.46699999999998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3" t="e">
        <f t="shared" si="1"/>
        <v>#DIV/0!</v>
      </c>
    </row>
    <row r="20" spans="1:44" ht="15" customHeight="1" x14ac:dyDescent="0.25">
      <c r="A20" s="1" t="s">
        <v>12</v>
      </c>
      <c r="B20" s="35"/>
      <c r="C20" s="3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3"/>
    </row>
    <row r="21" spans="1:44" ht="15" customHeight="1" x14ac:dyDescent="0.25">
      <c r="A21" s="1" t="s">
        <v>13</v>
      </c>
      <c r="B21" s="35">
        <v>255</v>
      </c>
      <c r="C21" s="35">
        <v>235</v>
      </c>
      <c r="D21" s="3">
        <f>Kommunerna!D21+Samkommunerna!D21</f>
        <v>207.5955349469283</v>
      </c>
      <c r="E21" s="3">
        <f>Kommunerna!E21+Samkommunerna!E21</f>
        <v>245.84550593451098</v>
      </c>
      <c r="F21" s="3">
        <f>Kommunerna!F21+Samkommunerna!F21</f>
        <v>253.60399999999998</v>
      </c>
      <c r="G21" s="3">
        <f>Kommunerna!G21+Samkommunerna!G21</f>
        <v>187.90900000000002</v>
      </c>
      <c r="H21" s="3">
        <f>Kommunerna!H21+Samkommunerna!H21</f>
        <v>178.51300000000001</v>
      </c>
      <c r="I21" s="3">
        <f>Kommunerna!I21+Samkommunerna!I21</f>
        <v>155.654</v>
      </c>
      <c r="J21" s="3">
        <v>159.64099999999999</v>
      </c>
      <c r="K21" s="3">
        <v>208.55099999999999</v>
      </c>
      <c r="L21" s="3">
        <v>261.08199999999999</v>
      </c>
      <c r="M21" s="3">
        <v>290</v>
      </c>
      <c r="N21" s="3">
        <v>207.298</v>
      </c>
      <c r="O21" s="3">
        <v>233.77100000000002</v>
      </c>
      <c r="P21" s="3">
        <v>263.75700000000001</v>
      </c>
      <c r="Q21" s="3">
        <v>229.77200000000002</v>
      </c>
      <c r="R21" s="3">
        <v>212.25</v>
      </c>
      <c r="S21" s="3">
        <f>Kommunerna!S21+Samkommunerna!S21</f>
        <v>206.571</v>
      </c>
      <c r="T21" s="3">
        <f>Kommunerna!T21+Samkommunerna!T21</f>
        <v>255.614</v>
      </c>
      <c r="U21" s="3">
        <f>Kommunerna!U21+Samkommunerna!U21</f>
        <v>250.37</v>
      </c>
      <c r="V21" s="3">
        <f>Kommunerna!V21+Samkommunerna!V21</f>
        <v>251.67799999999991</v>
      </c>
      <c r="W21" s="3">
        <f>Kommunerna!W21+Samkommunerna!W21</f>
        <v>0</v>
      </c>
      <c r="X21" s="3">
        <f>Kommunerna!X21+Samkommunerna!X21</f>
        <v>-4.5540601455341703</v>
      </c>
      <c r="Y21" s="3">
        <f>Kommunerna!Y21+Samkommunerna!Y21</f>
        <v>-10.551252961483769</v>
      </c>
      <c r="Z21" s="3">
        <f>Kommunerna!Z21+Samkommunerna!Z21</f>
        <v>118.85572594330479</v>
      </c>
      <c r="AA21" s="3">
        <f>Kommunerna!AA21+Samkommunerna!AA21</f>
        <v>3.3736873873631317</v>
      </c>
      <c r="AB21" s="3">
        <f>Kommunerna!AB21+Samkommunerna!AB21</f>
        <v>-49.805751248309114</v>
      </c>
      <c r="AC21" s="3">
        <f>Kommunerna!AC21+Samkommunerna!AC21</f>
        <v>-16.898798443712266</v>
      </c>
      <c r="AD21" s="3">
        <f>Kommunerna!AD21+Samkommunerna!AD21</f>
        <v>-19.117924716540628</v>
      </c>
      <c r="AE21" s="3">
        <f>Kommunerna!AE21+Samkommunerna!AE21</f>
        <v>3.4740351720662295</v>
      </c>
      <c r="AF21" s="3">
        <f>Kommunerna!AF21+Samkommunerna!AF21</f>
        <v>96.840425085298904</v>
      </c>
      <c r="AG21" s="3">
        <f>Kommunerna!AG21+Samkommunerna!AG21</f>
        <v>41.883123942453309</v>
      </c>
      <c r="AH21" s="52">
        <f t="shared" ref="AH21:AQ21" si="9">100*(M21-L21)/L21</f>
        <v>11.076213603388977</v>
      </c>
      <c r="AI21" s="52">
        <f t="shared" si="9"/>
        <v>-28.517931034482761</v>
      </c>
      <c r="AJ21" s="52">
        <f t="shared" si="9"/>
        <v>12.770504298160143</v>
      </c>
      <c r="AK21" s="52">
        <f t="shared" si="9"/>
        <v>12.827082914476128</v>
      </c>
      <c r="AL21" s="52">
        <f t="shared" si="9"/>
        <v>-12.884966086208133</v>
      </c>
      <c r="AM21" s="52">
        <f t="shared" si="9"/>
        <v>-7.6258203784621363</v>
      </c>
      <c r="AN21" s="52">
        <f t="shared" si="9"/>
        <v>-2.6756183745583049</v>
      </c>
      <c r="AO21" s="52">
        <f t="shared" si="9"/>
        <v>23.741473875810261</v>
      </c>
      <c r="AP21" s="52">
        <f t="shared" si="9"/>
        <v>-2.0515308238202916</v>
      </c>
      <c r="AQ21" s="52">
        <f t="shared" si="9"/>
        <v>0.52242680832364397</v>
      </c>
      <c r="AR21" s="53">
        <f t="shared" si="1"/>
        <v>-0.36616837802085911</v>
      </c>
    </row>
    <row r="22" spans="1:44" ht="15" customHeight="1" x14ac:dyDescent="0.25">
      <c r="A22" s="1" t="s">
        <v>14</v>
      </c>
      <c r="B22" s="35">
        <v>129</v>
      </c>
      <c r="C22" s="35">
        <v>155</v>
      </c>
      <c r="D22" s="3">
        <f>Kommunerna!D22+Samkommunerna!D22</f>
        <v>207.63775011647013</v>
      </c>
      <c r="E22" s="3">
        <f>Kommunerna!E22+Samkommunerna!E22</f>
        <v>146.27657159003184</v>
      </c>
      <c r="F22" s="3">
        <f>Kommunerna!F22+Samkommunerna!F22</f>
        <v>151.02199999999999</v>
      </c>
      <c r="G22" s="3">
        <f>Kommunerna!G22+Samkommunerna!G22</f>
        <v>167.06700000000001</v>
      </c>
      <c r="H22" s="3">
        <f>Kommunerna!H22+Samkommunerna!H22</f>
        <v>182.25900000000001</v>
      </c>
      <c r="I22" s="3">
        <f>Kommunerna!I22+Samkommunerna!I22</f>
        <v>236.94399999999999</v>
      </c>
      <c r="J22" s="3">
        <v>265.44</v>
      </c>
      <c r="K22" s="3">
        <v>268.80799999999999</v>
      </c>
      <c r="L22" s="3">
        <v>291.29700000000003</v>
      </c>
      <c r="M22" s="3">
        <v>263.56</v>
      </c>
      <c r="N22" s="3">
        <v>323.56700000000006</v>
      </c>
      <c r="O22" s="3">
        <v>314.94399999999996</v>
      </c>
      <c r="P22" s="3">
        <v>302.29500000000002</v>
      </c>
      <c r="Q22" s="3">
        <v>379.41199999999998</v>
      </c>
      <c r="R22" s="3">
        <v>363.17</v>
      </c>
      <c r="S22" s="3">
        <f>Kommunerna!S22+Samkommunerna!S22</f>
        <v>342.76400000000001</v>
      </c>
      <c r="T22" s="3">
        <f>Kommunerna!T22+Samkommunerna!T22</f>
        <v>390.517</v>
      </c>
      <c r="U22" s="3">
        <f>Kommunerna!U22+Samkommunerna!U22</f>
        <v>352.96999999999997</v>
      </c>
      <c r="V22" s="3">
        <f>Kommunerna!V22+Samkommunerna!V22</f>
        <v>428.07799999999992</v>
      </c>
      <c r="W22" s="3">
        <f>Kommunerna!W22+Samkommunerna!W22</f>
        <v>0</v>
      </c>
      <c r="X22" s="3">
        <f>Kommunerna!X22+Samkommunerna!X22</f>
        <v>0</v>
      </c>
      <c r="Y22" s="3">
        <f>Kommunerna!Y22+Samkommunerna!Y22</f>
        <v>0</v>
      </c>
      <c r="Z22" s="3">
        <f>Kommunerna!Z22+Samkommunerna!Z22</f>
        <v>0</v>
      </c>
      <c r="AA22" s="3">
        <f>Kommunerna!AA22+Samkommunerna!AA22</f>
        <v>0</v>
      </c>
      <c r="AB22" s="3">
        <f>Kommunerna!AB22+Samkommunerna!AB22</f>
        <v>0</v>
      </c>
      <c r="AC22" s="3">
        <f>Kommunerna!AC22+Samkommunerna!AC22</f>
        <v>0</v>
      </c>
      <c r="AD22" s="3">
        <f>Kommunerna!AD22+Samkommunerna!AD22</f>
        <v>0</v>
      </c>
      <c r="AE22" s="3">
        <f>Kommunerna!AE22+Samkommunerna!AE22</f>
        <v>0</v>
      </c>
      <c r="AF22" s="3">
        <f>Kommunerna!AF22+Samkommunerna!AF22</f>
        <v>0</v>
      </c>
      <c r="AG22" s="3">
        <f>Kommunerna!AG22+Samkommunerna!AG22</f>
        <v>0</v>
      </c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3">
        <f t="shared" si="1"/>
        <v>3.9246785107018844</v>
      </c>
    </row>
    <row r="23" spans="1:44" ht="15" customHeight="1" x14ac:dyDescent="0.25">
      <c r="A23" s="1" t="s">
        <v>15</v>
      </c>
      <c r="B23" s="35">
        <v>-313</v>
      </c>
      <c r="C23" s="35">
        <v>-287</v>
      </c>
      <c r="D23" s="3">
        <f>Kommunerna!D23+Samkommunerna!D23</f>
        <v>-239.2064557253693</v>
      </c>
      <c r="E23" s="3">
        <f>Kommunerna!E23+Samkommunerna!E23</f>
        <v>-243.79680880228332</v>
      </c>
      <c r="F23" s="3">
        <f>Kommunerna!F23+Samkommunerna!F23</f>
        <v>-258.96100000000001</v>
      </c>
      <c r="G23" s="3">
        <f>Kommunerna!G23+Samkommunerna!G23</f>
        <v>-205.798</v>
      </c>
      <c r="H23" s="3">
        <f>Kommunerna!H23+Samkommunerna!H23</f>
        <v>-186.57100000000003</v>
      </c>
      <c r="I23" s="3">
        <f>Kommunerna!I23+Samkommunerna!I23</f>
        <v>-188.018</v>
      </c>
      <c r="J23" s="3">
        <v>-210.15699999999998</v>
      </c>
      <c r="K23" s="3">
        <v>-268.327</v>
      </c>
      <c r="L23" s="3">
        <v>-363.37</v>
      </c>
      <c r="M23" s="3">
        <v>-427</v>
      </c>
      <c r="N23" s="3">
        <v>-294.22199999999998</v>
      </c>
      <c r="O23" s="3">
        <v>-295.49700000000001</v>
      </c>
      <c r="P23" s="3">
        <v>-353.46600000000001</v>
      </c>
      <c r="Q23" s="3">
        <v>-334.416</v>
      </c>
      <c r="R23" s="3">
        <v>-298.39999999999998</v>
      </c>
      <c r="S23" s="3">
        <f>Kommunerna!S23+Samkommunerna!S23</f>
        <v>-312.97199999999998</v>
      </c>
      <c r="T23" s="3">
        <f>Kommunerna!T23+Samkommunerna!T23</f>
        <v>-291.11400000000003</v>
      </c>
      <c r="U23" s="3">
        <f>Kommunerna!U23+Samkommunerna!U23</f>
        <v>-267.78000000000003</v>
      </c>
      <c r="V23" s="3">
        <f>Kommunerna!V23+Samkommunerna!V23</f>
        <v>-256.29599999999999</v>
      </c>
      <c r="W23" s="3">
        <f>Kommunerna!W23+Samkommunerna!W23</f>
        <v>0</v>
      </c>
      <c r="X23" s="3">
        <f>Kommunerna!X23+Samkommunerna!X23</f>
        <v>-13.648434136146152</v>
      </c>
      <c r="Y23" s="3">
        <f>Kommunerna!Y23+Samkommunerna!Y23</f>
        <v>-33.038070534117047</v>
      </c>
      <c r="Z23" s="3">
        <f>Kommunerna!Z23+Samkommunerna!Z23</f>
        <v>-11.496586550346331</v>
      </c>
      <c r="AA23" s="3">
        <f>Kommunerna!AA23+Samkommunerna!AA23</f>
        <v>4.4023161029598974</v>
      </c>
      <c r="AB23" s="3">
        <f>Kommunerna!AB23+Samkommunerna!AB23</f>
        <v>-64.100808228252248</v>
      </c>
      <c r="AC23" s="3">
        <f>Kommunerna!AC23+Samkommunerna!AC23</f>
        <v>-19.564522159798642</v>
      </c>
      <c r="AD23" s="3">
        <f>Kommunerna!AD23+Samkommunerna!AD23</f>
        <v>-13.56498312405339</v>
      </c>
      <c r="AE23" s="3">
        <f>Kommunerna!AE23+Samkommunerna!AE23</f>
        <v>24.880447445112715</v>
      </c>
      <c r="AF23" s="3">
        <f>Kommunerna!AF23+Samkommunerna!AF23</f>
        <v>54.702641779792373</v>
      </c>
      <c r="AG23" s="3">
        <f>Kommunerna!AG23+Samkommunerna!AG23</f>
        <v>88.418900081339658</v>
      </c>
      <c r="AH23" s="52">
        <f t="shared" ref="AH23:AQ23" si="10">100*(M23-L23)/L23</f>
        <v>17.511076863802735</v>
      </c>
      <c r="AI23" s="52">
        <f t="shared" si="10"/>
        <v>-31.095550351288065</v>
      </c>
      <c r="AJ23" s="52">
        <f t="shared" si="10"/>
        <v>0.43334624875095479</v>
      </c>
      <c r="AK23" s="52">
        <f t="shared" si="10"/>
        <v>19.61745804525934</v>
      </c>
      <c r="AL23" s="52">
        <f t="shared" si="10"/>
        <v>-5.389485834564006</v>
      </c>
      <c r="AM23" s="52">
        <f t="shared" si="10"/>
        <v>-10.769819625855229</v>
      </c>
      <c r="AN23" s="52">
        <f t="shared" si="10"/>
        <v>4.8833780160857918</v>
      </c>
      <c r="AO23" s="52">
        <f t="shared" si="10"/>
        <v>-6.984011349258064</v>
      </c>
      <c r="AP23" s="52">
        <f t="shared" si="10"/>
        <v>-8.015416640903565</v>
      </c>
      <c r="AQ23" s="52">
        <f t="shared" si="10"/>
        <v>-4.2885951153932469</v>
      </c>
      <c r="AR23" s="53">
        <f t="shared" si="1"/>
        <v>-3.4306571784816553</v>
      </c>
    </row>
    <row r="24" spans="1:44" ht="15" customHeight="1" x14ac:dyDescent="0.25">
      <c r="A24" s="1" t="s">
        <v>16</v>
      </c>
      <c r="B24" s="35">
        <v>-117</v>
      </c>
      <c r="C24" s="35">
        <v>-142</v>
      </c>
      <c r="D24" s="3">
        <f>Kommunerna!D24+Samkommunerna!D24</f>
        <v>-81.962013074929402</v>
      </c>
      <c r="E24" s="3">
        <f>Kommunerna!E24+Samkommunerna!E24</f>
        <v>-95.24196356040386</v>
      </c>
      <c r="F24" s="3">
        <f>Kommunerna!F24+Samkommunerna!F24</f>
        <v>-82.531000000000006</v>
      </c>
      <c r="G24" s="3">
        <f>Kommunerna!G24+Samkommunerna!G24</f>
        <v>-99.510999999999996</v>
      </c>
      <c r="H24" s="3">
        <f>Kommunerna!H24+Samkommunerna!H24</f>
        <v>-54.591000000000001</v>
      </c>
      <c r="I24" s="3">
        <f>Kommunerna!I24+Samkommunerna!I24</f>
        <v>-58.786000000000001</v>
      </c>
      <c r="J24" s="3">
        <v>-53.260999999999996</v>
      </c>
      <c r="K24" s="3">
        <v>-58.242000000000004</v>
      </c>
      <c r="L24" s="3">
        <v>-74.81</v>
      </c>
      <c r="M24" s="3">
        <v>-255</v>
      </c>
      <c r="N24" s="3">
        <v>-40.942</v>
      </c>
      <c r="O24" s="3">
        <v>-66.540000000000006</v>
      </c>
      <c r="P24" s="3">
        <v>-130.22399999999999</v>
      </c>
      <c r="Q24" s="3">
        <v>-73.058999999999997</v>
      </c>
      <c r="R24" s="3">
        <v>-67.14</v>
      </c>
      <c r="S24" s="3">
        <f>Kommunerna!S24+Samkommunerna!S24</f>
        <v>-64.207999999999998</v>
      </c>
      <c r="T24" s="3">
        <f>Kommunerna!T24+Samkommunerna!T24</f>
        <v>-100.774</v>
      </c>
      <c r="U24" s="3">
        <f>Kommunerna!U24+Samkommunerna!U24</f>
        <v>-64.790000000000006</v>
      </c>
      <c r="V24" s="3">
        <f>Kommunerna!V24+Samkommunerna!V24</f>
        <v>-51.156999999999996</v>
      </c>
      <c r="W24" s="3">
        <f>Kommunerna!W24+Samkommunerna!W24</f>
        <v>0</v>
      </c>
      <c r="X24" s="3">
        <f>Kommunerna!X24+Samkommunerna!X24</f>
        <v>0</v>
      </c>
      <c r="Y24" s="3">
        <f>Kommunerna!Y24+Samkommunerna!Y24</f>
        <v>0</v>
      </c>
      <c r="Z24" s="3">
        <f>Kommunerna!Z24+Samkommunerna!Z24</f>
        <v>0</v>
      </c>
      <c r="AA24" s="3">
        <f>Kommunerna!AA24+Samkommunerna!AA24</f>
        <v>0</v>
      </c>
      <c r="AB24" s="3">
        <f>Kommunerna!AB24+Samkommunerna!AB24</f>
        <v>0</v>
      </c>
      <c r="AC24" s="3">
        <f>Kommunerna!AC24+Samkommunerna!AC24</f>
        <v>0</v>
      </c>
      <c r="AD24" s="3">
        <f>Kommunerna!AD24+Samkommunerna!AD24</f>
        <v>0</v>
      </c>
      <c r="AE24" s="3">
        <f>Kommunerna!AE24+Samkommunerna!AE24</f>
        <v>0</v>
      </c>
      <c r="AF24" s="3">
        <f>Kommunerna!AF24+Samkommunerna!AF24</f>
        <v>0</v>
      </c>
      <c r="AG24" s="3">
        <f>Kommunerna!AG24+Samkommunerna!AG24</f>
        <v>0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3">
        <f t="shared" si="1"/>
        <v>-3.729208738918155</v>
      </c>
    </row>
    <row r="25" spans="1:44" ht="13.5" x14ac:dyDescent="0.25">
      <c r="A25" s="1"/>
      <c r="B25" s="35"/>
      <c r="C25" s="35"/>
      <c r="Z25" s="23"/>
      <c r="AA25" s="23"/>
      <c r="AB25" s="23"/>
      <c r="AC25" s="23"/>
      <c r="AD25" s="23"/>
      <c r="AE25" s="23"/>
      <c r="AF25" s="23"/>
      <c r="AG25" s="23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3"/>
    </row>
    <row r="26" spans="1:44" ht="13.5" x14ac:dyDescent="0.25">
      <c r="A26" s="8" t="s">
        <v>17</v>
      </c>
      <c r="B26" s="10">
        <v>1249</v>
      </c>
      <c r="C26" s="10">
        <v>1492</v>
      </c>
      <c r="D26" s="10">
        <f>D15+D17+D18+D21+D22+D23+D24+D19</f>
        <v>1582.4944960501016</v>
      </c>
      <c r="E26" s="10">
        <f>E15+E17+E18+E21+E22+E23+E24+E19</f>
        <v>1698.0993082430568</v>
      </c>
      <c r="F26" s="10">
        <f>F15+F17+F18+F21+F22+F23+F24+F19</f>
        <v>1952.6889999999999</v>
      </c>
      <c r="G26" s="10">
        <f>G15+G17+G18+G21+G22+G23+G24</f>
        <v>2262.5569999999975</v>
      </c>
      <c r="H26" s="10">
        <f>H15+H17+H18+H21+H22+H23+H24</f>
        <v>1584.2379999999953</v>
      </c>
      <c r="I26" s="10">
        <f>I15+I17+I18+I21+I22+I23+I24</f>
        <v>1439.8240000000014</v>
      </c>
      <c r="J26" s="10">
        <v>1476.7819999999981</v>
      </c>
      <c r="K26" s="10">
        <v>2104.3050000000039</v>
      </c>
      <c r="L26" s="10">
        <v>2387.2129999999993</v>
      </c>
      <c r="M26" s="10">
        <v>2400.8499999999935</v>
      </c>
      <c r="N26" s="10">
        <v>2306.0729999999958</v>
      </c>
      <c r="O26" s="10">
        <v>3025.4940000000111</v>
      </c>
      <c r="P26" s="10">
        <v>2547.6500000000069</v>
      </c>
      <c r="Q26" s="10">
        <v>1791.4569999999976</v>
      </c>
      <c r="R26" s="10">
        <v>2693.1899999999978</v>
      </c>
      <c r="S26" s="10">
        <f>S15+S17+S18+S21+S22+S23+S24</f>
        <v>2874.6460000000093</v>
      </c>
      <c r="T26" s="10">
        <f>T15+T17+T18+T21+T22+T23+T24</f>
        <v>2697.4129999999982</v>
      </c>
      <c r="U26" s="10">
        <f>U15+U17+U18+U21+U22+U23+U24</f>
        <v>3422.4100000000044</v>
      </c>
      <c r="V26" s="10">
        <f>V15+V17+V18+V21+V22+V23+V24</f>
        <v>3959.6570000000097</v>
      </c>
      <c r="W26" s="10"/>
      <c r="X26" s="18">
        <f t="shared" ref="X26:AQ26" si="11">100*(C26-B26)/B26</f>
        <v>19.455564451561248</v>
      </c>
      <c r="Y26" s="18">
        <f t="shared" si="11"/>
        <v>6.0653147486663261</v>
      </c>
      <c r="Z26" s="18">
        <f t="shared" si="11"/>
        <v>7.3052268100460562</v>
      </c>
      <c r="AA26" s="18">
        <f t="shared" si="11"/>
        <v>14.992626786966595</v>
      </c>
      <c r="AB26" s="18">
        <f t="shared" si="11"/>
        <v>15.868784020394322</v>
      </c>
      <c r="AC26" s="18">
        <f t="shared" si="11"/>
        <v>-29.980194974093603</v>
      </c>
      <c r="AD26" s="18">
        <f t="shared" si="11"/>
        <v>-9.1156758012365735</v>
      </c>
      <c r="AE26" s="18">
        <f t="shared" si="11"/>
        <v>2.5668415028501146</v>
      </c>
      <c r="AF26" s="18">
        <f t="shared" si="11"/>
        <v>42.492595386455591</v>
      </c>
      <c r="AG26" s="18">
        <f t="shared" si="11"/>
        <v>13.444248813741108</v>
      </c>
      <c r="AH26" s="64">
        <f t="shared" si="11"/>
        <v>0.57125191593687963</v>
      </c>
      <c r="AI26" s="64">
        <f t="shared" si="11"/>
        <v>-3.9476435429118033</v>
      </c>
      <c r="AJ26" s="64">
        <f t="shared" si="11"/>
        <v>31.196800795118655</v>
      </c>
      <c r="AK26" s="64">
        <f t="shared" si="11"/>
        <v>-15.79391662981326</v>
      </c>
      <c r="AL26" s="64">
        <f t="shared" si="11"/>
        <v>-29.681981433870718</v>
      </c>
      <c r="AM26" s="64">
        <f t="shared" si="11"/>
        <v>50.335174106886257</v>
      </c>
      <c r="AN26" s="64">
        <f t="shared" si="11"/>
        <v>6.7375862824387296</v>
      </c>
      <c r="AO26" s="64">
        <f t="shared" si="11"/>
        <v>-6.1653852335212935</v>
      </c>
      <c r="AP26" s="64">
        <f t="shared" si="11"/>
        <v>26.877493361231917</v>
      </c>
      <c r="AQ26" s="64">
        <f t="shared" si="11"/>
        <v>15.697914627411812</v>
      </c>
      <c r="AR26" s="53">
        <f>100*(EXP(LN(V26/L26)/10)-1)</f>
        <v>5.1905291175448509</v>
      </c>
    </row>
    <row r="27" spans="1:44" ht="13.5" x14ac:dyDescent="0.25">
      <c r="A27" s="1"/>
      <c r="B27" s="35"/>
      <c r="C27" s="35"/>
      <c r="Z27" s="23"/>
      <c r="AA27" s="23"/>
      <c r="AB27" s="23"/>
      <c r="AC27" s="23"/>
      <c r="AD27" s="23"/>
      <c r="AE27" s="23"/>
      <c r="AF27" s="23"/>
      <c r="AG27" s="23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3"/>
    </row>
    <row r="28" spans="1:44" ht="15" customHeight="1" x14ac:dyDescent="0.25">
      <c r="A28" s="1" t="s">
        <v>18</v>
      </c>
      <c r="B28" s="35">
        <v>-1216</v>
      </c>
      <c r="C28" s="35">
        <v>-1274</v>
      </c>
      <c r="D28" s="3">
        <f>Kommunerna!D28+Samkommunerna!D28</f>
        <v>-1359.7770164470971</v>
      </c>
      <c r="E28" s="3">
        <f>Kommunerna!E28+Samkommunerna!E28</f>
        <v>-1421.1001845021553</v>
      </c>
      <c r="F28" s="3">
        <f>Kommunerna!F28+Samkommunerna!F28</f>
        <v>-1450.0360000000001</v>
      </c>
      <c r="G28" s="3">
        <f>Kommunerna!G28+Samkommunerna!G28</f>
        <v>-1558.8390000000002</v>
      </c>
      <c r="H28" s="3">
        <f>Kommunerna!H28+Samkommunerna!H28</f>
        <v>-1610.7130000000002</v>
      </c>
      <c r="I28" s="3">
        <f>Kommunerna!I28+Samkommunerna!I28</f>
        <v>-1692.4940000000001</v>
      </c>
      <c r="J28" s="3">
        <v>-1756.8589999999999</v>
      </c>
      <c r="K28" s="3">
        <v>-1781.6869999999999</v>
      </c>
      <c r="L28" s="3">
        <v>-1838.9579999999999</v>
      </c>
      <c r="M28" s="3">
        <v>-1943.4099999999999</v>
      </c>
      <c r="N28" s="3">
        <v>-2036.107</v>
      </c>
      <c r="O28" s="3">
        <v>-2155.9380000000001</v>
      </c>
      <c r="P28" s="3">
        <v>-2229.232</v>
      </c>
      <c r="Q28" s="3">
        <v>-2401.6010000000001</v>
      </c>
      <c r="R28" s="3">
        <v>-2625.15</v>
      </c>
      <c r="S28" s="3">
        <f>Kommunerna!S28+Samkommunerna!S28</f>
        <v>-2638.5709999999999</v>
      </c>
      <c r="T28" s="3">
        <f>Kommunerna!T28+Samkommunerna!T28</f>
        <v>-2664.817</v>
      </c>
      <c r="U28" s="3">
        <f>Kommunerna!U28+Samkommunerna!U28</f>
        <v>-2719.37</v>
      </c>
      <c r="V28" s="3">
        <f>Kommunerna!V28+Samkommunerna!V28</f>
        <v>-2815.172</v>
      </c>
      <c r="W28" s="3"/>
      <c r="X28" s="18">
        <f t="shared" ref="X28:AQ28" si="12">100*(C28-B28)/B28</f>
        <v>4.7697368421052628</v>
      </c>
      <c r="Y28" s="18">
        <f t="shared" si="12"/>
        <v>6.7328898310123346</v>
      </c>
      <c r="Z28" s="18">
        <f t="shared" si="12"/>
        <v>4.5097958939831821</v>
      </c>
      <c r="AA28" s="18">
        <f t="shared" si="12"/>
        <v>2.0361559173241264</v>
      </c>
      <c r="AB28" s="18">
        <f t="shared" si="12"/>
        <v>7.5034688793933455</v>
      </c>
      <c r="AC28" s="18">
        <f t="shared" si="12"/>
        <v>3.327733011555396</v>
      </c>
      <c r="AD28" s="18">
        <f t="shared" si="12"/>
        <v>5.0773166914279537</v>
      </c>
      <c r="AE28" s="18">
        <f t="shared" si="12"/>
        <v>3.8029676914659536</v>
      </c>
      <c r="AF28" s="18">
        <f t="shared" si="12"/>
        <v>1.4132039053788594</v>
      </c>
      <c r="AG28" s="18">
        <f t="shared" si="12"/>
        <v>3.2144254293823753</v>
      </c>
      <c r="AH28" s="52">
        <f t="shared" si="12"/>
        <v>5.6799557140511103</v>
      </c>
      <c r="AI28" s="52">
        <f t="shared" si="12"/>
        <v>4.7698118256055144</v>
      </c>
      <c r="AJ28" s="52">
        <f t="shared" si="12"/>
        <v>5.8852997411236307</v>
      </c>
      <c r="AK28" s="52">
        <f t="shared" si="12"/>
        <v>3.3996339412357806</v>
      </c>
      <c r="AL28" s="52">
        <f t="shared" si="12"/>
        <v>7.7322145025730906</v>
      </c>
      <c r="AM28" s="52">
        <f t="shared" si="12"/>
        <v>9.3083322333726528</v>
      </c>
      <c r="AN28" s="52">
        <f t="shared" si="12"/>
        <v>0.51124697636324867</v>
      </c>
      <c r="AO28" s="52">
        <f t="shared" si="12"/>
        <v>0.99470508847402994</v>
      </c>
      <c r="AP28" s="52">
        <f t="shared" si="12"/>
        <v>2.0471574595929058</v>
      </c>
      <c r="AQ28" s="52">
        <f t="shared" si="12"/>
        <v>3.5229483299440729</v>
      </c>
      <c r="AR28" s="53">
        <f t="shared" si="1"/>
        <v>4.350206391512601</v>
      </c>
    </row>
    <row r="29" spans="1:44" ht="15" customHeight="1" x14ac:dyDescent="0.25">
      <c r="A29" s="1" t="s">
        <v>19</v>
      </c>
      <c r="B29" s="35">
        <v>254</v>
      </c>
      <c r="C29" s="35">
        <v>417</v>
      </c>
      <c r="D29" s="3">
        <f>Kommunerna!D29+Samkommunerna!D29</f>
        <v>431.94998763818745</v>
      </c>
      <c r="E29" s="3">
        <f>Kommunerna!E29+Samkommunerna!E29</f>
        <v>693.06914373844756</v>
      </c>
      <c r="F29" s="3">
        <f>Kommunerna!F29+Samkommunerna!F29</f>
        <v>209.25700000000001</v>
      </c>
      <c r="G29" s="3">
        <f>Kommunerna!G29+Samkommunerna!G29</f>
        <v>367.678</v>
      </c>
      <c r="H29" s="3">
        <f>Kommunerna!H29+Samkommunerna!H29</f>
        <v>275.077</v>
      </c>
      <c r="I29" s="3">
        <f>Kommunerna!I29+Samkommunerna!I29</f>
        <v>171.542</v>
      </c>
      <c r="J29" s="3">
        <v>325.38</v>
      </c>
      <c r="K29" s="3">
        <v>798.65499999999997</v>
      </c>
      <c r="L29" s="3">
        <v>246.85399999999998</v>
      </c>
      <c r="M29" s="3">
        <v>278.57</v>
      </c>
      <c r="N29" s="3">
        <v>171.02799999999999</v>
      </c>
      <c r="O29" s="3">
        <v>1087.3400000000001</v>
      </c>
      <c r="P29" s="3">
        <v>156.32</v>
      </c>
      <c r="Q29" s="3">
        <v>284.209</v>
      </c>
      <c r="R29" s="3">
        <v>397.41999999999996</v>
      </c>
      <c r="S29" s="3">
        <f>Kommunerna!S29+Samkommunerna!S29</f>
        <v>1969.279</v>
      </c>
      <c r="T29" s="3">
        <f>Kommunerna!T29+Samkommunerna!T29</f>
        <v>353.255</v>
      </c>
      <c r="U29" s="3">
        <f>Kommunerna!U29+Samkommunerna!U29</f>
        <v>402.25</v>
      </c>
      <c r="V29" s="3">
        <f>Kommunerna!V29+Samkommunerna!V29</f>
        <v>168.654</v>
      </c>
      <c r="W29" s="3"/>
      <c r="X29" s="3"/>
      <c r="Y29" s="3"/>
      <c r="Z29" s="23"/>
      <c r="AA29" s="23"/>
      <c r="AB29" s="23"/>
      <c r="AC29" s="23"/>
      <c r="AD29" s="23"/>
      <c r="AE29" s="23"/>
      <c r="AF29" s="23"/>
      <c r="AG29" s="23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4"/>
    </row>
    <row r="30" spans="1:44" ht="15" customHeight="1" x14ac:dyDescent="0.25">
      <c r="A30" s="1" t="s">
        <v>20</v>
      </c>
      <c r="B30" s="35">
        <v>-620</v>
      </c>
      <c r="C30" s="35">
        <v>-67</v>
      </c>
      <c r="D30" s="3">
        <f>Kommunerna!D30+Samkommunerna!D30</f>
        <v>-76.309216866558018</v>
      </c>
      <c r="E30" s="3">
        <f>Kommunerna!E30+Samkommunerna!E30</f>
        <v>-31.504962384770245</v>
      </c>
      <c r="F30" s="3">
        <f>Kommunerna!F30+Samkommunerna!F30</f>
        <v>-31.115000000000002</v>
      </c>
      <c r="G30" s="3">
        <f>Kommunerna!G30+Samkommunerna!G30</f>
        <v>-32.921999999999997</v>
      </c>
      <c r="H30" s="3">
        <f>Kommunerna!H30+Samkommunerna!H30</f>
        <v>-23.255000000000003</v>
      </c>
      <c r="I30" s="3">
        <f>Kommunerna!I30+Samkommunerna!I30</f>
        <v>-24.463999999999999</v>
      </c>
      <c r="J30" s="3">
        <v>-40.369</v>
      </c>
      <c r="K30" s="3">
        <v>-37.454999999999998</v>
      </c>
      <c r="L30" s="3">
        <v>-13.138</v>
      </c>
      <c r="M30" s="3">
        <v>-17.625999999999998</v>
      </c>
      <c r="N30" s="3">
        <v>-11.428000000000001</v>
      </c>
      <c r="O30" s="3">
        <v>-26.900000000000002</v>
      </c>
      <c r="P30" s="3">
        <v>-34.58</v>
      </c>
      <c r="Q30" s="3">
        <v>-35.417000000000002</v>
      </c>
      <c r="R30" s="3">
        <v>-29.479999999999997</v>
      </c>
      <c r="S30" s="3">
        <f>Kommunerna!S30+Samkommunerna!S30</f>
        <v>-46.84</v>
      </c>
      <c r="T30" s="3">
        <f>Kommunerna!T30+Samkommunerna!T30</f>
        <v>-20.643999999999998</v>
      </c>
      <c r="U30" s="3">
        <f>Kommunerna!U30+Samkommunerna!U30</f>
        <v>-26.22</v>
      </c>
      <c r="V30" s="3">
        <f>Kommunerna!V30+Samkommunerna!V30</f>
        <v>-31</v>
      </c>
      <c r="W30" s="3"/>
      <c r="X30" s="3"/>
      <c r="Y30" s="3"/>
      <c r="Z30" s="23"/>
      <c r="AA30" s="23"/>
      <c r="AB30" s="23"/>
      <c r="AC30" s="23"/>
      <c r="AD30" s="23"/>
      <c r="AE30" s="23"/>
      <c r="AF30" s="23"/>
      <c r="AG30" s="23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4"/>
    </row>
    <row r="31" spans="1:44" ht="13.5" x14ac:dyDescent="0.25">
      <c r="A31" s="4"/>
      <c r="B31" s="4"/>
      <c r="C31" s="4"/>
      <c r="Z31" s="23"/>
      <c r="AA31" s="23"/>
      <c r="AB31" s="23"/>
      <c r="AC31" s="23"/>
      <c r="AD31" s="23"/>
      <c r="AE31" s="23"/>
      <c r="AF31" s="23"/>
      <c r="AG31" s="23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4"/>
    </row>
    <row r="32" spans="1:44" ht="13.5" x14ac:dyDescent="0.25">
      <c r="A32" s="8" t="s">
        <v>21</v>
      </c>
      <c r="B32" s="10">
        <f t="shared" ref="B32:I32" si="13">B26+B28+B29+B30</f>
        <v>-333</v>
      </c>
      <c r="C32" s="10">
        <f t="shared" si="13"/>
        <v>568</v>
      </c>
      <c r="D32" s="10">
        <f t="shared" si="13"/>
        <v>578.35825037463383</v>
      </c>
      <c r="E32" s="10">
        <f t="shared" si="13"/>
        <v>938.56330509457882</v>
      </c>
      <c r="F32" s="10">
        <f t="shared" si="13"/>
        <v>680.79499999999985</v>
      </c>
      <c r="G32" s="10">
        <f t="shared" si="13"/>
        <v>1038.4739999999974</v>
      </c>
      <c r="H32" s="10">
        <f t="shared" si="13"/>
        <v>225.34699999999509</v>
      </c>
      <c r="I32" s="10">
        <f t="shared" si="13"/>
        <v>-105.59199999999871</v>
      </c>
      <c r="J32" s="10">
        <v>4.9339999999981785</v>
      </c>
      <c r="K32" s="10">
        <v>1083.8180000000041</v>
      </c>
      <c r="L32" s="10">
        <v>781.97099999999944</v>
      </c>
      <c r="M32" s="10">
        <v>718.38399999999365</v>
      </c>
      <c r="N32" s="10">
        <v>429.56599999999582</v>
      </c>
      <c r="O32" s="10">
        <v>1929.996000000011</v>
      </c>
      <c r="P32" s="10">
        <v>440.15800000000695</v>
      </c>
      <c r="Q32" s="10">
        <v>-361.35200000000248</v>
      </c>
      <c r="R32" s="10">
        <v>435.97999999999763</v>
      </c>
      <c r="S32" s="10">
        <f>S26+S28+S29+S30</f>
        <v>2158.5140000000092</v>
      </c>
      <c r="T32" s="10">
        <f>T26+T28+T29+T30</f>
        <v>365.20699999999817</v>
      </c>
      <c r="U32" s="10">
        <f>U26+U28+U29+U30</f>
        <v>1079.0700000000045</v>
      </c>
      <c r="V32" s="10">
        <f>V26+V28+V29+V30</f>
        <v>1282.1390000000097</v>
      </c>
      <c r="W32" s="10"/>
      <c r="X32" s="10"/>
      <c r="Y32" s="10"/>
      <c r="Z32" s="23"/>
      <c r="AA32" s="23"/>
      <c r="AB32" s="23"/>
      <c r="AC32" s="23"/>
      <c r="AD32" s="23"/>
      <c r="AE32" s="23"/>
      <c r="AF32" s="23"/>
      <c r="AG32" s="23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4"/>
    </row>
    <row r="33" spans="1:44" ht="11.25" customHeight="1" x14ac:dyDescent="0.25">
      <c r="A33" s="8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3"/>
      <c r="AA33" s="23"/>
      <c r="AB33" s="23"/>
      <c r="AC33" s="23"/>
      <c r="AD33" s="23"/>
      <c r="AE33" s="23"/>
      <c r="AF33" s="23"/>
      <c r="AG33" s="23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4"/>
    </row>
    <row r="34" spans="1:44" s="1" customFormat="1" ht="13.5" x14ac:dyDescent="0.25">
      <c r="A34" s="1" t="s">
        <v>22</v>
      </c>
      <c r="B34" s="35">
        <f>B36-B32</f>
        <v>317.33100000000002</v>
      </c>
      <c r="C34" s="35">
        <f t="shared" ref="C34:S34" si="14">C36-C32</f>
        <v>-420.87200000000001</v>
      </c>
      <c r="D34" s="35">
        <f t="shared" si="14"/>
        <v>-267.70825037463385</v>
      </c>
      <c r="E34" s="35">
        <f t="shared" si="14"/>
        <v>-566.34030509457875</v>
      </c>
      <c r="F34" s="35">
        <f t="shared" si="14"/>
        <v>-181.37799999999987</v>
      </c>
      <c r="G34" s="35">
        <f t="shared" si="14"/>
        <v>-221.79599999999743</v>
      </c>
      <c r="H34" s="35">
        <f t="shared" si="14"/>
        <v>-117.62599999999509</v>
      </c>
      <c r="I34" s="35">
        <f t="shared" si="14"/>
        <v>20.385999999998702</v>
      </c>
      <c r="J34" s="35">
        <f t="shared" si="14"/>
        <v>16.712000000001822</v>
      </c>
      <c r="K34" s="35">
        <f t="shared" si="14"/>
        <v>-512.38600000000406</v>
      </c>
      <c r="L34" s="35">
        <f t="shared" si="14"/>
        <v>-201.49799999999948</v>
      </c>
      <c r="M34" s="35">
        <f t="shared" si="14"/>
        <v>98.782000000006406</v>
      </c>
      <c r="N34" s="35">
        <f t="shared" si="14"/>
        <v>-27.889999999995837</v>
      </c>
      <c r="O34" s="35">
        <f t="shared" si="14"/>
        <v>-20.496000000011009</v>
      </c>
      <c r="P34" s="35">
        <f t="shared" si="14"/>
        <v>40.08999999999304</v>
      </c>
      <c r="Q34" s="35">
        <f t="shared" si="14"/>
        <v>28.321000000002471</v>
      </c>
      <c r="R34" s="35">
        <f t="shared" si="14"/>
        <v>7.7250000000009891</v>
      </c>
      <c r="S34" s="35">
        <f t="shared" si="14"/>
        <v>416.16499999999087</v>
      </c>
      <c r="T34" s="35">
        <f>T36-T32</f>
        <v>11.9810000000017</v>
      </c>
      <c r="U34" s="35">
        <f>U36-U32</f>
        <v>-19.55000000000291</v>
      </c>
      <c r="V34" s="35">
        <f>V36-V32</f>
        <v>-0.63600000000701584</v>
      </c>
      <c r="W34" s="35"/>
      <c r="X34" s="35"/>
      <c r="Y34" s="35"/>
      <c r="Z34" s="23"/>
      <c r="AA34" s="23"/>
      <c r="AB34" s="23"/>
      <c r="AC34" s="23"/>
      <c r="AD34" s="23"/>
      <c r="AE34" s="23"/>
      <c r="AF34" s="23"/>
      <c r="AG34" s="23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4"/>
    </row>
    <row r="35" spans="1:44" ht="9" customHeight="1" x14ac:dyDescent="0.25">
      <c r="A35" s="8"/>
      <c r="B35" s="8"/>
      <c r="C35" s="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3"/>
      <c r="AA35" s="23"/>
      <c r="AB35" s="23"/>
      <c r="AC35" s="23"/>
      <c r="AD35" s="23"/>
      <c r="AE35" s="23"/>
      <c r="AF35" s="23"/>
      <c r="AG35" s="23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4"/>
    </row>
    <row r="36" spans="1:44" ht="13.5" x14ac:dyDescent="0.25">
      <c r="A36" s="8" t="s">
        <v>23</v>
      </c>
      <c r="B36" s="10">
        <f>Kommunerna!B36+Samkommunerna!B36</f>
        <v>-15.668999999999997</v>
      </c>
      <c r="C36" s="10">
        <f>Kommunerna!C36+Samkommunerna!C36</f>
        <v>147.12799999999999</v>
      </c>
      <c r="D36" s="10">
        <f>Kommunerna!D36+Samkommunerna!D36</f>
        <v>310.64999999999998</v>
      </c>
      <c r="E36" s="10">
        <f>Kommunerna!E36+Samkommunerna!E36</f>
        <v>372.22300000000001</v>
      </c>
      <c r="F36" s="10">
        <f>Kommunerna!F36+Samkommunerna!F36</f>
        <v>499.41699999999997</v>
      </c>
      <c r="G36" s="10">
        <f>Kommunerna!G36+Samkommunerna!G36</f>
        <v>816.678</v>
      </c>
      <c r="H36" s="10">
        <f>Kommunerna!H36+Samkommunerna!H36</f>
        <v>107.721</v>
      </c>
      <c r="I36" s="10">
        <f>Kommunerna!I36+Samkommunerna!I36</f>
        <v>-85.206000000000003</v>
      </c>
      <c r="J36" s="10">
        <f>Kommunerna!J36+Samkommunerna!J36</f>
        <v>21.646000000000001</v>
      </c>
      <c r="K36" s="10">
        <f>Kommunerna!K36+Samkommunerna!K36</f>
        <v>571.43200000000002</v>
      </c>
      <c r="L36" s="10">
        <f>Kommunerna!L36+Samkommunerna!L36</f>
        <v>580.47299999999996</v>
      </c>
      <c r="M36" s="10">
        <f>Kommunerna!M36+Samkommunerna!M36</f>
        <v>817.16600000000005</v>
      </c>
      <c r="N36" s="10">
        <f>Kommunerna!N36+Samkommunerna!N36</f>
        <v>401.67599999999999</v>
      </c>
      <c r="O36" s="10">
        <f>Kommunerna!O36+Samkommunerna!O36</f>
        <v>1909.5</v>
      </c>
      <c r="P36" s="10">
        <f>Kommunerna!P36+Samkommunerna!P36</f>
        <v>480.24799999999999</v>
      </c>
      <c r="Q36" s="10">
        <f>Kommunerna!Q36+Samkommunerna!Q36</f>
        <v>-333.03100000000001</v>
      </c>
      <c r="R36" s="10">
        <f>Kommunerna!R36+Samkommunerna!R36</f>
        <v>443.70499999999862</v>
      </c>
      <c r="S36" s="10">
        <f>Kommunerna!S36+Samkommunerna!S36</f>
        <v>2574.6790000000001</v>
      </c>
      <c r="T36" s="10">
        <f>Kommunerna!T36+Samkommunerna!T36</f>
        <v>377.18799999999987</v>
      </c>
      <c r="U36" s="10">
        <f>Kommunerna!U36+Samkommunerna!U36</f>
        <v>1059.5200000000016</v>
      </c>
      <c r="V36" s="10">
        <f>Kommunerna!V36+Samkommunerna!V36</f>
        <v>1281.5030000000027</v>
      </c>
      <c r="W36" s="10"/>
      <c r="X36" s="10"/>
      <c r="Y36" s="10"/>
      <c r="Z36" s="23"/>
      <c r="AA36" s="23"/>
      <c r="AB36" s="23"/>
      <c r="AC36" s="23"/>
      <c r="AD36" s="23"/>
      <c r="AE36" s="23"/>
      <c r="AF36" s="23"/>
      <c r="AG36" s="23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66"/>
    </row>
    <row r="37" spans="1:44" ht="16.5" x14ac:dyDescent="0.3">
      <c r="A37" s="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Z37" s="23"/>
      <c r="AA37" s="23"/>
      <c r="AB37" s="23"/>
      <c r="AC37" s="23"/>
      <c r="AD37" s="23"/>
      <c r="AE37" s="23"/>
      <c r="AF37" s="23"/>
      <c r="AG37" s="23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4"/>
    </row>
    <row r="38" spans="1:44" ht="13.5" x14ac:dyDescent="0.25">
      <c r="A38" s="7">
        <v>43371</v>
      </c>
      <c r="B38" s="7"/>
      <c r="C38" s="7"/>
      <c r="Z38" s="23"/>
      <c r="AA38" s="23"/>
      <c r="AB38" s="23"/>
      <c r="AC38" s="23"/>
      <c r="AD38" s="23"/>
      <c r="AE38" s="23"/>
      <c r="AF38" s="23"/>
      <c r="AG38" s="23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4"/>
    </row>
    <row r="39" spans="1:44" ht="18" x14ac:dyDescent="0.25">
      <c r="A39" s="5" t="s">
        <v>24</v>
      </c>
      <c r="B39" s="5"/>
      <c r="C39" s="5"/>
      <c r="Z39" s="23"/>
      <c r="AA39" s="23"/>
      <c r="AB39" s="23"/>
      <c r="AC39" s="23"/>
      <c r="AD39" s="23"/>
      <c r="AE39" s="23"/>
      <c r="AF39" s="23"/>
      <c r="AG39" s="23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4"/>
    </row>
    <row r="40" spans="1:44" ht="15" x14ac:dyDescent="0.25">
      <c r="A40" s="6" t="s">
        <v>3</v>
      </c>
      <c r="B40" s="6"/>
      <c r="C40" s="6"/>
      <c r="V40" s="1"/>
      <c r="Z40" s="23"/>
      <c r="AA40" s="23"/>
      <c r="AB40" s="23"/>
      <c r="AC40" s="23"/>
      <c r="AD40" s="23"/>
      <c r="AE40" s="23"/>
      <c r="AF40" s="23"/>
      <c r="AG40" s="23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4"/>
    </row>
    <row r="41" spans="1:44" ht="6.75" customHeight="1" x14ac:dyDescent="0.25">
      <c r="Z41" s="23"/>
      <c r="AA41" s="23"/>
      <c r="AB41" s="23"/>
      <c r="AC41" s="23"/>
      <c r="AD41" s="23"/>
      <c r="AE41" s="23"/>
      <c r="AF41" s="23"/>
      <c r="AG41" s="23"/>
      <c r="AH41" s="50"/>
      <c r="AI41" s="50"/>
      <c r="AJ41" s="50"/>
      <c r="AK41" s="50"/>
      <c r="AL41" s="50"/>
      <c r="AM41" s="55"/>
      <c r="AN41" s="55"/>
      <c r="AO41" s="55"/>
      <c r="AP41" s="55"/>
      <c r="AQ41" s="55"/>
      <c r="AR41" s="54"/>
    </row>
    <row r="42" spans="1:44" ht="13.5" x14ac:dyDescent="0.25">
      <c r="A42" s="8" t="s">
        <v>25</v>
      </c>
      <c r="B42" s="12">
        <v>1997</v>
      </c>
      <c r="C42" s="12">
        <v>1998</v>
      </c>
      <c r="D42" s="12">
        <v>1999</v>
      </c>
      <c r="E42" s="12">
        <v>2000</v>
      </c>
      <c r="F42" s="12">
        <v>2001</v>
      </c>
      <c r="G42" s="12">
        <v>2002</v>
      </c>
      <c r="H42" s="12">
        <v>2003</v>
      </c>
      <c r="I42" s="12">
        <v>2004</v>
      </c>
      <c r="J42" s="12">
        <v>2005</v>
      </c>
      <c r="K42" s="12">
        <v>2006</v>
      </c>
      <c r="L42" s="12">
        <v>2007</v>
      </c>
      <c r="M42" s="12">
        <v>2008</v>
      </c>
      <c r="N42" s="12">
        <v>2009</v>
      </c>
      <c r="O42" s="12">
        <v>2010</v>
      </c>
      <c r="P42" s="12">
        <v>2011</v>
      </c>
      <c r="Q42" s="12">
        <v>2012</v>
      </c>
      <c r="R42" s="12">
        <v>2013</v>
      </c>
      <c r="S42" s="12">
        <v>2014</v>
      </c>
      <c r="T42" s="12">
        <v>2015</v>
      </c>
      <c r="U42" s="12">
        <v>2016</v>
      </c>
      <c r="V42" s="12">
        <v>2017</v>
      </c>
      <c r="W42" s="12"/>
      <c r="X42" s="19" t="s">
        <v>0</v>
      </c>
      <c r="Y42" s="48"/>
      <c r="Z42" s="41"/>
      <c r="AA42" s="41"/>
      <c r="AB42" s="41"/>
      <c r="AC42" s="41"/>
      <c r="AD42" s="41"/>
      <c r="AE42" s="41"/>
      <c r="AF42" s="41"/>
      <c r="AH42" s="56" t="s">
        <v>48</v>
      </c>
      <c r="AI42" s="57"/>
      <c r="AJ42" s="57"/>
      <c r="AK42" s="57"/>
      <c r="AL42" s="57"/>
      <c r="AM42" s="57"/>
      <c r="AN42" s="57"/>
      <c r="AO42" s="57"/>
      <c r="AP42" s="57"/>
      <c r="AQ42" s="57"/>
      <c r="AR42" s="58"/>
    </row>
    <row r="43" spans="1:44" ht="13.5" x14ac:dyDescent="0.25">
      <c r="A43" s="1"/>
      <c r="B43" s="1"/>
      <c r="C43" s="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W43" s="12"/>
      <c r="X43" s="22">
        <v>1998</v>
      </c>
      <c r="Y43" s="22">
        <v>1999</v>
      </c>
      <c r="Z43" s="22">
        <v>2000</v>
      </c>
      <c r="AA43" s="22">
        <v>2001</v>
      </c>
      <c r="AB43" s="22">
        <v>2002</v>
      </c>
      <c r="AC43" s="22">
        <v>2003</v>
      </c>
      <c r="AD43" s="22">
        <v>2004</v>
      </c>
      <c r="AE43" s="22">
        <v>2005</v>
      </c>
      <c r="AF43" s="22">
        <v>2006</v>
      </c>
      <c r="AG43" s="22">
        <v>2007</v>
      </c>
      <c r="AH43" s="62">
        <v>2008</v>
      </c>
      <c r="AI43" s="62">
        <v>2009</v>
      </c>
      <c r="AJ43" s="62">
        <v>2010</v>
      </c>
      <c r="AK43" s="62">
        <v>2011</v>
      </c>
      <c r="AL43" s="62">
        <v>2012</v>
      </c>
      <c r="AM43" s="62">
        <v>2013</v>
      </c>
      <c r="AN43" s="62">
        <v>2014</v>
      </c>
      <c r="AO43" s="62">
        <v>2015</v>
      </c>
      <c r="AP43" s="62">
        <v>2016</v>
      </c>
      <c r="AQ43" s="62">
        <v>2017</v>
      </c>
      <c r="AR43" s="51" t="s">
        <v>1</v>
      </c>
    </row>
    <row r="44" spans="1:44" ht="12.75" customHeight="1" x14ac:dyDescent="0.25">
      <c r="A44" s="1"/>
      <c r="B44" s="1"/>
      <c r="C44" s="1"/>
      <c r="Z44" s="23"/>
      <c r="AA44" s="23"/>
      <c r="AB44" s="23"/>
      <c r="AC44" s="23"/>
      <c r="AD44" s="23"/>
      <c r="AE44" s="23"/>
      <c r="AF44" s="23"/>
      <c r="AG44" s="23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49" t="s">
        <v>49</v>
      </c>
    </row>
    <row r="45" spans="1:44" ht="14.25" customHeight="1" x14ac:dyDescent="0.25">
      <c r="A45" s="8" t="s">
        <v>26</v>
      </c>
      <c r="B45" s="8"/>
      <c r="C45" s="8"/>
      <c r="Z45" s="23"/>
      <c r="AA45" s="23"/>
      <c r="AB45" s="23"/>
      <c r="AC45" s="23"/>
      <c r="AD45" s="23"/>
      <c r="AE45" s="23"/>
      <c r="AF45" s="23"/>
      <c r="AG45" s="23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4"/>
    </row>
    <row r="46" spans="1:44" ht="15" customHeight="1" x14ac:dyDescent="0.25">
      <c r="A46" s="1" t="s">
        <v>27</v>
      </c>
      <c r="B46" s="35">
        <f>B26</f>
        <v>1249</v>
      </c>
      <c r="C46" s="35">
        <f>C26</f>
        <v>1492</v>
      </c>
      <c r="D46" s="3">
        <f t="shared" ref="D46:I46" si="15">D26</f>
        <v>1582.4944960501016</v>
      </c>
      <c r="E46" s="3">
        <f t="shared" si="15"/>
        <v>1698.0993082430568</v>
      </c>
      <c r="F46" s="3">
        <f t="shared" si="15"/>
        <v>1952.6889999999999</v>
      </c>
      <c r="G46" s="3">
        <f t="shared" si="15"/>
        <v>2262.5569999999975</v>
      </c>
      <c r="H46" s="3">
        <f t="shared" si="15"/>
        <v>1584.2379999999953</v>
      </c>
      <c r="I46" s="3">
        <f t="shared" si="15"/>
        <v>1439.8240000000014</v>
      </c>
      <c r="J46" s="3">
        <v>1476.7819999999981</v>
      </c>
      <c r="K46" s="3">
        <v>2104.3050000000039</v>
      </c>
      <c r="L46" s="3">
        <v>2387.2129999999993</v>
      </c>
      <c r="M46" s="3">
        <v>2400.8499999999935</v>
      </c>
      <c r="N46" s="3">
        <v>2306.0729999999958</v>
      </c>
      <c r="O46" s="3">
        <v>3025.4940000000111</v>
      </c>
      <c r="P46" s="3">
        <v>2547.6500000000069</v>
      </c>
      <c r="Q46" s="3">
        <v>1791.4569999999976</v>
      </c>
      <c r="R46" s="3">
        <v>2693.1899999999978</v>
      </c>
      <c r="S46" s="3">
        <f>S26</f>
        <v>2874.6460000000093</v>
      </c>
      <c r="T46" s="3">
        <f>T26</f>
        <v>2697.4129999999982</v>
      </c>
      <c r="U46" s="3">
        <f>U26</f>
        <v>3422.4100000000044</v>
      </c>
      <c r="V46" s="3">
        <f>V26</f>
        <v>3959.6570000000097</v>
      </c>
      <c r="W46" s="3"/>
      <c r="X46" s="3"/>
      <c r="Y46" s="3"/>
      <c r="Z46" s="23"/>
      <c r="AA46" s="23"/>
      <c r="AB46" s="23"/>
      <c r="AC46" s="23"/>
      <c r="AD46" s="23"/>
      <c r="AE46" s="23"/>
      <c r="AF46" s="23"/>
      <c r="AG46" s="23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4"/>
    </row>
    <row r="47" spans="1:44" ht="15" customHeight="1" x14ac:dyDescent="0.25">
      <c r="A47" s="1" t="s">
        <v>28</v>
      </c>
      <c r="B47" s="35">
        <f>B29+B30</f>
        <v>-366</v>
      </c>
      <c r="C47" s="35">
        <f>C29+C30</f>
        <v>350</v>
      </c>
      <c r="D47" s="3">
        <f>Kommunerna!D47+Samkommunerna!D47</f>
        <v>360.65209822847658</v>
      </c>
      <c r="E47" s="3">
        <f>Kommunerna!E47+Samkommunerna!E47</f>
        <v>661.51742511012094</v>
      </c>
      <c r="F47" s="3">
        <f>Kommunerna!F47+Samkommunerna!F47</f>
        <v>179.08799999999999</v>
      </c>
      <c r="G47" s="3">
        <f>Kommunerna!G47+Samkommunerna!G47</f>
        <v>334.75599999999997</v>
      </c>
      <c r="H47" s="3">
        <f>Kommunerna!H47+Samkommunerna!H47</f>
        <v>251.822</v>
      </c>
      <c r="I47" s="3">
        <f>Kommunerna!I47+Samkommunerna!I47</f>
        <v>147.078</v>
      </c>
      <c r="J47" s="3">
        <v>285.01100000000002</v>
      </c>
      <c r="K47" s="3">
        <v>761.19999999999993</v>
      </c>
      <c r="L47" s="3">
        <v>233.71599999999998</v>
      </c>
      <c r="M47" s="3">
        <v>261.10000000000002</v>
      </c>
      <c r="N47" s="3">
        <v>159.726</v>
      </c>
      <c r="O47" s="3">
        <v>1060.44</v>
      </c>
      <c r="P47" s="3">
        <v>121.74</v>
      </c>
      <c r="Q47" s="3">
        <v>248.792</v>
      </c>
      <c r="R47" s="3">
        <v>367.93</v>
      </c>
      <c r="S47" s="3">
        <f>S29+S30</f>
        <v>1922.4390000000001</v>
      </c>
      <c r="T47" s="3">
        <f>T29+T30</f>
        <v>332.61099999999999</v>
      </c>
      <c r="U47" s="3">
        <f>U29+U30</f>
        <v>376.03</v>
      </c>
      <c r="V47" s="3">
        <f>V29+V30</f>
        <v>137.654</v>
      </c>
      <c r="W47" s="3"/>
      <c r="X47" s="3"/>
      <c r="Y47" s="3"/>
      <c r="Z47" s="23"/>
      <c r="AA47" s="23"/>
      <c r="AB47" s="23"/>
      <c r="AC47" s="23"/>
      <c r="AD47" s="23"/>
      <c r="AE47" s="23"/>
      <c r="AF47" s="23"/>
      <c r="AG47" s="23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4"/>
    </row>
    <row r="48" spans="1:44" ht="15" customHeight="1" x14ac:dyDescent="0.25">
      <c r="A48" s="1" t="s">
        <v>29</v>
      </c>
      <c r="B48" s="35">
        <v>-46</v>
      </c>
      <c r="C48" s="35">
        <v>-301</v>
      </c>
      <c r="D48" s="3">
        <f>Kommunerna!D48+Samkommunerna!D48</f>
        <v>-476.23252317209159</v>
      </c>
      <c r="E48" s="3">
        <f>Kommunerna!E48+Samkommunerna!E48</f>
        <v>-717.59413898713854</v>
      </c>
      <c r="F48" s="3">
        <f>Kommunerna!F48+Samkommunerna!F48</f>
        <v>-271.11200000000002</v>
      </c>
      <c r="G48" s="3">
        <f>Kommunerna!G48+Samkommunerna!G48</f>
        <v>-464.65199999999999</v>
      </c>
      <c r="H48" s="3">
        <f>Kommunerna!H48+Samkommunerna!H48</f>
        <v>-442.88400000000001</v>
      </c>
      <c r="I48" s="3">
        <f>Kommunerna!I48+Samkommunerna!I48</f>
        <v>-374.33099999999996</v>
      </c>
      <c r="J48" s="3">
        <v>-603.62600000000009</v>
      </c>
      <c r="K48" s="3">
        <v>-996.65300000000002</v>
      </c>
      <c r="L48" s="3">
        <v>-531.17100000000005</v>
      </c>
      <c r="M48" s="3">
        <v>-532.84799999999996</v>
      </c>
      <c r="N48" s="3">
        <v>-387.21499999999997</v>
      </c>
      <c r="O48" s="3">
        <v>-1382.7719999999999</v>
      </c>
      <c r="P48" s="3">
        <v>-456.21899999999999</v>
      </c>
      <c r="Q48" s="3">
        <v>-547.13800000000003</v>
      </c>
      <c r="R48" s="3">
        <v>-621.41999999999996</v>
      </c>
      <c r="S48" s="3">
        <f>Kommunerna!S48+Samkommunerna!S48</f>
        <v>-2559.2949999999996</v>
      </c>
      <c r="T48" s="3">
        <f>Kommunerna!T48+Samkommunerna!T48</f>
        <v>-607.33699999999999</v>
      </c>
      <c r="U48" s="3">
        <f>Kommunerna!U48+Samkommunerna!U48</f>
        <v>-627.26</v>
      </c>
      <c r="V48" s="3">
        <f>Kommunerna!V48+Samkommunerna!V48</f>
        <v>-525.56399999999996</v>
      </c>
      <c r="W48" s="3"/>
      <c r="X48" s="3"/>
      <c r="Y48" s="3"/>
      <c r="Z48" s="23"/>
      <c r="AA48" s="23"/>
      <c r="AB48" s="23"/>
      <c r="AC48" s="23"/>
      <c r="AD48" s="23"/>
      <c r="AE48" s="23"/>
      <c r="AF48" s="23"/>
      <c r="AG48" s="23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4"/>
    </row>
    <row r="49" spans="1:44" ht="14.25" customHeight="1" x14ac:dyDescent="0.3">
      <c r="A49" s="8" t="s">
        <v>30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Z49" s="23"/>
      <c r="AA49" s="23"/>
      <c r="AB49" s="23"/>
      <c r="AC49" s="23"/>
      <c r="AD49" s="23"/>
      <c r="AE49" s="23"/>
      <c r="AF49" s="23"/>
      <c r="AG49" s="23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4"/>
    </row>
    <row r="50" spans="1:44" ht="15.75" customHeight="1" x14ac:dyDescent="0.25">
      <c r="A50" s="1" t="s">
        <v>31</v>
      </c>
      <c r="B50" s="35">
        <v>-2278</v>
      </c>
      <c r="C50" s="35">
        <v>-2496</v>
      </c>
      <c r="D50" s="3">
        <f>Kommunerna!D50+Samkommunerna!D50+93.397</f>
        <v>-2327.9517324163721</v>
      </c>
      <c r="E50" s="3">
        <f>Kommunerna!E50+Samkommunerna!E50+60.705</f>
        <v>-2845.4910339066855</v>
      </c>
      <c r="F50" s="3">
        <f>Kommunerna!F50+Samkommunerna!F50+41.929</f>
        <v>-3036.5129999999995</v>
      </c>
      <c r="G50" s="3">
        <f>Kommunerna!G50+Samkommunerna!G50+21.004</f>
        <v>-2999.915</v>
      </c>
      <c r="H50" s="3">
        <f>Kommunerna!H50+Samkommunerna!H50+5.556</f>
        <v>-3195.096</v>
      </c>
      <c r="I50" s="3">
        <f>Kommunerna!I50+Samkommunerna!I50+15.537</f>
        <v>-3292.7180000000003</v>
      </c>
      <c r="J50" s="3">
        <v>-3231.2579999999998</v>
      </c>
      <c r="K50" s="3">
        <v>-3553.9010000000003</v>
      </c>
      <c r="L50" s="3">
        <v>-3785.5610000000001</v>
      </c>
      <c r="M50" s="3">
        <v>-4128.75</v>
      </c>
      <c r="N50" s="3">
        <v>-3986.337</v>
      </c>
      <c r="O50" s="3">
        <v>-5686.3339999999998</v>
      </c>
      <c r="P50" s="3">
        <v>-4313.4660000000003</v>
      </c>
      <c r="Q50" s="3">
        <v>-4594.1019999999999</v>
      </c>
      <c r="R50" s="3">
        <v>-4701.1900000000005</v>
      </c>
      <c r="S50" s="3">
        <f>Kommunerna!S50+Samkommunerna!S50</f>
        <v>-7618.6990000000005</v>
      </c>
      <c r="T50" s="3">
        <f>Kommunerna!T50+Samkommunerna!T50</f>
        <v>-4417.0259999999998</v>
      </c>
      <c r="U50" s="3">
        <f>Kommunerna!U50+Samkommunerna!U50</f>
        <v>-4339.62</v>
      </c>
      <c r="V50" s="3">
        <f>Kommunerna!V50+Samkommunerna!V50</f>
        <v>-4632.5519999999997</v>
      </c>
      <c r="W50" s="3"/>
      <c r="X50" s="18">
        <f t="shared" ref="X50:AQ50" si="16">100*(C50-B50)/B50</f>
        <v>9.5697980684811235</v>
      </c>
      <c r="Y50" s="18">
        <f t="shared" si="16"/>
        <v>-6.7327030281902198</v>
      </c>
      <c r="Z50" s="18">
        <f t="shared" si="16"/>
        <v>22.23153058904348</v>
      </c>
      <c r="AA50" s="18">
        <f t="shared" si="16"/>
        <v>6.713145949753792</v>
      </c>
      <c r="AB50" s="18">
        <f t="shared" si="16"/>
        <v>-1.2052640644054384</v>
      </c>
      <c r="AC50" s="18">
        <f t="shared" si="16"/>
        <v>6.506217676167493</v>
      </c>
      <c r="AD50" s="18">
        <f t="shared" si="16"/>
        <v>3.0553698543017269</v>
      </c>
      <c r="AE50" s="18">
        <f t="shared" si="16"/>
        <v>-1.8665430808226058</v>
      </c>
      <c r="AF50" s="18">
        <f t="shared" si="16"/>
        <v>9.98505845091913</v>
      </c>
      <c r="AG50" s="18">
        <f t="shared" si="16"/>
        <v>6.518470829660135</v>
      </c>
      <c r="AH50" s="52">
        <f t="shared" si="16"/>
        <v>9.0657368881389004</v>
      </c>
      <c r="AI50" s="52">
        <f t="shared" si="16"/>
        <v>-3.4493006357856495</v>
      </c>
      <c r="AJ50" s="52">
        <f t="shared" si="16"/>
        <v>42.645591679780203</v>
      </c>
      <c r="AK50" s="52">
        <f t="shared" si="16"/>
        <v>-24.143288100909999</v>
      </c>
      <c r="AL50" s="52">
        <f t="shared" si="16"/>
        <v>6.5060440953979812</v>
      </c>
      <c r="AM50" s="52">
        <f t="shared" si="16"/>
        <v>2.3309887329449945</v>
      </c>
      <c r="AN50" s="52">
        <f t="shared" si="16"/>
        <v>62.058946777305316</v>
      </c>
      <c r="AO50" s="52">
        <f t="shared" si="16"/>
        <v>-42.023880980204105</v>
      </c>
      <c r="AP50" s="52">
        <f t="shared" si="16"/>
        <v>-1.7524461028755536</v>
      </c>
      <c r="AQ50" s="52">
        <f t="shared" si="16"/>
        <v>6.7501762827159935</v>
      </c>
      <c r="AR50" s="53">
        <f>100*(EXP(LN(V50/L50)/10)-1)</f>
        <v>2.0396606027551556</v>
      </c>
    </row>
    <row r="51" spans="1:44" ht="15.75" customHeight="1" x14ac:dyDescent="0.25">
      <c r="A51" s="1" t="s">
        <v>32</v>
      </c>
      <c r="B51" s="35">
        <v>282</v>
      </c>
      <c r="C51" s="35">
        <v>344</v>
      </c>
      <c r="D51" s="3">
        <f>Kommunerna!D51+Samkommunerna!D51</f>
        <v>305.95566882283583</v>
      </c>
      <c r="E51" s="3">
        <f>Kommunerna!E51+Samkommunerna!E51</f>
        <v>225.37001254345557</v>
      </c>
      <c r="F51" s="3">
        <f>Kommunerna!F51+Samkommunerna!F51</f>
        <v>207.15800000000002</v>
      </c>
      <c r="G51" s="3">
        <f>Kommunerna!G51+Samkommunerna!G51</f>
        <v>178.072</v>
      </c>
      <c r="H51" s="3">
        <f>Kommunerna!H51+Samkommunerna!H51</f>
        <v>195.226</v>
      </c>
      <c r="I51" s="3">
        <f>Kommunerna!I51+Samkommunerna!I51</f>
        <v>211.047</v>
      </c>
      <c r="J51" s="3">
        <v>214.084</v>
      </c>
      <c r="K51" s="3">
        <v>197.29599999999999</v>
      </c>
      <c r="L51" s="3">
        <v>228.34</v>
      </c>
      <c r="M51" s="3">
        <v>208.048</v>
      </c>
      <c r="N51" s="3">
        <v>238.4</v>
      </c>
      <c r="O51" s="3">
        <v>260.58300000000003</v>
      </c>
      <c r="P51" s="3">
        <v>245.11700000000002</v>
      </c>
      <c r="Q51" s="3">
        <v>209.93700000000001</v>
      </c>
      <c r="R51" s="3">
        <v>229.88</v>
      </c>
      <c r="S51" s="3">
        <f>Kommunerna!S51+Samkommunerna!S51</f>
        <v>236.40100000000001</v>
      </c>
      <c r="T51" s="3">
        <f>Kommunerna!T51+Samkommunerna!T51</f>
        <v>208.56300000000002</v>
      </c>
      <c r="U51" s="3">
        <f>Kommunerna!U51+Samkommunerna!U51</f>
        <v>148.48000000000002</v>
      </c>
      <c r="V51" s="3">
        <f>Kommunerna!V51+Samkommunerna!V51</f>
        <v>156.816</v>
      </c>
      <c r="W51" s="3"/>
      <c r="X51" s="3"/>
      <c r="Y51" s="3"/>
      <c r="Z51" s="18"/>
      <c r="AA51" s="18"/>
      <c r="AB51" s="18"/>
      <c r="AC51" s="18"/>
      <c r="AD51" s="18"/>
      <c r="AE51" s="18"/>
      <c r="AF51" s="18"/>
      <c r="AG51" s="18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3"/>
    </row>
    <row r="52" spans="1:44" ht="15.75" customHeight="1" x14ac:dyDescent="0.25">
      <c r="A52" s="1" t="s">
        <v>33</v>
      </c>
      <c r="B52" s="37">
        <v>287</v>
      </c>
      <c r="C52" s="37">
        <v>460</v>
      </c>
      <c r="D52" s="15">
        <f>Kommunerna!D52+Samkommunerna!D52</f>
        <v>688.61132274758529</v>
      </c>
      <c r="E52" s="15">
        <f>Kommunerna!E52+Samkommunerna!E52</f>
        <v>944.97546979092544</v>
      </c>
      <c r="F52" s="15">
        <f>Kommunerna!F52+Samkommunerna!F52</f>
        <v>492.01499999999999</v>
      </c>
      <c r="G52" s="15">
        <f>Kommunerna!G52+Samkommunerna!G52</f>
        <v>713.125</v>
      </c>
      <c r="H52" s="15">
        <f>Kommunerna!H52+Samkommunerna!H52</f>
        <v>671.81299999999999</v>
      </c>
      <c r="I52" s="15">
        <f>Kommunerna!I52+Samkommunerna!I52</f>
        <v>630.346</v>
      </c>
      <c r="J52" s="15">
        <v>920.971</v>
      </c>
      <c r="K52" s="15">
        <v>1580.8409999999999</v>
      </c>
      <c r="L52" s="15">
        <v>877.03899999999999</v>
      </c>
      <c r="M52" s="15">
        <v>914.4</v>
      </c>
      <c r="N52" s="15">
        <v>668.87300000000005</v>
      </c>
      <c r="O52" s="15">
        <v>2408.5509999999999</v>
      </c>
      <c r="P52" s="15">
        <v>741.60900000000004</v>
      </c>
      <c r="Q52" s="15">
        <v>911.53099999999995</v>
      </c>
      <c r="R52" s="15">
        <v>945.48</v>
      </c>
      <c r="S52" s="3">
        <f>Kommunerna!S52+Samkommunerna!S52-8</f>
        <v>5047.268</v>
      </c>
      <c r="T52" s="3">
        <f>Kommunerna!T52+Samkommunerna!T52-10</f>
        <v>954.60299999999995</v>
      </c>
      <c r="U52" s="3">
        <f>Kommunerna!U52+Samkommunerna!U52-24.42</f>
        <v>907.86</v>
      </c>
      <c r="V52" s="3">
        <f>Kommunerna!V52+Samkommunerna!V52</f>
        <v>1035.3019999999999</v>
      </c>
      <c r="W52" s="16"/>
      <c r="X52" s="16"/>
      <c r="Y52" s="16"/>
      <c r="Z52" s="18"/>
      <c r="AA52" s="18"/>
      <c r="AB52" s="18"/>
      <c r="AC52" s="18"/>
      <c r="AD52" s="18"/>
      <c r="AE52" s="18"/>
      <c r="AF52" s="18"/>
      <c r="AG52" s="18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3"/>
    </row>
    <row r="53" spans="1:44" s="38" customFormat="1" ht="17.25" customHeight="1" x14ac:dyDescent="0.25">
      <c r="A53" s="38" t="s">
        <v>34</v>
      </c>
      <c r="B53" s="39">
        <f>B46+B47+B48+B50+B51+B52</f>
        <v>-872</v>
      </c>
      <c r="C53" s="39">
        <f>C46+C47+C48+C50+C51+C52</f>
        <v>-151</v>
      </c>
      <c r="D53" s="39">
        <f t="shared" ref="D53:I53" si="17">D46+D47+D48+D50+D51+D52</f>
        <v>133.52933026053552</v>
      </c>
      <c r="E53" s="39">
        <f t="shared" si="17"/>
        <v>-33.122957206265596</v>
      </c>
      <c r="F53" s="39">
        <f t="shared" si="17"/>
        <v>-476.6749999999995</v>
      </c>
      <c r="G53" s="39">
        <f t="shared" si="17"/>
        <v>23.942999999997369</v>
      </c>
      <c r="H53" s="39">
        <f t="shared" si="17"/>
        <v>-934.88100000000452</v>
      </c>
      <c r="I53" s="39">
        <f t="shared" si="17"/>
        <v>-1238.753999999999</v>
      </c>
      <c r="J53" s="39">
        <v>-938.03600000000165</v>
      </c>
      <c r="K53" s="39">
        <v>93.088000000003376</v>
      </c>
      <c r="L53" s="39">
        <v>-590.42400000000134</v>
      </c>
      <c r="M53" s="39">
        <v>-877.20000000000653</v>
      </c>
      <c r="N53" s="39">
        <v>-1000.4800000000041</v>
      </c>
      <c r="O53" s="39">
        <v>-314.03799999998864</v>
      </c>
      <c r="P53" s="39">
        <v>-1113.5689999999936</v>
      </c>
      <c r="Q53" s="39">
        <v>-1979.5230000000024</v>
      </c>
      <c r="R53" s="39">
        <v>-1086.1300000000028</v>
      </c>
      <c r="S53" s="46">
        <f>S46+S47+S48+S50+S51+S52</f>
        <v>-97.239999999990687</v>
      </c>
      <c r="T53" s="46">
        <f>T46+T47+T48+T50+T51+T52</f>
        <v>-831.17300000000171</v>
      </c>
      <c r="U53" s="46">
        <f>U46+U47+U48+U50+U51+U52</f>
        <v>-112.09999999999593</v>
      </c>
      <c r="V53" s="46">
        <f>V46+V47+V48+V50+V51+V52</f>
        <v>131.31300000001011</v>
      </c>
      <c r="W53" s="39"/>
      <c r="X53" s="39"/>
      <c r="Y53" s="39"/>
      <c r="Z53" s="40"/>
      <c r="AA53" s="40"/>
      <c r="AB53" s="40"/>
      <c r="AC53" s="40"/>
      <c r="AD53" s="40"/>
      <c r="AE53" s="40"/>
      <c r="AF53" s="40"/>
      <c r="AG53" s="40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3"/>
    </row>
    <row r="54" spans="1:44" ht="9" customHeight="1" x14ac:dyDescent="0.25">
      <c r="A54" s="1"/>
      <c r="B54" s="35"/>
      <c r="C54" s="35"/>
      <c r="Z54" s="23"/>
      <c r="AA54" s="23"/>
      <c r="AB54" s="23"/>
      <c r="AC54" s="23"/>
      <c r="AD54" s="23"/>
      <c r="AE54" s="23"/>
      <c r="AF54" s="23"/>
      <c r="AG54" s="23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3"/>
    </row>
    <row r="55" spans="1:44" ht="14.25" customHeight="1" x14ac:dyDescent="0.3">
      <c r="A55" s="8" t="s">
        <v>35</v>
      </c>
      <c r="B55" s="34">
        <v>-151.07850507843403</v>
      </c>
      <c r="C55" s="34">
        <v>-872.22258662939623</v>
      </c>
      <c r="D55" s="33">
        <v>133.52933026053552</v>
      </c>
      <c r="E55" s="33">
        <v>-33.122957206265596</v>
      </c>
      <c r="F55" s="33">
        <v>-476.6749999999995</v>
      </c>
      <c r="G55" s="33">
        <v>23.942999999997369</v>
      </c>
      <c r="H55" s="33">
        <v>-934.88100000000452</v>
      </c>
      <c r="I55" s="33">
        <v>-1238.753999999999</v>
      </c>
      <c r="J55" s="33">
        <v>-938.03600000000165</v>
      </c>
      <c r="K55" s="33">
        <v>93.088000000003376</v>
      </c>
      <c r="L55" s="33"/>
      <c r="M55" s="33"/>
      <c r="N55" s="33"/>
      <c r="O55" s="34"/>
      <c r="P55" s="34"/>
      <c r="Q55" s="34"/>
      <c r="R55" s="34"/>
      <c r="S55" s="34"/>
      <c r="T55" s="34"/>
      <c r="U55" s="34"/>
      <c r="V55" s="34"/>
      <c r="Z55" s="23"/>
      <c r="AA55" s="23"/>
      <c r="AB55" s="23"/>
      <c r="AC55" s="23"/>
      <c r="AD55" s="23"/>
      <c r="AE55" s="23"/>
      <c r="AF55" s="23"/>
      <c r="AG55" s="23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3"/>
    </row>
    <row r="56" spans="1:44" ht="15" customHeight="1" x14ac:dyDescent="0.25">
      <c r="A56" s="1" t="s">
        <v>36</v>
      </c>
      <c r="B56" s="35"/>
      <c r="C56" s="35"/>
      <c r="Z56" s="23"/>
      <c r="AA56" s="23"/>
      <c r="AB56" s="23"/>
      <c r="AC56" s="23"/>
      <c r="AD56" s="23"/>
      <c r="AE56" s="23"/>
      <c r="AF56" s="23"/>
      <c r="AG56" s="23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3"/>
    </row>
    <row r="57" spans="1:44" ht="15" customHeight="1" x14ac:dyDescent="0.25">
      <c r="A57" s="1" t="s">
        <v>37</v>
      </c>
      <c r="B57" s="35">
        <v>-134</v>
      </c>
      <c r="C57" s="35">
        <v>-144</v>
      </c>
      <c r="D57" s="3">
        <f>Kommunerna!D57+Samkommunerna!D57</f>
        <v>-152.721196556184</v>
      </c>
      <c r="E57" s="3">
        <f>Kommunerna!E57+Samkommunerna!E57</f>
        <v>-313.20359316686097</v>
      </c>
      <c r="F57" s="3">
        <f>Kommunerna!F57+Samkommunerna!F57</f>
        <v>-290.24599999999998</v>
      </c>
      <c r="G57" s="3">
        <f>Kommunerna!G57+Samkommunerna!G57</f>
        <v>-475.01499999999999</v>
      </c>
      <c r="H57" s="3">
        <f>Kommunerna!H57+Samkommunerna!H57</f>
        <v>-302.38200000000001</v>
      </c>
      <c r="I57" s="3">
        <f>Kommunerna!I57+Samkommunerna!I57</f>
        <v>-231.99099999999999</v>
      </c>
      <c r="J57" s="3">
        <v>-454.39099999999996</v>
      </c>
      <c r="K57" s="3">
        <v>-545.40600000000006</v>
      </c>
      <c r="L57" s="3">
        <v>-172.83100000000002</v>
      </c>
      <c r="M57" s="3">
        <v>-383</v>
      </c>
      <c r="N57" s="3">
        <v>-319.12399999999997</v>
      </c>
      <c r="O57" s="3">
        <v>-1361.4190000000001</v>
      </c>
      <c r="P57" s="3">
        <v>-392.48099999999999</v>
      </c>
      <c r="Q57" s="3">
        <v>-326.17700000000002</v>
      </c>
      <c r="R57" s="3">
        <v>-728.01</v>
      </c>
      <c r="S57" s="3">
        <f>Kommunerna!S57+Samkommunerna!S57</f>
        <v>-1344.7</v>
      </c>
      <c r="T57" s="3">
        <f>Kommunerna!T57+Samkommunerna!T57</f>
        <v>-560.30100000000004</v>
      </c>
      <c r="U57" s="3">
        <f>Kommunerna!U57+Samkommunerna!U57</f>
        <v>-283.53000000000003</v>
      </c>
      <c r="V57" s="3">
        <f>Kommunerna!V57+Samkommunerna!V57</f>
        <v>-330.05200000000002</v>
      </c>
      <c r="W57" s="3"/>
      <c r="X57" s="3"/>
      <c r="Y57" s="3"/>
      <c r="Z57" s="23"/>
      <c r="AA57" s="23"/>
      <c r="AB57" s="23"/>
      <c r="AC57" s="23"/>
      <c r="AD57" s="23"/>
      <c r="AE57" s="23"/>
      <c r="AF57" s="23"/>
      <c r="AG57" s="23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3"/>
    </row>
    <row r="58" spans="1:44" ht="15" customHeight="1" x14ac:dyDescent="0.25">
      <c r="A58" s="1" t="s">
        <v>38</v>
      </c>
      <c r="B58" s="35">
        <v>200</v>
      </c>
      <c r="C58" s="35">
        <v>183</v>
      </c>
      <c r="D58" s="3">
        <f>Kommunerna!D58+Samkommunerna!D58</f>
        <v>256.0301258213878</v>
      </c>
      <c r="E58" s="3">
        <f>Kommunerna!E58+Samkommunerna!E58</f>
        <v>282.31335765330749</v>
      </c>
      <c r="F58" s="3">
        <f>Kommunerna!F58+Samkommunerna!F58</f>
        <v>232.75800000000001</v>
      </c>
      <c r="G58" s="3">
        <f>Kommunerna!G58+Samkommunerna!G58</f>
        <v>229.572</v>
      </c>
      <c r="H58" s="3">
        <f>Kommunerna!H58+Samkommunerna!H58</f>
        <v>239.33500000000001</v>
      </c>
      <c r="I58" s="3">
        <f>Kommunerna!I58+Samkommunerna!I58</f>
        <v>195.01</v>
      </c>
      <c r="J58" s="3">
        <v>167.47199999999998</v>
      </c>
      <c r="K58" s="3">
        <v>162.91399999999999</v>
      </c>
      <c r="L58" s="3">
        <v>143.65699999999998</v>
      </c>
      <c r="M58" s="3">
        <v>129.13</v>
      </c>
      <c r="N58" s="3">
        <v>154.67899999999997</v>
      </c>
      <c r="O58" s="3">
        <v>187.31899999999999</v>
      </c>
      <c r="P58" s="3">
        <v>258.68799999999999</v>
      </c>
      <c r="Q58" s="3">
        <v>245.04499999999999</v>
      </c>
      <c r="R58" s="3">
        <v>858.98</v>
      </c>
      <c r="S58" s="3">
        <f>Kommunerna!S58+Samkommunerna!S58</f>
        <v>292.31</v>
      </c>
      <c r="T58" s="3">
        <f>Kommunerna!T58+Samkommunerna!T58</f>
        <v>321.25100000000003</v>
      </c>
      <c r="U58" s="3">
        <f>Kommunerna!U58+Samkommunerna!U58</f>
        <v>170.99</v>
      </c>
      <c r="V58" s="3">
        <f>Kommunerna!V58+Samkommunerna!V58</f>
        <v>265.35200000000003</v>
      </c>
      <c r="W58" s="3"/>
      <c r="X58" s="3"/>
      <c r="Y58" s="3"/>
      <c r="Z58" s="23"/>
      <c r="AA58" s="23"/>
      <c r="AB58" s="23"/>
      <c r="AC58" s="23"/>
      <c r="AD58" s="23"/>
      <c r="AE58" s="23"/>
      <c r="AF58" s="23"/>
      <c r="AG58" s="23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3"/>
    </row>
    <row r="59" spans="1:44" ht="15" customHeight="1" x14ac:dyDescent="0.25">
      <c r="A59" s="1" t="s">
        <v>39</v>
      </c>
      <c r="B59" s="35"/>
      <c r="C59" s="35"/>
      <c r="Z59" s="23"/>
      <c r="AA59" s="23"/>
      <c r="AB59" s="23"/>
      <c r="AC59" s="23"/>
      <c r="AD59" s="23"/>
      <c r="AE59" s="23"/>
      <c r="AF59" s="23"/>
      <c r="AG59" s="23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3"/>
    </row>
    <row r="60" spans="1:44" ht="15" customHeight="1" x14ac:dyDescent="0.25">
      <c r="A60" s="1" t="s">
        <v>40</v>
      </c>
      <c r="B60" s="35">
        <v>687</v>
      </c>
      <c r="C60" s="35">
        <v>757</v>
      </c>
      <c r="D60" s="3">
        <f>Kommunerna!D60+Samkommunerna!D60</f>
        <v>725.46314750249337</v>
      </c>
      <c r="E60" s="3">
        <f>Kommunerna!E60+Samkommunerna!E60</f>
        <v>723.65563185681151</v>
      </c>
      <c r="F60" s="3">
        <f>Kommunerna!F60+Samkommunerna!F60</f>
        <v>918.68700000000001</v>
      </c>
      <c r="G60" s="3">
        <f>Kommunerna!G60+Samkommunerna!G60</f>
        <v>1413.1429999999998</v>
      </c>
      <c r="H60" s="3">
        <f>Kommunerna!H60+Samkommunerna!H60</f>
        <v>1384.914</v>
      </c>
      <c r="I60" s="3">
        <f>Kommunerna!I60+Samkommunerna!I60</f>
        <v>1785.433</v>
      </c>
      <c r="J60" s="3">
        <v>1599.6110000000001</v>
      </c>
      <c r="K60" s="3">
        <v>1472.422</v>
      </c>
      <c r="L60" s="3">
        <v>1591.3690000000001</v>
      </c>
      <c r="M60" s="3">
        <v>1516.54</v>
      </c>
      <c r="N60" s="3">
        <v>2401.1730000000002</v>
      </c>
      <c r="O60" s="3">
        <v>3213.44</v>
      </c>
      <c r="P60" s="3">
        <v>2026.9090000000001</v>
      </c>
      <c r="Q60" s="3">
        <v>2413.6909999999998</v>
      </c>
      <c r="R60" s="3">
        <v>3014.85</v>
      </c>
      <c r="S60" s="3">
        <f>Kommunerna!S60+Samkommunerna!S60</f>
        <v>2743.172</v>
      </c>
      <c r="T60" s="3">
        <f>Kommunerna!T60+Samkommunerna!T60</f>
        <v>2514.0810000000001</v>
      </c>
      <c r="U60" s="3">
        <f>Kommunerna!U60+Samkommunerna!U60</f>
        <v>2515.4700000000003</v>
      </c>
      <c r="V60" s="3">
        <f>Kommunerna!V60+Samkommunerna!V60</f>
        <v>2270.9679999999998</v>
      </c>
      <c r="W60" s="3"/>
      <c r="X60" s="18">
        <f t="shared" ref="X60:AG61" si="18">100*(C60-B60)/B60</f>
        <v>10.189228529839884</v>
      </c>
      <c r="Y60" s="18">
        <f t="shared" si="18"/>
        <v>-4.1660307130127645</v>
      </c>
      <c r="Z60" s="18">
        <f t="shared" si="18"/>
        <v>-0.24915333768565384</v>
      </c>
      <c r="AA60" s="18">
        <f t="shared" si="18"/>
        <v>26.950853355865135</v>
      </c>
      <c r="AB60" s="18">
        <f t="shared" si="18"/>
        <v>53.822030789594251</v>
      </c>
      <c r="AC60" s="18">
        <f t="shared" si="18"/>
        <v>-1.9976039226037152</v>
      </c>
      <c r="AD60" s="18">
        <f t="shared" si="18"/>
        <v>28.920135113082836</v>
      </c>
      <c r="AE60" s="18">
        <f t="shared" si="18"/>
        <v>-10.407671416401506</v>
      </c>
      <c r="AF60" s="18">
        <f t="shared" si="18"/>
        <v>-7.9512456465978341</v>
      </c>
      <c r="AG60" s="18">
        <f t="shared" si="18"/>
        <v>8.0783226547824007</v>
      </c>
      <c r="AH60" s="52">
        <f t="shared" ref="AH60:AQ61" si="19">100*(M60-L60)/L60</f>
        <v>-4.7021778104261278</v>
      </c>
      <c r="AI60" s="52">
        <f t="shared" si="19"/>
        <v>58.332322259881067</v>
      </c>
      <c r="AJ60" s="52">
        <f t="shared" si="19"/>
        <v>33.827924935021329</v>
      </c>
      <c r="AK60" s="52">
        <f t="shared" si="19"/>
        <v>-36.924012895837478</v>
      </c>
      <c r="AL60" s="52">
        <f t="shared" si="19"/>
        <v>19.082356435340692</v>
      </c>
      <c r="AM60" s="52">
        <f t="shared" si="19"/>
        <v>24.906212104200584</v>
      </c>
      <c r="AN60" s="52">
        <f t="shared" si="19"/>
        <v>-9.0113272633796004</v>
      </c>
      <c r="AO60" s="52">
        <f t="shared" si="19"/>
        <v>-8.3513173800257476</v>
      </c>
      <c r="AP60" s="52">
        <f t="shared" si="19"/>
        <v>5.5248816565580963E-2</v>
      </c>
      <c r="AQ60" s="52">
        <f t="shared" si="19"/>
        <v>-9.7199330542602524</v>
      </c>
      <c r="AR60" s="53">
        <f t="shared" ref="AR60:AR71" si="20">100*(EXP(LN(V60/L60)/10)-1)</f>
        <v>3.620101198051473</v>
      </c>
    </row>
    <row r="61" spans="1:44" ht="15" customHeight="1" x14ac:dyDescent="0.25">
      <c r="A61" s="1" t="s">
        <v>41</v>
      </c>
      <c r="B61" s="35">
        <v>-857</v>
      </c>
      <c r="C61" s="35">
        <v>-894</v>
      </c>
      <c r="D61" s="3">
        <f>Kommunerna!D61+Samkommunerna!D61</f>
        <v>-1018.2361123024423</v>
      </c>
      <c r="E61" s="3">
        <f>Kommunerna!E61+Samkommunerna!E61</f>
        <v>-776.50532398881217</v>
      </c>
      <c r="F61" s="3">
        <f>Kommunerna!F61+Samkommunerna!F61</f>
        <v>-745.05899999999997</v>
      </c>
      <c r="G61" s="3">
        <f>Kommunerna!G61+Samkommunerna!G61</f>
        <v>-816.61399999999992</v>
      </c>
      <c r="H61" s="3">
        <f>Kommunerna!H61+Samkommunerna!H61</f>
        <v>-758.91399999999999</v>
      </c>
      <c r="I61" s="3">
        <f>Kommunerna!I61+Samkommunerna!I61</f>
        <v>-842.83699999999999</v>
      </c>
      <c r="J61" s="3">
        <v>-813.60900000000004</v>
      </c>
      <c r="K61" s="3">
        <v>-949.36200000000008</v>
      </c>
      <c r="L61" s="3">
        <v>-1044.124</v>
      </c>
      <c r="M61" s="3">
        <v>-1041.4000000000001</v>
      </c>
      <c r="N61" s="3">
        <v>-1296.067</v>
      </c>
      <c r="O61" s="3">
        <v>-1279.1289999999999</v>
      </c>
      <c r="P61" s="3">
        <v>-1432.0880000000002</v>
      </c>
      <c r="Q61" s="3">
        <v>-1479.0730000000001</v>
      </c>
      <c r="R61" s="3">
        <v>-1646.3300000000002</v>
      </c>
      <c r="S61" s="3">
        <f>Kommunerna!S61+Samkommunerna!S61</f>
        <v>-1931.61</v>
      </c>
      <c r="T61" s="3">
        <f>Kommunerna!T61+Samkommunerna!T61</f>
        <v>-1964.9290000000001</v>
      </c>
      <c r="U61" s="3">
        <f>Kommunerna!U61+Samkommunerna!U61</f>
        <v>-2077.75</v>
      </c>
      <c r="V61" s="3">
        <f>Kommunerna!V61+Samkommunerna!V61</f>
        <v>-2014.02</v>
      </c>
      <c r="W61" s="3"/>
      <c r="X61" s="18">
        <f t="shared" si="18"/>
        <v>4.3173862310385065</v>
      </c>
      <c r="Y61" s="18">
        <f t="shared" si="18"/>
        <v>13.896656857096451</v>
      </c>
      <c r="Z61" s="18">
        <f t="shared" si="18"/>
        <v>-23.740150775739711</v>
      </c>
      <c r="AA61" s="18">
        <f t="shared" si="18"/>
        <v>-4.0497241960011694</v>
      </c>
      <c r="AB61" s="18">
        <f t="shared" si="18"/>
        <v>9.6039374062993605</v>
      </c>
      <c r="AC61" s="18">
        <f t="shared" si="18"/>
        <v>-7.0657617919849445</v>
      </c>
      <c r="AD61" s="18">
        <f t="shared" si="18"/>
        <v>11.058301731157943</v>
      </c>
      <c r="AE61" s="18">
        <f t="shared" si="18"/>
        <v>-3.4678116883810217</v>
      </c>
      <c r="AF61" s="18">
        <f t="shared" si="18"/>
        <v>16.685287404637858</v>
      </c>
      <c r="AG61" s="18">
        <f t="shared" si="18"/>
        <v>9.9816508349818012</v>
      </c>
      <c r="AH61" s="52">
        <f t="shared" si="19"/>
        <v>-0.26088855346682316</v>
      </c>
      <c r="AI61" s="52">
        <f t="shared" si="19"/>
        <v>24.454292298828488</v>
      </c>
      <c r="AJ61" s="52">
        <f t="shared" si="19"/>
        <v>-1.3068768821365024</v>
      </c>
      <c r="AK61" s="52">
        <f t="shared" si="19"/>
        <v>11.958058960433256</v>
      </c>
      <c r="AL61" s="52">
        <f t="shared" si="19"/>
        <v>3.2808738010513245</v>
      </c>
      <c r="AM61" s="52">
        <f t="shared" si="19"/>
        <v>11.308231574776906</v>
      </c>
      <c r="AN61" s="52">
        <f t="shared" si="19"/>
        <v>17.328239174406086</v>
      </c>
      <c r="AO61" s="52">
        <f t="shared" si="19"/>
        <v>1.7249341223124848</v>
      </c>
      <c r="AP61" s="52">
        <f t="shared" si="19"/>
        <v>5.7417341797082697</v>
      </c>
      <c r="AQ61" s="52">
        <f t="shared" si="19"/>
        <v>-3.0672602574900742</v>
      </c>
      <c r="AR61" s="53">
        <f t="shared" si="20"/>
        <v>6.7901434876927791</v>
      </c>
    </row>
    <row r="62" spans="1:44" ht="15" customHeight="1" x14ac:dyDescent="0.25">
      <c r="A62" s="1" t="s">
        <v>42</v>
      </c>
      <c r="B62" s="35">
        <v>175</v>
      </c>
      <c r="C62" s="35">
        <v>30</v>
      </c>
      <c r="D62" s="3">
        <f>Kommunerna!D62+Samkommunerna!D62</f>
        <v>4.7064027461724631</v>
      </c>
      <c r="E62" s="3">
        <f>Kommunerna!E62+Samkommunerna!E62</f>
        <v>174.44821746026139</v>
      </c>
      <c r="F62" s="3">
        <f>Kommunerna!F62+Samkommunerna!F62</f>
        <v>30.686999999999998</v>
      </c>
      <c r="G62" s="3">
        <f>Kommunerna!G62+Samkommunerna!G62</f>
        <v>-85.021000000000001</v>
      </c>
      <c r="H62" s="3">
        <f>Kommunerna!H62+Samkommunerna!H62</f>
        <v>99.71</v>
      </c>
      <c r="I62" s="3">
        <f>Kommunerna!I62+Samkommunerna!I62</f>
        <v>77.534999999999997</v>
      </c>
      <c r="J62" s="3">
        <v>192.10399999999998</v>
      </c>
      <c r="K62" s="3">
        <v>171.405</v>
      </c>
      <c r="L62" s="3">
        <v>64.418999999999997</v>
      </c>
      <c r="M62" s="3">
        <v>123</v>
      </c>
      <c r="N62" s="3">
        <v>189.32399999999998</v>
      </c>
      <c r="O62" s="3">
        <v>51.032999999999994</v>
      </c>
      <c r="P62" s="3">
        <v>39.110999999999997</v>
      </c>
      <c r="Q62" s="3">
        <v>554.58900000000006</v>
      </c>
      <c r="R62" s="3">
        <v>386.19</v>
      </c>
      <c r="S62" s="3">
        <f>Kommunerna!S62+Samkommunerna!S62</f>
        <v>145.47500000000002</v>
      </c>
      <c r="T62" s="3">
        <f>Kommunerna!T62+Samkommunerna!T62</f>
        <v>305.8279</v>
      </c>
      <c r="U62" s="3">
        <f>Kommunerna!U62+Samkommunerna!U62</f>
        <v>262.24</v>
      </c>
      <c r="V62" s="3">
        <f>Kommunerna!V62+Samkommunerna!V62</f>
        <v>121.82</v>
      </c>
      <c r="W62" s="3"/>
      <c r="X62" s="3"/>
      <c r="Y62" s="3"/>
      <c r="Z62" s="23"/>
      <c r="AA62" s="23"/>
      <c r="AB62" s="23"/>
      <c r="AC62" s="23"/>
      <c r="AD62" s="23"/>
      <c r="AE62" s="23"/>
      <c r="AF62" s="23"/>
      <c r="AG62" s="23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3"/>
    </row>
    <row r="63" spans="1:44" ht="15" customHeight="1" x14ac:dyDescent="0.25">
      <c r="A63" s="1" t="s">
        <v>43</v>
      </c>
      <c r="B63" s="35">
        <v>0</v>
      </c>
      <c r="C63" s="35">
        <v>0</v>
      </c>
      <c r="D63" s="3">
        <f>Kommunerna!D63+Samkommunerna!D63-93.397</f>
        <v>4.4657090046484882E-4</v>
      </c>
      <c r="E63" s="3">
        <f>Kommunerna!E63+Samkommunerna!E63-60.705</f>
        <v>33.00981718813334</v>
      </c>
      <c r="F63" s="3">
        <f>Kommunerna!F63+Samkommunerna!F63-41.929</f>
        <v>41.091000000000008</v>
      </c>
      <c r="G63" s="3">
        <f>Kommunerna!G63+Samkommunerna!G63-21.004</f>
        <v>46.527000000000001</v>
      </c>
      <c r="H63" s="3">
        <f>Kommunerna!H63+Samkommunerna!H63-15.537</f>
        <v>13.723000000000001</v>
      </c>
      <c r="I63" s="3">
        <f>Kommunerna!I63+Samkommunerna!I63-15.537</f>
        <v>-1.2569999999999997</v>
      </c>
      <c r="J63" s="3">
        <v>0.11999999999999922</v>
      </c>
      <c r="K63" s="3">
        <v>16.810000000000002</v>
      </c>
      <c r="L63" s="3">
        <v>-6.859</v>
      </c>
      <c r="M63" s="3">
        <v>-3.4999999999999698E-2</v>
      </c>
      <c r="N63" s="3">
        <v>4.0940000000000012</v>
      </c>
      <c r="O63" s="3">
        <v>5.0339999999999918</v>
      </c>
      <c r="P63" s="3">
        <v>26.132999999999999</v>
      </c>
      <c r="Q63" s="3">
        <v>-7.3269999999999982</v>
      </c>
      <c r="R63" s="3">
        <v>-10.259999999999998</v>
      </c>
      <c r="S63" s="3">
        <f>Kommunerna!S63+Samkommunerna!S63+8</f>
        <v>4.1259999999999994</v>
      </c>
      <c r="T63" s="3">
        <f>Kommunerna!T63+Samkommunerna!T63+10</f>
        <v>-8.2160000000000011</v>
      </c>
      <c r="U63" s="3">
        <f>Kommunerna!U63+Samkommunerna!U63+24.42</f>
        <v>3.1000000000000014</v>
      </c>
      <c r="V63" s="3">
        <f>Kommunerna!V63+Samkommunerna!V63</f>
        <v>-16.998000000000001</v>
      </c>
      <c r="W63" s="3"/>
      <c r="X63" s="3"/>
      <c r="Y63" s="3"/>
      <c r="Z63" s="23"/>
      <c r="AA63" s="23"/>
      <c r="AB63" s="23"/>
      <c r="AC63" s="23"/>
      <c r="AD63" s="23"/>
      <c r="AE63" s="23"/>
      <c r="AF63" s="23"/>
      <c r="AG63" s="23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3"/>
    </row>
    <row r="64" spans="1:44" ht="15" customHeight="1" x14ac:dyDescent="0.25">
      <c r="A64" s="1" t="s">
        <v>44</v>
      </c>
      <c r="B64" s="37">
        <v>-58</v>
      </c>
      <c r="C64" s="37">
        <v>-48</v>
      </c>
      <c r="D64" s="15">
        <f>Kommunerna!D64+Samkommunerna!D64</f>
        <v>16.650604719689593</v>
      </c>
      <c r="E64" s="15">
        <f>Kommunerna!E64+Samkommunerna!E64</f>
        <v>247.90900360426727</v>
      </c>
      <c r="F64" s="15">
        <f>Kommunerna!F64+Samkommunerna!F64</f>
        <v>192.85300000000001</v>
      </c>
      <c r="G64" s="15">
        <f>Kommunerna!G64+Samkommunerna!G64</f>
        <v>-40.528999999999996</v>
      </c>
      <c r="H64" s="15">
        <f>Kommunerna!H64+Samkommunerna!H64</f>
        <v>215.81700000000001</v>
      </c>
      <c r="I64" s="15">
        <f>Kommunerna!I64+Samkommunerna!I64</f>
        <v>171.428</v>
      </c>
      <c r="J64" s="15">
        <v>217.54300000000001</v>
      </c>
      <c r="K64" s="15">
        <v>271.71800000000002</v>
      </c>
      <c r="L64" s="15">
        <v>179.82100000000003</v>
      </c>
      <c r="M64" s="15">
        <v>273</v>
      </c>
      <c r="N64" s="15">
        <v>45.763000000000005</v>
      </c>
      <c r="O64" s="15">
        <v>51.619</v>
      </c>
      <c r="P64" s="15">
        <v>362.51</v>
      </c>
      <c r="Q64" s="15">
        <v>247.59</v>
      </c>
      <c r="R64" s="15">
        <v>210.42</v>
      </c>
      <c r="S64" s="15">
        <f>Kommunerna!S64+Samkommunerna!S64</f>
        <v>335.68799999999999</v>
      </c>
      <c r="T64" s="15">
        <f>Kommunerna!T64+Samkommunerna!T64</f>
        <v>68.573999999999998</v>
      </c>
      <c r="U64" s="15">
        <f>Kommunerna!U64+Samkommunerna!U64</f>
        <v>91.82</v>
      </c>
      <c r="V64" s="15">
        <f>Kommunerna!V64+Samkommunerna!V64</f>
        <v>298.298</v>
      </c>
      <c r="W64" s="16"/>
      <c r="X64" s="16"/>
      <c r="Y64" s="16"/>
      <c r="Z64" s="23"/>
      <c r="AA64" s="23"/>
      <c r="AB64" s="23"/>
      <c r="AC64" s="23"/>
      <c r="AD64" s="23"/>
      <c r="AE64" s="23"/>
      <c r="AF64" s="23"/>
      <c r="AG64" s="23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3"/>
    </row>
    <row r="65" spans="1:44" ht="18" customHeight="1" x14ac:dyDescent="0.25">
      <c r="A65" s="1" t="s">
        <v>35</v>
      </c>
      <c r="B65" s="35">
        <f>B57+B58+B60+B61+B62+B63+B64</f>
        <v>13</v>
      </c>
      <c r="C65" s="35">
        <f>C57+C58+C60+C61+C62+C63+C64</f>
        <v>-116</v>
      </c>
      <c r="D65" s="3">
        <f t="shared" ref="D65:I65" si="21">D57+D58+D60+D61+D62+D63+D64</f>
        <v>-168.10658149798257</v>
      </c>
      <c r="E65" s="3">
        <f t="shared" si="21"/>
        <v>371.62711060710791</v>
      </c>
      <c r="F65" s="3">
        <f t="shared" si="21"/>
        <v>380.77100000000013</v>
      </c>
      <c r="G65" s="3">
        <f t="shared" si="21"/>
        <v>272.06299999999987</v>
      </c>
      <c r="H65" s="3">
        <f t="shared" si="21"/>
        <v>892.20299999999997</v>
      </c>
      <c r="I65" s="3">
        <f t="shared" si="21"/>
        <v>1153.3209999999999</v>
      </c>
      <c r="J65" s="3">
        <v>908.84999999999991</v>
      </c>
      <c r="K65" s="3">
        <v>600.50099999999975</v>
      </c>
      <c r="L65" s="3">
        <v>755.45200000000011</v>
      </c>
      <c r="M65" s="3">
        <v>617.2349999999999</v>
      </c>
      <c r="N65" s="3">
        <v>1179.8420000000001</v>
      </c>
      <c r="O65" s="3">
        <v>867.89700000000005</v>
      </c>
      <c r="P65" s="3">
        <v>888.78199999999981</v>
      </c>
      <c r="Q65" s="3">
        <v>1648.3379999999997</v>
      </c>
      <c r="R65" s="3">
        <v>2085.8399999999997</v>
      </c>
      <c r="S65" s="3">
        <f>S57+S58+S60+S61+S62+S63+S64</f>
        <v>244.46100000000004</v>
      </c>
      <c r="T65" s="3">
        <f>T57+T58+T60+T61+T62+T63+T64</f>
        <v>676.28789999999981</v>
      </c>
      <c r="U65" s="3">
        <f>U57+U58+U60+U61+U62+U63+U64</f>
        <v>682.34000000000037</v>
      </c>
      <c r="V65" s="3">
        <f>V57+V58+V60+V61+V62+V63+V64</f>
        <v>595.36800000000005</v>
      </c>
      <c r="W65" s="3"/>
      <c r="X65" s="3"/>
      <c r="Y65" s="3"/>
      <c r="Z65" s="23"/>
      <c r="AA65" s="23"/>
      <c r="AB65" s="23"/>
      <c r="AC65" s="23"/>
      <c r="AD65" s="23"/>
      <c r="AE65" s="23"/>
      <c r="AF65" s="23"/>
      <c r="AG65" s="23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3"/>
    </row>
    <row r="66" spans="1:44" ht="8.25" customHeight="1" x14ac:dyDescent="0.25">
      <c r="A66" s="1"/>
      <c r="B66" s="35"/>
      <c r="C66" s="35"/>
      <c r="Z66" s="23"/>
      <c r="AA66" s="23"/>
      <c r="AB66" s="23"/>
      <c r="AC66" s="23"/>
      <c r="AD66" s="23"/>
      <c r="AE66" s="23"/>
      <c r="AF66" s="23"/>
      <c r="AG66" s="23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3"/>
    </row>
    <row r="67" spans="1:44" ht="14.25" customHeight="1" x14ac:dyDescent="0.25">
      <c r="A67" s="8" t="s">
        <v>45</v>
      </c>
      <c r="B67" s="35">
        <f>B53+B65</f>
        <v>-859</v>
      </c>
      <c r="C67" s="35">
        <f>C53+C65</f>
        <v>-267</v>
      </c>
      <c r="D67" s="3">
        <f t="shared" ref="D67:I67" si="22">D53+D65</f>
        <v>-34.577251237447058</v>
      </c>
      <c r="E67" s="3">
        <f t="shared" si="22"/>
        <v>338.50415340084231</v>
      </c>
      <c r="F67" s="3">
        <f t="shared" si="22"/>
        <v>-95.903999999999371</v>
      </c>
      <c r="G67" s="3">
        <f t="shared" si="22"/>
        <v>296.00599999999724</v>
      </c>
      <c r="H67" s="3">
        <f t="shared" si="22"/>
        <v>-42.678000000004545</v>
      </c>
      <c r="I67" s="3">
        <f t="shared" si="22"/>
        <v>-85.432999999999083</v>
      </c>
      <c r="J67" s="3">
        <v>-29.186000000001741</v>
      </c>
      <c r="K67" s="3">
        <v>693.58900000000313</v>
      </c>
      <c r="L67" s="3">
        <v>165.02799999999877</v>
      </c>
      <c r="M67" s="3">
        <v>-259.96500000000663</v>
      </c>
      <c r="N67" s="3">
        <v>179.36199999999599</v>
      </c>
      <c r="O67" s="3">
        <v>553.85900000001141</v>
      </c>
      <c r="P67" s="3">
        <v>-224.78699999999378</v>
      </c>
      <c r="Q67" s="3">
        <v>-331.18500000000267</v>
      </c>
      <c r="R67" s="3">
        <v>999.70999999999685</v>
      </c>
      <c r="S67" s="3">
        <f>S53+S65</f>
        <v>147.22100000000935</v>
      </c>
      <c r="T67" s="3">
        <f>T53+T65</f>
        <v>-154.8851000000019</v>
      </c>
      <c r="U67" s="3">
        <f>U53+U65</f>
        <v>570.24000000000444</v>
      </c>
      <c r="V67" s="3">
        <f>V53+V65</f>
        <v>726.68100000001016</v>
      </c>
      <c r="W67" s="3"/>
      <c r="X67" s="3"/>
      <c r="Y67" s="3"/>
      <c r="Z67" s="23"/>
      <c r="AA67" s="23"/>
      <c r="AB67" s="23"/>
      <c r="AC67" s="23"/>
      <c r="AD67" s="23"/>
      <c r="AE67" s="23"/>
      <c r="AF67" s="23"/>
      <c r="AG67" s="23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3"/>
    </row>
    <row r="68" spans="1:44" ht="9" customHeight="1" x14ac:dyDescent="0.25">
      <c r="A68" s="1"/>
      <c r="B68" s="35"/>
      <c r="C68" s="35"/>
      <c r="Z68" s="23"/>
      <c r="AA68" s="23"/>
      <c r="AB68" s="23"/>
      <c r="AC68" s="23"/>
      <c r="AD68" s="23"/>
      <c r="AE68" s="23"/>
      <c r="AF68" s="23"/>
      <c r="AG68" s="23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3"/>
    </row>
    <row r="69" spans="1:44" ht="14.25" customHeight="1" x14ac:dyDescent="0.25">
      <c r="A69" s="1" t="s">
        <v>46</v>
      </c>
      <c r="B69" s="35">
        <v>2638</v>
      </c>
      <c r="C69" s="35">
        <v>2542</v>
      </c>
      <c r="D69" s="3">
        <f>Kommunerna!D69+Samkommunerna!D69</f>
        <v>2687.8788643278458</v>
      </c>
      <c r="E69" s="3">
        <f>Kommunerna!E69+Samkommunerna!E69</f>
        <v>3156.4014847630147</v>
      </c>
      <c r="F69" s="3">
        <f>Kommunerna!F69+Samkommunerna!F69</f>
        <v>3076.7940000000003</v>
      </c>
      <c r="G69" s="3">
        <f>Kommunerna!G69+Samkommunerna!G69</f>
        <v>3339.0120000000002</v>
      </c>
      <c r="H69" s="3">
        <f>Kommunerna!H69+Samkommunerna!H69</f>
        <v>3309.5860000000002</v>
      </c>
      <c r="I69" s="3">
        <f>Kommunerna!I69+Samkommunerna!I69</f>
        <v>3225.0410000000002</v>
      </c>
      <c r="J69" s="3">
        <v>3186.6079999999997</v>
      </c>
      <c r="K69" s="3">
        <v>4121.9840000000004</v>
      </c>
      <c r="L69" s="3">
        <v>4302.299</v>
      </c>
      <c r="M69" s="3">
        <v>4043</v>
      </c>
      <c r="N69" s="3">
        <v>4220.92</v>
      </c>
      <c r="O69" s="3">
        <v>4759.08</v>
      </c>
      <c r="P69" s="3">
        <v>4535.4880000000003</v>
      </c>
      <c r="Q69" s="3">
        <v>4197.3710000000001</v>
      </c>
      <c r="R69" s="3">
        <v>5159.34</v>
      </c>
      <c r="S69" s="3">
        <f>Kommunerna!S69+Samkommunerna!S69</f>
        <v>5304.1930000000002</v>
      </c>
      <c r="T69" s="3">
        <f>Kommunerna!T69+Samkommunerna!T69</f>
        <v>5108.3339999999998</v>
      </c>
      <c r="U69" s="3">
        <f>Kommunerna!U69+Samkommunerna!U69</f>
        <v>5679.01</v>
      </c>
      <c r="V69" s="3">
        <f>Kommunerna!V69+Samkommunerna!V69</f>
        <v>6400.4610000000002</v>
      </c>
      <c r="W69" s="3"/>
      <c r="X69" s="18">
        <f t="shared" ref="X69:AQ69" si="23">100*(C69-B69)/B69</f>
        <v>-3.639120545868082</v>
      </c>
      <c r="Y69" s="18">
        <f t="shared" si="23"/>
        <v>5.7387436793015656</v>
      </c>
      <c r="Z69" s="18">
        <f t="shared" si="23"/>
        <v>17.430942541837045</v>
      </c>
      <c r="AA69" s="18">
        <f t="shared" si="23"/>
        <v>-2.5220962905798192</v>
      </c>
      <c r="AB69" s="18">
        <f t="shared" si="23"/>
        <v>8.5224425164635598</v>
      </c>
      <c r="AC69" s="18">
        <f t="shared" si="23"/>
        <v>-0.88127865368557912</v>
      </c>
      <c r="AD69" s="18">
        <f t="shared" si="23"/>
        <v>-2.5545491188323877</v>
      </c>
      <c r="AE69" s="18">
        <f t="shared" si="23"/>
        <v>-1.1917057798645179</v>
      </c>
      <c r="AF69" s="18">
        <f t="shared" si="23"/>
        <v>29.35334374356685</v>
      </c>
      <c r="AG69" s="18">
        <f t="shared" si="23"/>
        <v>4.3744711284662818</v>
      </c>
      <c r="AH69" s="52">
        <f t="shared" si="23"/>
        <v>-6.0269869667356915</v>
      </c>
      <c r="AI69" s="52">
        <f t="shared" si="23"/>
        <v>4.4006925550333928</v>
      </c>
      <c r="AJ69" s="52">
        <f t="shared" si="23"/>
        <v>12.749827051922326</v>
      </c>
      <c r="AK69" s="52">
        <f t="shared" si="23"/>
        <v>-4.6982189835010058</v>
      </c>
      <c r="AL69" s="52">
        <f t="shared" si="23"/>
        <v>-7.4549199556916514</v>
      </c>
      <c r="AM69" s="52">
        <f t="shared" si="23"/>
        <v>22.918369617553466</v>
      </c>
      <c r="AN69" s="52">
        <f t="shared" si="23"/>
        <v>2.8075877922369927</v>
      </c>
      <c r="AO69" s="52">
        <f t="shared" si="23"/>
        <v>-3.6925315500397584</v>
      </c>
      <c r="AP69" s="52">
        <f t="shared" si="23"/>
        <v>11.171469993935407</v>
      </c>
      <c r="AQ69" s="52">
        <f t="shared" si="23"/>
        <v>12.703816334185008</v>
      </c>
      <c r="AR69" s="53">
        <f t="shared" si="20"/>
        <v>4.0521519793453864</v>
      </c>
    </row>
    <row r="70" spans="1:44" ht="7.5" customHeight="1" x14ac:dyDescent="0.25">
      <c r="A70" s="1"/>
      <c r="B70" s="35"/>
      <c r="C70" s="35"/>
      <c r="Z70" s="23"/>
      <c r="AA70" s="23"/>
      <c r="AB70" s="23"/>
      <c r="AC70" s="23"/>
      <c r="AD70" s="23"/>
      <c r="AE70" s="23"/>
      <c r="AF70" s="23"/>
      <c r="AG70" s="23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3"/>
    </row>
    <row r="71" spans="1:44" ht="14.25" customHeight="1" x14ac:dyDescent="0.25">
      <c r="A71" s="1" t="s">
        <v>47</v>
      </c>
      <c r="B71" s="35">
        <v>4104</v>
      </c>
      <c r="C71" s="35">
        <v>4094</v>
      </c>
      <c r="D71" s="3">
        <f>Kommunerna!D71+Samkommunerna!D71-118.273</f>
        <v>3866.9471495863409</v>
      </c>
      <c r="E71" s="3">
        <f>Kommunerna!E71+Samkommunerna!E71-63.987</f>
        <v>4031.5657745121284</v>
      </c>
      <c r="F71" s="3">
        <f>Kommunerna!F71+Samkommunerna!F71-28.965</f>
        <v>4315.2560000000003</v>
      </c>
      <c r="G71" s="3">
        <f>Kommunerna!G71+Samkommunerna!G71-26.359</f>
        <v>4832.9379999999992</v>
      </c>
      <c r="H71" s="3">
        <f>Kommunerna!H71+Samkommunerna!H71-24.812</f>
        <v>5604.8719999999994</v>
      </c>
      <c r="I71" s="3">
        <f>Kommunerna!I71+Samkommunerna!I71-26.103</f>
        <v>6620.44</v>
      </c>
      <c r="J71" s="3">
        <v>7704.7159999999994</v>
      </c>
      <c r="K71" s="3">
        <v>8407.9860000000008</v>
      </c>
      <c r="L71" s="3">
        <v>9011.3520000000008</v>
      </c>
      <c r="M71" s="3">
        <v>9596.3549999999996</v>
      </c>
      <c r="N71" s="3">
        <v>10882.572000000002</v>
      </c>
      <c r="O71" s="3">
        <v>11672.184999999999</v>
      </c>
      <c r="P71" s="3">
        <v>12296.140000000001</v>
      </c>
      <c r="Q71" s="3">
        <v>13810.441000000001</v>
      </c>
      <c r="R71" s="3">
        <v>15554.41</v>
      </c>
      <c r="S71" s="3">
        <f>Kommunerna!S71+Samkommunerna!S71-1194.64</f>
        <v>16531.836000000003</v>
      </c>
      <c r="T71" s="3">
        <f>Kommunerna!T71+Samkommunerna!T71-1196</f>
        <v>17395.102999999999</v>
      </c>
      <c r="U71" s="3">
        <f>Kommunerna!U71+Samkommunerna!U71-1196</f>
        <v>18104.559999999998</v>
      </c>
      <c r="V71" s="3">
        <f>Kommunerna!V71+Samkommunerna!V71-1217</f>
        <v>18418.447</v>
      </c>
      <c r="W71" s="3"/>
      <c r="X71" s="18">
        <f t="shared" ref="X71:AQ71" si="24">100*(C71-B71)/B71</f>
        <v>-0.24366471734892786</v>
      </c>
      <c r="Y71" s="18">
        <f t="shared" si="24"/>
        <v>-5.5459904839682252</v>
      </c>
      <c r="Z71" s="18">
        <f t="shared" si="24"/>
        <v>4.2570694286162496</v>
      </c>
      <c r="AA71" s="18">
        <f t="shared" si="24"/>
        <v>7.0367257129074634</v>
      </c>
      <c r="AB71" s="18">
        <f t="shared" si="24"/>
        <v>11.996553622774613</v>
      </c>
      <c r="AC71" s="18">
        <f t="shared" si="24"/>
        <v>15.97235470432272</v>
      </c>
      <c r="AD71" s="18">
        <f t="shared" si="24"/>
        <v>18.119378997415112</v>
      </c>
      <c r="AE71" s="18">
        <f t="shared" si="24"/>
        <v>16.37770299255034</v>
      </c>
      <c r="AF71" s="18">
        <f t="shared" si="24"/>
        <v>9.1277861507160214</v>
      </c>
      <c r="AG71" s="18">
        <f t="shared" si="24"/>
        <v>7.1761061448009063</v>
      </c>
      <c r="AH71" s="52">
        <f t="shared" si="24"/>
        <v>6.4918449528993953</v>
      </c>
      <c r="AI71" s="52">
        <f t="shared" si="24"/>
        <v>13.403182770958374</v>
      </c>
      <c r="AJ71" s="52">
        <f t="shared" si="24"/>
        <v>7.2557571868120645</v>
      </c>
      <c r="AK71" s="52">
        <f t="shared" si="24"/>
        <v>5.3456572184214162</v>
      </c>
      <c r="AL71" s="52">
        <f t="shared" si="24"/>
        <v>12.315255031253704</v>
      </c>
      <c r="AM71" s="52">
        <f t="shared" si="24"/>
        <v>12.62790232404598</v>
      </c>
      <c r="AN71" s="52">
        <f t="shared" si="24"/>
        <v>6.2839156226433737</v>
      </c>
      <c r="AO71" s="52">
        <f t="shared" si="24"/>
        <v>5.22184589781798</v>
      </c>
      <c r="AP71" s="52">
        <f t="shared" si="24"/>
        <v>4.078486916691431</v>
      </c>
      <c r="AQ71" s="52">
        <f t="shared" si="24"/>
        <v>1.7337455315125168</v>
      </c>
      <c r="AR71" s="53">
        <f t="shared" si="20"/>
        <v>7.4103929566078586</v>
      </c>
    </row>
    <row r="72" spans="1:44" ht="8.25" customHeight="1" x14ac:dyDescent="0.2">
      <c r="A72" s="1"/>
      <c r="B72" s="1"/>
      <c r="C72" s="1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</row>
    <row r="73" spans="1:44" x14ac:dyDescent="0.2"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</row>
    <row r="74" spans="1:44" x14ac:dyDescent="0.2"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</row>
    <row r="75" spans="1:44" x14ac:dyDescent="0.2"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</row>
    <row r="76" spans="1:44" x14ac:dyDescent="0.2"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</row>
    <row r="77" spans="1:44" x14ac:dyDescent="0.2"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</row>
    <row r="78" spans="1:44" x14ac:dyDescent="0.2"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</row>
    <row r="79" spans="1:44" x14ac:dyDescent="0.2"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</row>
    <row r="80" spans="1:44" x14ac:dyDescent="0.2"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</row>
    <row r="81" spans="34:44" x14ac:dyDescent="0.2"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</row>
    <row r="82" spans="34:44" x14ac:dyDescent="0.2"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</row>
    <row r="83" spans="34:44" x14ac:dyDescent="0.2"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</row>
    <row r="84" spans="34:44" x14ac:dyDescent="0.2"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</row>
    <row r="85" spans="34:44" x14ac:dyDescent="0.2"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</row>
    <row r="86" spans="34:44" x14ac:dyDescent="0.2"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</row>
    <row r="87" spans="34:44" x14ac:dyDescent="0.2"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</row>
    <row r="88" spans="34:44" x14ac:dyDescent="0.2"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</row>
    <row r="89" spans="34:44" x14ac:dyDescent="0.2"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</row>
    <row r="90" spans="34:44" x14ac:dyDescent="0.2"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</row>
    <row r="91" spans="34:44" x14ac:dyDescent="0.2"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</row>
    <row r="92" spans="34:44" x14ac:dyDescent="0.2"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</row>
    <row r="93" spans="34:44" x14ac:dyDescent="0.2"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</row>
    <row r="94" spans="34:44" x14ac:dyDescent="0.2"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</row>
    <row r="95" spans="34:44" x14ac:dyDescent="0.2"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</row>
    <row r="96" spans="34:44" x14ac:dyDescent="0.2"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</row>
    <row r="97" spans="34:44" x14ac:dyDescent="0.2"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</row>
    <row r="98" spans="34:44" x14ac:dyDescent="0.2"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</row>
    <row r="99" spans="34:44" x14ac:dyDescent="0.2"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</row>
    <row r="100" spans="34:44" x14ac:dyDescent="0.2"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</row>
    <row r="101" spans="34:44" x14ac:dyDescent="0.2"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</row>
    <row r="102" spans="34:44" x14ac:dyDescent="0.2"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</row>
    <row r="103" spans="34:44" x14ac:dyDescent="0.2"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</row>
    <row r="104" spans="34:44" x14ac:dyDescent="0.2"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</row>
    <row r="105" spans="34:44" x14ac:dyDescent="0.2"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</row>
    <row r="106" spans="34:44" x14ac:dyDescent="0.2"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</row>
    <row r="107" spans="34:44" x14ac:dyDescent="0.2"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</row>
    <row r="108" spans="34:44" x14ac:dyDescent="0.2"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</row>
    <row r="109" spans="34:44" x14ac:dyDescent="0.2"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</row>
  </sheetData>
  <phoneticPr fontId="6" type="noConversion"/>
  <pageMargins left="0.11811023622047245" right="0.11811023622047245" top="0.70866141732283472" bottom="0.70866141732283472" header="0.51181102362204722" footer="0.51181102362204722"/>
  <pageSetup paperSize="9" scale="92" fitToHeight="0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Kommunerna</vt:lpstr>
      <vt:lpstr>Samkommunerna</vt:lpstr>
      <vt:lpstr>Sammanlagt</vt:lpstr>
      <vt:lpstr>Kommunerna!Tulostusalue</vt:lpstr>
      <vt:lpstr>Samkommunerna!Tulostusalue</vt:lpstr>
      <vt:lpstr>Sammanlagt!Tulostusalue</vt:lpstr>
    </vt:vector>
  </TitlesOfParts>
  <Company>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Strandberg Benjamin</cp:lastModifiedBy>
  <cp:lastPrinted>2017-12-05T10:54:14Z</cp:lastPrinted>
  <dcterms:created xsi:type="dcterms:W3CDTF">2006-01-27T10:19:20Z</dcterms:created>
  <dcterms:modified xsi:type="dcterms:W3CDTF">2019-01-29T07:19:07Z</dcterms:modified>
</cp:coreProperties>
</file>